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comments4.xml" ContentType="application/vnd.openxmlformats-officedocument.spreadsheetml.comments+xml"/>
  <Override PartName="/xl/drawings/drawing9.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0.xml" ContentType="application/vnd.openxmlformats-officedocument.drawing+xml"/>
  <Override PartName="/xl/comments8.xml" ContentType="application/vnd.openxmlformats-officedocument.spreadsheetml.comments+xml"/>
  <Override PartName="/xl/drawings/drawing11.xml" ContentType="application/vnd.openxmlformats-officedocument.drawing+xml"/>
  <Override PartName="/xl/comments9.xml" ContentType="application/vnd.openxmlformats-officedocument.spreadsheetml.comments+xml"/>
  <Override PartName="/xl/drawings/drawing12.xml" ContentType="application/vnd.openxmlformats-officedocument.drawing+xml"/>
  <Override PartName="/xl/comments10.xml" ContentType="application/vnd.openxmlformats-officedocument.spreadsheetml.comments+xml"/>
  <Override PartName="/xl/drawings/drawing13.xml" ContentType="application/vnd.openxmlformats-officedocument.drawing+xml"/>
  <Override PartName="/xl/comments11.xml" ContentType="application/vnd.openxmlformats-officedocument.spreadsheetml.comments+xml"/>
  <Override PartName="/xl/drawings/drawing14.xml" ContentType="application/vnd.openxmlformats-officedocument.drawing+xml"/>
  <Override PartName="/xl/comments12.xml" ContentType="application/vnd.openxmlformats-officedocument.spreadsheetml.comments+xml"/>
  <Override PartName="/xl/drawings/drawing15.xml" ContentType="application/vnd.openxmlformats-officedocument.drawing+xml"/>
  <Override PartName="/xl/comments13.xml" ContentType="application/vnd.openxmlformats-officedocument.spreadsheetml.comments+xml"/>
  <Override PartName="/xl/drawings/drawing16.xml" ContentType="application/vnd.openxmlformats-officedocument.drawing+xml"/>
  <Override PartName="/xl/comments14.xml" ContentType="application/vnd.openxmlformats-officedocument.spreadsheetml.comments+xml"/>
  <Override PartName="/xl/drawings/drawing17.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drawings/drawing18.xml" ContentType="application/vnd.openxmlformats-officedocument.drawing+xml"/>
  <Override PartName="/xl/comments17.xml" ContentType="application/vnd.openxmlformats-officedocument.spreadsheetml.comments+xml"/>
  <Override PartName="/xl/drawings/drawing19.xml" ContentType="application/vnd.openxmlformats-officedocument.drawing+xml"/>
  <Override PartName="/xl/comments18.xml" ContentType="application/vnd.openxmlformats-officedocument.spreadsheetml.comments+xml"/>
  <Override PartName="/xl/drawings/drawing20.xml" ContentType="application/vnd.openxmlformats-officedocument.drawing+xml"/>
  <Override PartName="/xl/comments19.xml" ContentType="application/vnd.openxmlformats-officedocument.spreadsheetml.comments+xml"/>
  <Override PartName="/xl/drawings/drawing21.xml" ContentType="application/vnd.openxmlformats-officedocument.drawing+xml"/>
  <Override PartName="/xl/comments20.xml" ContentType="application/vnd.openxmlformats-officedocument.spreadsheetml.comments+xml"/>
  <Override PartName="/xl/drawings/drawing22.xml" ContentType="application/vnd.openxmlformats-officedocument.drawing+xml"/>
  <Override PartName="/xl/comments21.xml" ContentType="application/vnd.openxmlformats-officedocument.spreadsheetml.comments+xml"/>
  <Override PartName="/xl/drawings/drawing23.xml" ContentType="application/vnd.openxmlformats-officedocument.drawing+xml"/>
  <Override PartName="/xl/comments22.xml" ContentType="application/vnd.openxmlformats-officedocument.spreadsheetml.comments+xml"/>
  <Override PartName="/xl/drawings/drawing24.xml" ContentType="application/vnd.openxmlformats-officedocument.drawing+xml"/>
  <Override PartName="/xl/comments23.xml" ContentType="application/vnd.openxmlformats-officedocument.spreadsheetml.comments+xml"/>
  <Override PartName="/xl/drawings/drawing25.xml" ContentType="application/vnd.openxmlformats-officedocument.drawing+xml"/>
  <Override PartName="/xl/comments24.xml" ContentType="application/vnd.openxmlformats-officedocument.spreadsheetml.comments+xml"/>
  <Override PartName="/xl/drawings/drawing26.xml" ContentType="application/vnd.openxmlformats-officedocument.drawing+xml"/>
  <Override PartName="/xl/comments25.xml" ContentType="application/vnd.openxmlformats-officedocument.spreadsheetml.comments+xml"/>
  <Override PartName="/xl/drawings/drawing27.xml" ContentType="application/vnd.openxmlformats-officedocument.drawing+xml"/>
  <Override PartName="/xl/comments2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mc:AlternateContent xmlns:mc="http://schemas.openxmlformats.org/markup-compatibility/2006">
    <mc:Choice Requires="x15">
      <x15ac:absPath xmlns:x15ac="http://schemas.microsoft.com/office/spreadsheetml/2010/11/ac" url="C:\Users\Usuário\Desktop\"/>
    </mc:Choice>
  </mc:AlternateContent>
  <bookViews>
    <workbookView xWindow="0" yWindow="0" windowWidth="28800" windowHeight="12435" tabRatio="460" firstSheet="2" activeTab="9"/>
  </bookViews>
  <sheets>
    <sheet name="Apresentação" sheetId="4" state="hidden" r:id="rId1"/>
    <sheet name="Painel" sheetId="44" state="hidden" r:id="rId2"/>
    <sheet name="Adubos e corretivos" sheetId="6" r:id="rId3"/>
    <sheet name="Análise de solo" sheetId="32" state="hidden" r:id="rId4"/>
    <sheet name="Análise foliar" sheetId="34" state="hidden" r:id="rId5"/>
    <sheet name="(M) Conversão de unidades" sheetId="50" state="hidden" r:id="rId6"/>
    <sheet name="Conversor unidades" sheetId="31" state="hidden" r:id="rId7"/>
    <sheet name="Espaçamentos" sheetId="33" state="hidden" r:id="rId8"/>
    <sheet name="SB e PRNT" sheetId="29" state="hidden" r:id="rId9"/>
    <sheet name="Abacate formação" sheetId="1" r:id="rId10"/>
    <sheet name="Abacate produção" sheetId="7" state="hidden" r:id="rId11"/>
    <sheet name="Abacaxi produção" sheetId="24" r:id="rId12"/>
    <sheet name="Acerola formação" sheetId="8" state="hidden" r:id="rId13"/>
    <sheet name="Acerola produção" sheetId="11" state="hidden" r:id="rId14"/>
    <sheet name="Banana formação antiga" sheetId="52" state="hidden" r:id="rId15"/>
    <sheet name="Banana produção antiga" sheetId="54" state="hidden" r:id="rId16"/>
    <sheet name="(M) Banana formação" sheetId="42" state="hidden" r:id="rId17"/>
    <sheet name="(M) Banana produção" sheetId="43" state="hidden" r:id="rId18"/>
    <sheet name="Citros formação" sheetId="10" state="hidden" r:id="rId19"/>
    <sheet name="Citros produção" sheetId="12" state="hidden" r:id="rId20"/>
    <sheet name="Goiaba formação" sheetId="13" state="hidden" r:id="rId21"/>
    <sheet name="Goiaba produção" sheetId="37" state="hidden" r:id="rId22"/>
    <sheet name="Graviola formação" sheetId="15" state="hidden" r:id="rId23"/>
    <sheet name="Graviola produção" sheetId="38" state="hidden" r:id="rId24"/>
    <sheet name="Mamão produção antigo" sheetId="55" state="hidden" r:id="rId25"/>
    <sheet name="(M) Mamão plantio a 5º mês" sheetId="47" state="hidden" r:id="rId26"/>
    <sheet name="(M) Mamão 5º mês a 1º ano" sheetId="48" state="hidden" r:id="rId27"/>
    <sheet name="(M) Mamão 2º ano" sheetId="49" state="hidden" r:id="rId28"/>
    <sheet name="Manga formação" sheetId="17" state="hidden" r:id="rId29"/>
    <sheet name="Manga produção" sheetId="18" state="hidden" r:id="rId30"/>
    <sheet name="Maracujá formação" sheetId="40" state="hidden" r:id="rId31"/>
    <sheet name="Maracujá produção" sheetId="41" state="hidden" r:id="rId32"/>
    <sheet name="Pitaya formação" sheetId="26" state="hidden" r:id="rId33"/>
    <sheet name="Pitaya produção" sheetId="27" state="hidden" r:id="rId34"/>
    <sheet name="Pupunha formação e produção" sheetId="20" state="hidden" r:id="rId35"/>
  </sheets>
  <externalReferences>
    <externalReference r:id="rId36"/>
  </externalReferences>
  <definedNames>
    <definedName name="_xlnm._FilterDatabase" localSheetId="2" hidden="1">'Adubos e corretivos'!$C$123:$V$123</definedName>
    <definedName name="_xlnm.Print_Area" localSheetId="16">'(M) Banana formação'!$B$1:$I$67</definedName>
    <definedName name="_xlnm.Print_Area" localSheetId="17">'(M) Banana produção'!$B$1:$I$67</definedName>
    <definedName name="_xlnm.Print_Area" localSheetId="27">'(M) Mamão 2º ano'!$B$1:$I$67</definedName>
    <definedName name="_xlnm.Print_Area" localSheetId="26">'(M) Mamão 5º mês a 1º ano'!$B$1:$I$67</definedName>
    <definedName name="_xlnm.Print_Area" localSheetId="25">'(M) Mamão plantio a 5º mês'!$B$1:$I$67</definedName>
    <definedName name="_xlnm.Print_Area" localSheetId="9">'Abacate formação'!$B$1:$I$67</definedName>
    <definedName name="_xlnm.Print_Area" localSheetId="10">'Abacate produção'!$B$1:$I$67</definedName>
    <definedName name="_xlnm.Print_Area" localSheetId="11">'Abacaxi produção'!$B$1:$I$67</definedName>
    <definedName name="_xlnm.Print_Area" localSheetId="12">'Acerola formação'!$B$1:$I$67</definedName>
    <definedName name="_xlnm.Print_Area" localSheetId="13">'Acerola produção'!$B$1:$I$67</definedName>
    <definedName name="_xlnm.Print_Area" localSheetId="3">'Análise de solo'!$B$1:$I$67</definedName>
    <definedName name="_xlnm.Print_Area" localSheetId="4">'Análise foliar'!$B$1:$I$47</definedName>
    <definedName name="_xlnm.Print_Area" localSheetId="14">'Banana formação antiga'!$A$1:$J$113</definedName>
    <definedName name="_xlnm.Print_Area" localSheetId="15">'Banana produção antiga'!$A$1:$J$113</definedName>
    <definedName name="_xlnm.Print_Area" localSheetId="18">'Citros formação'!$B$1:$I$67</definedName>
    <definedName name="_xlnm.Print_Area" localSheetId="19">'Citros produção'!$B$1:$I$67</definedName>
    <definedName name="_xlnm.Print_Area" localSheetId="20">'Goiaba formação'!$B$1:$I$67</definedName>
    <definedName name="_xlnm.Print_Area" localSheetId="21">'Goiaba produção'!$B$1:$I$67</definedName>
    <definedName name="_xlnm.Print_Area" localSheetId="22">'Graviola formação'!$B$1:$I$67</definedName>
    <definedName name="_xlnm.Print_Area" localSheetId="23">'Graviola produção'!$B$1:$I$67</definedName>
    <definedName name="_xlnm.Print_Area" localSheetId="24">'Mamão produção antigo'!$A$1:$J$113</definedName>
    <definedName name="_xlnm.Print_Area" localSheetId="28">'Manga formação'!$B$1:$I$67</definedName>
    <definedName name="_xlnm.Print_Area" localSheetId="29">'Manga produção'!$B$1:$I$67</definedName>
    <definedName name="_xlnm.Print_Area" localSheetId="30">'Maracujá formação'!$B$1:$I$67</definedName>
    <definedName name="_xlnm.Print_Area" localSheetId="31">'Maracujá produção'!$B$1:$I$67</definedName>
    <definedName name="_xlnm.Print_Area" localSheetId="32">'Pitaya formação'!$B$1:$I$67</definedName>
    <definedName name="_xlnm.Print_Area" localSheetId="33">'Pitaya produção'!$B$1:$I$67</definedName>
    <definedName name="_xlnm.Print_Area" localSheetId="34">'Pupunha formação e produção'!$B$1:$I$67</definedName>
    <definedName name="solver_adj" localSheetId="14" hidden="1">'Banana formação antiga'!$AA$188:$AA$214</definedName>
    <definedName name="solver_adj" localSheetId="15" hidden="1">'Banana produção antiga'!$AA$188:$AA$214</definedName>
    <definedName name="solver_adj" localSheetId="24" hidden="1">'Mamão produção antigo'!$AA$188:$AA$214</definedName>
    <definedName name="solver_cvg" localSheetId="14" hidden="1">0.0001</definedName>
    <definedName name="solver_cvg" localSheetId="15" hidden="1">0.0001</definedName>
    <definedName name="solver_cvg" localSheetId="24" hidden="1">0.0001</definedName>
    <definedName name="solver_drv" localSheetId="14" hidden="1">1</definedName>
    <definedName name="solver_drv" localSheetId="15" hidden="1">1</definedName>
    <definedName name="solver_drv" localSheetId="24" hidden="1">1</definedName>
    <definedName name="solver_eng" localSheetId="14" hidden="1">1</definedName>
    <definedName name="solver_eng" localSheetId="15" hidden="1">1</definedName>
    <definedName name="solver_eng" localSheetId="24" hidden="1">1</definedName>
    <definedName name="solver_est" localSheetId="14" hidden="1">1</definedName>
    <definedName name="solver_est" localSheetId="15" hidden="1">1</definedName>
    <definedName name="solver_est" localSheetId="24" hidden="1">1</definedName>
    <definedName name="solver_itr" localSheetId="14" hidden="1">2147483647</definedName>
    <definedName name="solver_itr" localSheetId="15" hidden="1">2147483647</definedName>
    <definedName name="solver_itr" localSheetId="24" hidden="1">2147483647</definedName>
    <definedName name="solver_lhs1" localSheetId="14" hidden="1">'Banana formação antiga'!$AC$215</definedName>
    <definedName name="solver_lhs1" localSheetId="15" hidden="1">'Banana produção antiga'!$AC$215</definedName>
    <definedName name="solver_lhs1" localSheetId="24" hidden="1">'Mamão produção antigo'!$AC$215</definedName>
    <definedName name="solver_lhs2" localSheetId="14" hidden="1">'Banana formação antiga'!$AD$215</definedName>
    <definedName name="solver_lhs2" localSheetId="15" hidden="1">'Banana produção antiga'!$AD$215</definedName>
    <definedName name="solver_lhs2" localSheetId="24" hidden="1">'Mamão produção antigo'!$AD$215</definedName>
    <definedName name="solver_lhs3" localSheetId="14" hidden="1">'Banana formação antiga'!$AE$215</definedName>
    <definedName name="solver_lhs3" localSheetId="15" hidden="1">'Banana produção antiga'!$AE$215</definedName>
    <definedName name="solver_lhs3" localSheetId="24" hidden="1">'Mamão produção antigo'!$AE$215</definedName>
    <definedName name="solver_mip" localSheetId="14" hidden="1">2147483647</definedName>
    <definedName name="solver_mip" localSheetId="15" hidden="1">2147483647</definedName>
    <definedName name="solver_mip" localSheetId="24" hidden="1">2147483647</definedName>
    <definedName name="solver_mni" localSheetId="14" hidden="1">30</definedName>
    <definedName name="solver_mni" localSheetId="15" hidden="1">30</definedName>
    <definedName name="solver_mni" localSheetId="24" hidden="1">30</definedName>
    <definedName name="solver_mrt" localSheetId="14" hidden="1">0.075</definedName>
    <definedName name="solver_mrt" localSheetId="15" hidden="1">0.075</definedName>
    <definedName name="solver_mrt" localSheetId="24" hidden="1">0.075</definedName>
    <definedName name="solver_msl" localSheetId="14" hidden="1">2</definedName>
    <definedName name="solver_msl" localSheetId="15" hidden="1">2</definedName>
    <definedName name="solver_msl" localSheetId="24" hidden="1">2</definedName>
    <definedName name="solver_neg" localSheetId="14" hidden="1">1</definedName>
    <definedName name="solver_neg" localSheetId="15" hidden="1">1</definedName>
    <definedName name="solver_neg" localSheetId="24" hidden="1">1</definedName>
    <definedName name="solver_nod" localSheetId="14" hidden="1">2147483647</definedName>
    <definedName name="solver_nod" localSheetId="15" hidden="1">2147483647</definedName>
    <definedName name="solver_nod" localSheetId="24" hidden="1">2147483647</definedName>
    <definedName name="solver_num" localSheetId="14" hidden="1">3</definedName>
    <definedName name="solver_num" localSheetId="15" hidden="1">3</definedName>
    <definedName name="solver_num" localSheetId="24" hidden="1">3</definedName>
    <definedName name="solver_nwt" localSheetId="14" hidden="1">1</definedName>
    <definedName name="solver_nwt" localSheetId="15" hidden="1">1</definedName>
    <definedName name="solver_nwt" localSheetId="24" hidden="1">1</definedName>
    <definedName name="solver_opt" localSheetId="14" hidden="1">'Banana formação antiga'!$AB$215</definedName>
    <definedName name="solver_opt" localSheetId="15" hidden="1">'Banana produção antiga'!$AB$215</definedName>
    <definedName name="solver_opt" localSheetId="24" hidden="1">'Mamão produção antigo'!$AB$215</definedName>
    <definedName name="solver_pre" localSheetId="14" hidden="1">0.000001</definedName>
    <definedName name="solver_pre" localSheetId="15" hidden="1">0.000001</definedName>
    <definedName name="solver_pre" localSheetId="24" hidden="1">0.000001</definedName>
    <definedName name="solver_rbv" localSheetId="14" hidden="1">1</definedName>
    <definedName name="solver_rbv" localSheetId="15" hidden="1">1</definedName>
    <definedName name="solver_rbv" localSheetId="24" hidden="1">1</definedName>
    <definedName name="solver_rel1" localSheetId="14" hidden="1">2</definedName>
    <definedName name="solver_rel1" localSheetId="15" hidden="1">2</definedName>
    <definedName name="solver_rel1" localSheetId="24" hidden="1">2</definedName>
    <definedName name="solver_rel2" localSheetId="14" hidden="1">2</definedName>
    <definedName name="solver_rel2" localSheetId="15" hidden="1">2</definedName>
    <definedName name="solver_rel2" localSheetId="24" hidden="1">2</definedName>
    <definedName name="solver_rel3" localSheetId="14" hidden="1">2</definedName>
    <definedName name="solver_rel3" localSheetId="15" hidden="1">2</definedName>
    <definedName name="solver_rel3" localSheetId="24" hidden="1">2</definedName>
    <definedName name="solver_rhs1" localSheetId="14" hidden="1">'Banana formação antiga'!$AC$30</definedName>
    <definedName name="solver_rhs1" localSheetId="15" hidden="1">'Banana produção antiga'!$AC$30</definedName>
    <definedName name="solver_rhs1" localSheetId="24" hidden="1">'Mamão produção antigo'!$AC$30</definedName>
    <definedName name="solver_rhs2" localSheetId="14" hidden="1">'Banana formação antiga'!$AC$31</definedName>
    <definedName name="solver_rhs2" localSheetId="15" hidden="1">'Banana produção antiga'!$AC$31</definedName>
    <definedName name="solver_rhs2" localSheetId="24" hidden="1">'Mamão produção antigo'!$AC$31</definedName>
    <definedName name="solver_rhs3" localSheetId="14" hidden="1">'Banana formação antiga'!$AC$32</definedName>
    <definedName name="solver_rhs3" localSheetId="15" hidden="1">'Banana produção antiga'!$AC$32</definedName>
    <definedName name="solver_rhs3" localSheetId="24" hidden="1">'Mamão produção antigo'!$AC$32</definedName>
    <definedName name="solver_rlx" localSheetId="14" hidden="1">2</definedName>
    <definedName name="solver_rlx" localSheetId="15" hidden="1">2</definedName>
    <definedName name="solver_rlx" localSheetId="24" hidden="1">2</definedName>
    <definedName name="solver_rsd" localSheetId="14" hidden="1">0</definedName>
    <definedName name="solver_rsd" localSheetId="15" hidden="1">0</definedName>
    <definedName name="solver_rsd" localSheetId="24" hidden="1">0</definedName>
    <definedName name="solver_scl" localSheetId="14" hidden="1">1</definedName>
    <definedName name="solver_scl" localSheetId="15" hidden="1">1</definedName>
    <definedName name="solver_scl" localSheetId="24" hidden="1">1</definedName>
    <definedName name="solver_sho" localSheetId="14" hidden="1">2</definedName>
    <definedName name="solver_sho" localSheetId="15" hidden="1">2</definedName>
    <definedName name="solver_sho" localSheetId="24" hidden="1">2</definedName>
    <definedName name="solver_ssz" localSheetId="14" hidden="1">100</definedName>
    <definedName name="solver_ssz" localSheetId="15" hidden="1">100</definedName>
    <definedName name="solver_ssz" localSheetId="24" hidden="1">100</definedName>
    <definedName name="solver_tim" localSheetId="14" hidden="1">2147483647</definedName>
    <definedName name="solver_tim" localSheetId="15" hidden="1">2147483647</definedName>
    <definedName name="solver_tim" localSheetId="24" hidden="1">2147483647</definedName>
    <definedName name="solver_tol" localSheetId="14" hidden="1">0.01</definedName>
    <definedName name="solver_tol" localSheetId="15" hidden="1">0.01</definedName>
    <definedName name="solver_tol" localSheetId="24" hidden="1">0.01</definedName>
    <definedName name="solver_typ" localSheetId="14" hidden="1">2</definedName>
    <definedName name="solver_typ" localSheetId="15" hidden="1">2</definedName>
    <definedName name="solver_typ" localSheetId="24" hidden="1">2</definedName>
    <definedName name="solver_val" localSheetId="14" hidden="1">0</definedName>
    <definedName name="solver_val" localSheetId="15" hidden="1">0</definedName>
    <definedName name="solver_val" localSheetId="24" hidden="1">0</definedName>
    <definedName name="solver_ver" localSheetId="14" hidden="1">3</definedName>
    <definedName name="solver_ver" localSheetId="15" hidden="1">3</definedName>
    <definedName name="solver_ver" localSheetId="24" hidden="1">3</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215" i="55" l="1"/>
  <c r="V214" i="55"/>
  <c r="V213" i="55"/>
  <c r="V212" i="55"/>
  <c r="V211" i="55"/>
  <c r="V210" i="55"/>
  <c r="V209" i="55"/>
  <c r="V208" i="55"/>
  <c r="V207" i="55"/>
  <c r="V206" i="55"/>
  <c r="V205" i="55"/>
  <c r="V204" i="55"/>
  <c r="V203" i="55"/>
  <c r="V202" i="55"/>
  <c r="V201" i="55"/>
  <c r="V200" i="55"/>
  <c r="V199" i="55"/>
  <c r="V198" i="55"/>
  <c r="V197" i="55"/>
  <c r="V196" i="55"/>
  <c r="V195" i="55"/>
  <c r="V194" i="55"/>
  <c r="V193" i="55"/>
  <c r="V192" i="55"/>
  <c r="V191" i="55"/>
  <c r="V190" i="55"/>
  <c r="V189" i="55"/>
  <c r="V188" i="55"/>
  <c r="AO179" i="55"/>
  <c r="AN179" i="55"/>
  <c r="AM179" i="55"/>
  <c r="AL179" i="55"/>
  <c r="AK179" i="55"/>
  <c r="AJ179" i="55"/>
  <c r="AI179" i="55"/>
  <c r="AH179" i="55"/>
  <c r="AG179" i="55"/>
  <c r="AF179" i="55"/>
  <c r="AE179" i="55"/>
  <c r="AD179" i="55"/>
  <c r="AC179" i="55"/>
  <c r="AB179" i="55"/>
  <c r="AA179" i="55"/>
  <c r="Z179" i="55"/>
  <c r="Y179" i="55"/>
  <c r="X179" i="55"/>
  <c r="W179" i="55"/>
  <c r="V179" i="55"/>
  <c r="AO178" i="55"/>
  <c r="AN178" i="55"/>
  <c r="AM178" i="55"/>
  <c r="AL178" i="55"/>
  <c r="AK178" i="55"/>
  <c r="AJ178" i="55"/>
  <c r="AI178" i="55"/>
  <c r="AH178" i="55"/>
  <c r="AG178" i="55"/>
  <c r="AF178" i="55"/>
  <c r="AE178" i="55"/>
  <c r="AD178" i="55"/>
  <c r="AC178" i="55"/>
  <c r="AB178" i="55"/>
  <c r="AA178" i="55"/>
  <c r="Z178" i="55"/>
  <c r="Y178" i="55"/>
  <c r="X178" i="55"/>
  <c r="W178" i="55"/>
  <c r="V178" i="55"/>
  <c r="AO177" i="55"/>
  <c r="AN177" i="55"/>
  <c r="AM177" i="55"/>
  <c r="AL177" i="55"/>
  <c r="AK177" i="55"/>
  <c r="AJ177" i="55"/>
  <c r="AI177" i="55"/>
  <c r="AH177" i="55"/>
  <c r="AG177" i="55"/>
  <c r="AF177" i="55"/>
  <c r="AE177" i="55"/>
  <c r="AD177" i="55"/>
  <c r="AC177" i="55"/>
  <c r="AB177" i="55"/>
  <c r="AA177" i="55"/>
  <c r="Z177" i="55"/>
  <c r="Y177" i="55"/>
  <c r="X177" i="55"/>
  <c r="W177" i="55"/>
  <c r="V177" i="55"/>
  <c r="AO176" i="55"/>
  <c r="AN176" i="55"/>
  <c r="AM176" i="55"/>
  <c r="AL176" i="55"/>
  <c r="AK176" i="55"/>
  <c r="AJ176" i="55"/>
  <c r="AI176" i="55"/>
  <c r="AH176" i="55"/>
  <c r="AG176" i="55"/>
  <c r="AF176" i="55"/>
  <c r="AE176" i="55"/>
  <c r="AD176" i="55"/>
  <c r="AC176" i="55"/>
  <c r="AB176" i="55"/>
  <c r="AA176" i="55"/>
  <c r="Z176" i="55"/>
  <c r="Y176" i="55"/>
  <c r="X176" i="55"/>
  <c r="W176" i="55"/>
  <c r="V176" i="55"/>
  <c r="AO175" i="55"/>
  <c r="AN175" i="55"/>
  <c r="AM175" i="55"/>
  <c r="AL175" i="55"/>
  <c r="AK175" i="55"/>
  <c r="AJ175" i="55"/>
  <c r="AI175" i="55"/>
  <c r="AH175" i="55"/>
  <c r="AG175" i="55"/>
  <c r="AF175" i="55"/>
  <c r="AE175" i="55"/>
  <c r="AD175" i="55"/>
  <c r="AC175" i="55"/>
  <c r="AB175" i="55"/>
  <c r="AA175" i="55"/>
  <c r="Z175" i="55"/>
  <c r="Y175" i="55"/>
  <c r="X175" i="55"/>
  <c r="W175" i="55"/>
  <c r="V175" i="55"/>
  <c r="AO174" i="55"/>
  <c r="AN174" i="55"/>
  <c r="AM174" i="55"/>
  <c r="AL174" i="55"/>
  <c r="AK174" i="55"/>
  <c r="AJ174" i="55"/>
  <c r="AI174" i="55"/>
  <c r="AH174" i="55"/>
  <c r="AG174" i="55"/>
  <c r="AF174" i="55"/>
  <c r="AE174" i="55"/>
  <c r="AD174" i="55"/>
  <c r="AC174" i="55"/>
  <c r="AB174" i="55"/>
  <c r="AA174" i="55"/>
  <c r="Z174" i="55"/>
  <c r="Y174" i="55"/>
  <c r="X174" i="55"/>
  <c r="W174" i="55"/>
  <c r="V174" i="55"/>
  <c r="AO173" i="55"/>
  <c r="AN173" i="55"/>
  <c r="AM173" i="55"/>
  <c r="AL173" i="55"/>
  <c r="AK173" i="55"/>
  <c r="AJ173" i="55"/>
  <c r="AI173" i="55"/>
  <c r="AH173" i="55"/>
  <c r="AG173" i="55"/>
  <c r="AF173" i="55"/>
  <c r="AE173" i="55"/>
  <c r="AD173" i="55"/>
  <c r="AC173" i="55"/>
  <c r="AB173" i="55"/>
  <c r="AA173" i="55"/>
  <c r="Z173" i="55"/>
  <c r="Y173" i="55"/>
  <c r="X173" i="55"/>
  <c r="W173" i="55"/>
  <c r="V173" i="55"/>
  <c r="AO172" i="55"/>
  <c r="AN172" i="55"/>
  <c r="AM172" i="55"/>
  <c r="AL172" i="55"/>
  <c r="AK172" i="55"/>
  <c r="AJ172" i="55"/>
  <c r="AI172" i="55"/>
  <c r="AH172" i="55"/>
  <c r="AG172" i="55"/>
  <c r="AF172" i="55"/>
  <c r="AE172" i="55"/>
  <c r="AD172" i="55"/>
  <c r="AC172" i="55"/>
  <c r="AB172" i="55"/>
  <c r="AA172" i="55"/>
  <c r="Z172" i="55"/>
  <c r="Y172" i="55"/>
  <c r="X172" i="55"/>
  <c r="W172" i="55"/>
  <c r="V172" i="55"/>
  <c r="AO171" i="55"/>
  <c r="AN171" i="55"/>
  <c r="AM171" i="55"/>
  <c r="AL171" i="55"/>
  <c r="AK171" i="55"/>
  <c r="AJ171" i="55"/>
  <c r="AI171" i="55"/>
  <c r="AH171" i="55"/>
  <c r="AG171" i="55"/>
  <c r="AF171" i="55"/>
  <c r="AE171" i="55"/>
  <c r="AD171" i="55"/>
  <c r="AC171" i="55"/>
  <c r="AB171" i="55"/>
  <c r="AA171" i="55"/>
  <c r="Z171" i="55"/>
  <c r="Y171" i="55"/>
  <c r="X171" i="55"/>
  <c r="W171" i="55"/>
  <c r="V171" i="55"/>
  <c r="AO170" i="55"/>
  <c r="AN170" i="55"/>
  <c r="AM170" i="55"/>
  <c r="AL170" i="55"/>
  <c r="AK170" i="55"/>
  <c r="AJ170" i="55"/>
  <c r="AI170" i="55"/>
  <c r="AH170" i="55"/>
  <c r="AG170" i="55"/>
  <c r="AF170" i="55"/>
  <c r="AE170" i="55"/>
  <c r="AD170" i="55"/>
  <c r="AC170" i="55"/>
  <c r="AB170" i="55"/>
  <c r="AA170" i="55"/>
  <c r="Z170" i="55"/>
  <c r="Y170" i="55"/>
  <c r="X170" i="55"/>
  <c r="W170" i="55"/>
  <c r="V170" i="55"/>
  <c r="AO169" i="55"/>
  <c r="AN169" i="55"/>
  <c r="AM169" i="55"/>
  <c r="AL169" i="55"/>
  <c r="AK169" i="55"/>
  <c r="AJ169" i="55"/>
  <c r="AI169" i="55"/>
  <c r="AH169" i="55"/>
  <c r="AG169" i="55"/>
  <c r="AF169" i="55"/>
  <c r="AE169" i="55"/>
  <c r="AD169" i="55"/>
  <c r="AC169" i="55"/>
  <c r="AB169" i="55"/>
  <c r="AA169" i="55"/>
  <c r="Z169" i="55"/>
  <c r="Y169" i="55"/>
  <c r="X169" i="55"/>
  <c r="W169" i="55"/>
  <c r="V169" i="55"/>
  <c r="AO168" i="55"/>
  <c r="AN168" i="55"/>
  <c r="AM168" i="55"/>
  <c r="AL168" i="55"/>
  <c r="AK168" i="55"/>
  <c r="AJ168" i="55"/>
  <c r="AI168" i="55"/>
  <c r="AH168" i="55"/>
  <c r="AG168" i="55"/>
  <c r="AF168" i="55"/>
  <c r="AE168" i="55"/>
  <c r="AD168" i="55"/>
  <c r="AD95" i="55" s="1"/>
  <c r="AC168" i="55"/>
  <c r="AB168" i="55"/>
  <c r="AB95" i="55" s="1"/>
  <c r="AE95" i="55" s="1"/>
  <c r="AA168" i="55"/>
  <c r="Z168" i="55"/>
  <c r="Y168" i="55"/>
  <c r="X168" i="55"/>
  <c r="W168" i="55"/>
  <c r="V168" i="55"/>
  <c r="V95" i="55" s="1"/>
  <c r="AO167" i="55"/>
  <c r="AN167" i="55"/>
  <c r="AM167" i="55"/>
  <c r="AL167" i="55"/>
  <c r="AK167" i="55"/>
  <c r="AJ167" i="55"/>
  <c r="AI167" i="55"/>
  <c r="AH167" i="55"/>
  <c r="AG167" i="55"/>
  <c r="AF167" i="55"/>
  <c r="AE167" i="55"/>
  <c r="AD167" i="55"/>
  <c r="AD94" i="55" s="1"/>
  <c r="AC167" i="55"/>
  <c r="AB167" i="55"/>
  <c r="AA167" i="55"/>
  <c r="Z167" i="55"/>
  <c r="Z94" i="55" s="1"/>
  <c r="Y167" i="55"/>
  <c r="X167" i="55"/>
  <c r="W167" i="55"/>
  <c r="V167" i="55"/>
  <c r="AO166" i="55"/>
  <c r="AN166" i="55"/>
  <c r="AM166" i="55"/>
  <c r="AL166" i="55"/>
  <c r="X93" i="55" s="1"/>
  <c r="AK166" i="55"/>
  <c r="AJ166" i="55"/>
  <c r="AI166" i="55"/>
  <c r="AH166" i="55"/>
  <c r="AG166" i="55"/>
  <c r="AF166" i="55"/>
  <c r="AE166" i="55"/>
  <c r="AD166" i="55"/>
  <c r="AC166" i="55"/>
  <c r="AB166" i="55"/>
  <c r="AA166" i="55"/>
  <c r="Z166" i="55"/>
  <c r="Y166" i="55"/>
  <c r="X166" i="55"/>
  <c r="W166" i="55"/>
  <c r="V166" i="55"/>
  <c r="AO165" i="55"/>
  <c r="AN165" i="55"/>
  <c r="AM165" i="55"/>
  <c r="AL165" i="55"/>
  <c r="AK165" i="55"/>
  <c r="AJ165" i="55"/>
  <c r="AI165" i="55"/>
  <c r="AH165" i="55"/>
  <c r="AG165" i="55"/>
  <c r="AF165" i="55"/>
  <c r="AE165" i="55"/>
  <c r="AD165" i="55"/>
  <c r="AC165" i="55"/>
  <c r="AB165" i="55"/>
  <c r="AB92" i="55" s="1"/>
  <c r="AA165" i="55"/>
  <c r="Z165" i="55"/>
  <c r="Y165" i="55"/>
  <c r="X165" i="55"/>
  <c r="W165" i="55"/>
  <c r="V165" i="55"/>
  <c r="V92" i="55" s="1"/>
  <c r="AO164" i="55"/>
  <c r="AN164" i="55"/>
  <c r="AM164" i="55"/>
  <c r="AL164" i="55"/>
  <c r="X91" i="55" s="1"/>
  <c r="AK164" i="55"/>
  <c r="AJ164" i="55"/>
  <c r="AI164" i="55"/>
  <c r="AH164" i="55"/>
  <c r="AG164" i="55"/>
  <c r="AF164" i="55"/>
  <c r="AE164" i="55"/>
  <c r="AD164" i="55"/>
  <c r="AD91" i="55" s="1"/>
  <c r="AE91" i="55" s="1"/>
  <c r="AC164" i="55"/>
  <c r="AB164" i="55"/>
  <c r="AA164" i="55"/>
  <c r="Z164" i="55"/>
  <c r="Z91" i="55" s="1"/>
  <c r="Y164" i="55"/>
  <c r="X164" i="55"/>
  <c r="W164" i="55"/>
  <c r="V164" i="55"/>
  <c r="AO163" i="55"/>
  <c r="AN163" i="55"/>
  <c r="AM163" i="55"/>
  <c r="AL163" i="55"/>
  <c r="X90" i="55" s="1"/>
  <c r="AK163" i="55"/>
  <c r="AJ163" i="55"/>
  <c r="AI163" i="55"/>
  <c r="AH163" i="55"/>
  <c r="AG163" i="55"/>
  <c r="AF163" i="55"/>
  <c r="AE163" i="55"/>
  <c r="AD163" i="55"/>
  <c r="AC163" i="55"/>
  <c r="AB163" i="55"/>
  <c r="AB90" i="55" s="1"/>
  <c r="AA163" i="55"/>
  <c r="Z163" i="55"/>
  <c r="Z90" i="55" s="1"/>
  <c r="Y163" i="55"/>
  <c r="X163" i="55"/>
  <c r="W163" i="55"/>
  <c r="V163" i="55"/>
  <c r="V90" i="55" s="1"/>
  <c r="AO162" i="55"/>
  <c r="AN162" i="55"/>
  <c r="AM162" i="55"/>
  <c r="AL162" i="55"/>
  <c r="AK162" i="55"/>
  <c r="AJ162" i="55"/>
  <c r="AI162" i="55"/>
  <c r="AH162" i="55"/>
  <c r="AG162" i="55"/>
  <c r="AF162" i="55"/>
  <c r="AE162" i="55"/>
  <c r="AD162" i="55"/>
  <c r="AD89" i="55" s="1"/>
  <c r="AC162" i="55"/>
  <c r="AB162" i="55"/>
  <c r="AB89" i="55" s="1"/>
  <c r="AE89" i="55" s="1"/>
  <c r="AA162" i="55"/>
  <c r="Z162" i="55"/>
  <c r="Y162" i="55"/>
  <c r="X162" i="55"/>
  <c r="W162" i="55"/>
  <c r="V162" i="55"/>
  <c r="V89" i="55" s="1"/>
  <c r="AO161" i="55"/>
  <c r="AN161" i="55"/>
  <c r="AM161" i="55"/>
  <c r="AL161" i="55"/>
  <c r="AK161" i="55"/>
  <c r="AJ161" i="55"/>
  <c r="AI161" i="55"/>
  <c r="AH161" i="55"/>
  <c r="AG161" i="55"/>
  <c r="AF161" i="55"/>
  <c r="AE161" i="55"/>
  <c r="AD161" i="55"/>
  <c r="AD88" i="55" s="1"/>
  <c r="AC161" i="55"/>
  <c r="AB161" i="55"/>
  <c r="AA161" i="55"/>
  <c r="Z161" i="55"/>
  <c r="Y161" i="55"/>
  <c r="X161" i="55"/>
  <c r="W161" i="55"/>
  <c r="V161" i="55"/>
  <c r="AO160" i="55"/>
  <c r="AN160" i="55"/>
  <c r="AM160" i="55"/>
  <c r="AL160" i="55"/>
  <c r="X87" i="55" s="1"/>
  <c r="AK160" i="55"/>
  <c r="AJ160" i="55"/>
  <c r="AI160" i="55"/>
  <c r="AH160" i="55"/>
  <c r="AG160" i="55"/>
  <c r="AF160" i="55"/>
  <c r="AE160" i="55"/>
  <c r="AD160" i="55"/>
  <c r="AC160" i="55"/>
  <c r="AB160" i="55"/>
  <c r="AA160" i="55"/>
  <c r="Z160" i="55"/>
  <c r="Z87" i="55" s="1"/>
  <c r="Y160" i="55"/>
  <c r="X160" i="55"/>
  <c r="W160" i="55"/>
  <c r="V160" i="55"/>
  <c r="AO159" i="55"/>
  <c r="AN159" i="55"/>
  <c r="AM159" i="55"/>
  <c r="AL159" i="55"/>
  <c r="AK159" i="55"/>
  <c r="AJ159" i="55"/>
  <c r="AI159" i="55"/>
  <c r="AH159" i="55"/>
  <c r="AG159" i="55"/>
  <c r="AF159" i="55"/>
  <c r="AE159" i="55"/>
  <c r="AD159" i="55"/>
  <c r="AC159" i="55"/>
  <c r="AB159" i="55"/>
  <c r="AA159" i="55"/>
  <c r="Z159" i="55"/>
  <c r="Y159" i="55"/>
  <c r="X159" i="55"/>
  <c r="W159" i="55"/>
  <c r="V159" i="55"/>
  <c r="AO158" i="55"/>
  <c r="AN158" i="55"/>
  <c r="AM158" i="55"/>
  <c r="AL158" i="55"/>
  <c r="AK158" i="55"/>
  <c r="AJ158" i="55"/>
  <c r="AI158" i="55"/>
  <c r="AH158" i="55"/>
  <c r="AG158" i="55"/>
  <c r="AF158" i="55"/>
  <c r="AE158" i="55"/>
  <c r="AD158" i="55"/>
  <c r="AC158" i="55"/>
  <c r="AB158" i="55"/>
  <c r="AA158" i="55"/>
  <c r="Z158" i="55"/>
  <c r="Y158" i="55"/>
  <c r="X158" i="55"/>
  <c r="W158" i="55"/>
  <c r="V158" i="55"/>
  <c r="AO157" i="55"/>
  <c r="AN157" i="55"/>
  <c r="AM157" i="55"/>
  <c r="AL157" i="55"/>
  <c r="AK157" i="55"/>
  <c r="AJ157" i="55"/>
  <c r="AI157" i="55"/>
  <c r="AH157" i="55"/>
  <c r="AG157" i="55"/>
  <c r="AF157" i="55"/>
  <c r="AE157" i="55"/>
  <c r="AD157" i="55"/>
  <c r="AC157" i="55"/>
  <c r="AB157" i="55"/>
  <c r="AA157" i="55"/>
  <c r="Z157" i="55"/>
  <c r="Y157" i="55"/>
  <c r="X157" i="55"/>
  <c r="W157" i="55"/>
  <c r="V157" i="55"/>
  <c r="AO156" i="55"/>
  <c r="AN156" i="55"/>
  <c r="AM156" i="55"/>
  <c r="AL156" i="55"/>
  <c r="AK156" i="55"/>
  <c r="AJ156" i="55"/>
  <c r="AI156" i="55"/>
  <c r="AH156" i="55"/>
  <c r="AG156" i="55"/>
  <c r="AF156" i="55"/>
  <c r="AE156" i="55"/>
  <c r="AD156" i="55"/>
  <c r="AC156" i="55"/>
  <c r="AB156" i="55"/>
  <c r="AA156" i="55"/>
  <c r="Z156" i="55"/>
  <c r="Y156" i="55"/>
  <c r="X156" i="55"/>
  <c r="W156" i="55"/>
  <c r="V156" i="55"/>
  <c r="AO155" i="55"/>
  <c r="AN155" i="55"/>
  <c r="AM155" i="55"/>
  <c r="AL155" i="55"/>
  <c r="AK155" i="55"/>
  <c r="AJ155" i="55"/>
  <c r="AI155" i="55"/>
  <c r="AH155" i="55"/>
  <c r="AG155" i="55"/>
  <c r="AF155" i="55"/>
  <c r="AE155" i="55"/>
  <c r="AD155" i="55"/>
  <c r="AC155" i="55"/>
  <c r="AB155" i="55"/>
  <c r="AA155" i="55"/>
  <c r="Z155" i="55"/>
  <c r="Y155" i="55"/>
  <c r="X155" i="55"/>
  <c r="W155" i="55"/>
  <c r="V155" i="55"/>
  <c r="AO154" i="55"/>
  <c r="AN154" i="55"/>
  <c r="AM154" i="55"/>
  <c r="AL154" i="55"/>
  <c r="AK154" i="55"/>
  <c r="AJ154" i="55"/>
  <c r="AI154" i="55"/>
  <c r="AH154" i="55"/>
  <c r="AG154" i="55"/>
  <c r="AF154" i="55"/>
  <c r="AE154" i="55"/>
  <c r="AD154" i="55"/>
  <c r="AC154" i="55"/>
  <c r="AB154" i="55"/>
  <c r="AA154" i="55"/>
  <c r="Z154" i="55"/>
  <c r="Y154" i="55"/>
  <c r="X154" i="55"/>
  <c r="W154" i="55"/>
  <c r="V154" i="55"/>
  <c r="AO153" i="55"/>
  <c r="AN153" i="55"/>
  <c r="AM153" i="55"/>
  <c r="AL153" i="55"/>
  <c r="AK153" i="55"/>
  <c r="AJ153" i="55"/>
  <c r="AI153" i="55"/>
  <c r="AH153" i="55"/>
  <c r="AG153" i="55"/>
  <c r="AF153" i="55"/>
  <c r="AE153" i="55"/>
  <c r="AD153" i="55"/>
  <c r="AC153" i="55"/>
  <c r="AB153" i="55"/>
  <c r="AA153" i="55"/>
  <c r="Z153" i="55"/>
  <c r="Y153" i="55"/>
  <c r="X153" i="55"/>
  <c r="W153" i="55"/>
  <c r="V153" i="55"/>
  <c r="AO152" i="55"/>
  <c r="AN152" i="55"/>
  <c r="AM152" i="55"/>
  <c r="AL152" i="55"/>
  <c r="AK152" i="55"/>
  <c r="AJ152" i="55"/>
  <c r="AI152" i="55"/>
  <c r="AH152" i="55"/>
  <c r="AG152" i="55"/>
  <c r="AF152" i="55"/>
  <c r="AE152" i="55"/>
  <c r="AD152" i="55"/>
  <c r="AC152" i="55"/>
  <c r="AB152" i="55"/>
  <c r="AA152" i="55"/>
  <c r="Z152" i="55"/>
  <c r="Y152" i="55"/>
  <c r="X152" i="55"/>
  <c r="W152" i="55"/>
  <c r="V152" i="55"/>
  <c r="AO151" i="55"/>
  <c r="AN151" i="55"/>
  <c r="AM151" i="55"/>
  <c r="AL151" i="55"/>
  <c r="AK151" i="55"/>
  <c r="AJ151" i="55"/>
  <c r="AI151" i="55"/>
  <c r="AH151" i="55"/>
  <c r="AG151" i="55"/>
  <c r="AF151" i="55"/>
  <c r="AE151" i="55"/>
  <c r="AD151" i="55"/>
  <c r="AC151" i="55"/>
  <c r="AB151" i="55"/>
  <c r="AA151" i="55"/>
  <c r="Z151" i="55"/>
  <c r="Y151" i="55"/>
  <c r="X151" i="55"/>
  <c r="W151" i="55"/>
  <c r="V151" i="55"/>
  <c r="AO150" i="55"/>
  <c r="AN150" i="55"/>
  <c r="AM150" i="55"/>
  <c r="AL150" i="55"/>
  <c r="AK150" i="55"/>
  <c r="AJ150" i="55"/>
  <c r="AI150" i="55"/>
  <c r="AH150" i="55"/>
  <c r="AG150" i="55"/>
  <c r="AF150" i="55"/>
  <c r="AE150" i="55"/>
  <c r="AD150" i="55"/>
  <c r="AC150" i="55"/>
  <c r="AB150" i="55"/>
  <c r="AA150" i="55"/>
  <c r="Z150" i="55"/>
  <c r="Y150" i="55"/>
  <c r="X150" i="55"/>
  <c r="W150" i="55"/>
  <c r="V150" i="55"/>
  <c r="AO149" i="55"/>
  <c r="AN149" i="55"/>
  <c r="AM149" i="55"/>
  <c r="AL149" i="55"/>
  <c r="AK149" i="55"/>
  <c r="AJ149" i="55"/>
  <c r="AI149" i="55"/>
  <c r="AH149" i="55"/>
  <c r="AG149" i="55"/>
  <c r="AF149" i="55"/>
  <c r="AE149" i="55"/>
  <c r="AD149" i="55"/>
  <c r="AC149" i="55"/>
  <c r="AB149" i="55"/>
  <c r="AA149" i="55"/>
  <c r="Z149" i="55"/>
  <c r="Y149" i="55"/>
  <c r="X149" i="55"/>
  <c r="W149" i="55"/>
  <c r="V149" i="55"/>
  <c r="AO148" i="55"/>
  <c r="AN148" i="55"/>
  <c r="AM148" i="55"/>
  <c r="AL148" i="55"/>
  <c r="AK148" i="55"/>
  <c r="AJ148" i="55"/>
  <c r="AI148" i="55"/>
  <c r="AH148" i="55"/>
  <c r="AG148" i="55"/>
  <c r="AF148" i="55"/>
  <c r="AE148" i="55"/>
  <c r="AD148" i="55"/>
  <c r="AC148" i="55"/>
  <c r="AB148" i="55"/>
  <c r="AA148" i="55"/>
  <c r="Z148" i="55"/>
  <c r="Y148" i="55"/>
  <c r="X148" i="55"/>
  <c r="W148" i="55"/>
  <c r="V148" i="55"/>
  <c r="AO147" i="55"/>
  <c r="AN147" i="55"/>
  <c r="AM147" i="55"/>
  <c r="AL147" i="55"/>
  <c r="AK147" i="55"/>
  <c r="AJ147" i="55"/>
  <c r="AI147" i="55"/>
  <c r="AH147" i="55"/>
  <c r="AG147" i="55"/>
  <c r="AF147" i="55"/>
  <c r="AE147" i="55"/>
  <c r="AD147" i="55"/>
  <c r="AC147" i="55"/>
  <c r="AB147" i="55"/>
  <c r="AA147" i="55"/>
  <c r="Z147" i="55"/>
  <c r="Y147" i="55"/>
  <c r="X147" i="55"/>
  <c r="W147" i="55"/>
  <c r="V147" i="55"/>
  <c r="AO146" i="55"/>
  <c r="AN146" i="55"/>
  <c r="AM146" i="55"/>
  <c r="AL146" i="55"/>
  <c r="AK146" i="55"/>
  <c r="AJ146" i="55"/>
  <c r="AI146" i="55"/>
  <c r="AH146" i="55"/>
  <c r="AG146" i="55"/>
  <c r="AF146" i="55"/>
  <c r="AE146" i="55"/>
  <c r="AD146" i="55"/>
  <c r="AC146" i="55"/>
  <c r="AB146" i="55"/>
  <c r="AA146" i="55"/>
  <c r="Z146" i="55"/>
  <c r="Y146" i="55"/>
  <c r="X146" i="55"/>
  <c r="W146" i="55"/>
  <c r="V146" i="55"/>
  <c r="AO145" i="55"/>
  <c r="AN145" i="55"/>
  <c r="AM145" i="55"/>
  <c r="AL145" i="55"/>
  <c r="AK145" i="55"/>
  <c r="AJ145" i="55"/>
  <c r="AI145" i="55"/>
  <c r="AH145" i="55"/>
  <c r="AG145" i="55"/>
  <c r="AF145" i="55"/>
  <c r="AE145" i="55"/>
  <c r="AD145" i="55"/>
  <c r="AC145" i="55"/>
  <c r="AB145" i="55"/>
  <c r="AA145" i="55"/>
  <c r="Z145" i="55"/>
  <c r="Y145" i="55"/>
  <c r="X145" i="55"/>
  <c r="W145" i="55"/>
  <c r="V145" i="55"/>
  <c r="AO144" i="55"/>
  <c r="AN144" i="55"/>
  <c r="AM144" i="55"/>
  <c r="AL144" i="55"/>
  <c r="AK144" i="55"/>
  <c r="AJ144" i="55"/>
  <c r="AI144" i="55"/>
  <c r="AH144" i="55"/>
  <c r="AG144" i="55"/>
  <c r="AF144" i="55"/>
  <c r="AE144" i="55"/>
  <c r="AD144" i="55"/>
  <c r="AC144" i="55"/>
  <c r="AB144" i="55"/>
  <c r="AA144" i="55"/>
  <c r="Z144" i="55"/>
  <c r="Y144" i="55"/>
  <c r="X144" i="55"/>
  <c r="W144" i="55"/>
  <c r="V144" i="55"/>
  <c r="AO143" i="55"/>
  <c r="AN143" i="55"/>
  <c r="AM143" i="55"/>
  <c r="AL143" i="55"/>
  <c r="AK143" i="55"/>
  <c r="AJ143" i="55"/>
  <c r="AI143" i="55"/>
  <c r="AH143" i="55"/>
  <c r="AG143" i="55"/>
  <c r="AF143" i="55"/>
  <c r="AE143" i="55"/>
  <c r="AD143" i="55"/>
  <c r="AC143" i="55"/>
  <c r="AB143" i="55"/>
  <c r="AA143" i="55"/>
  <c r="Z143" i="55"/>
  <c r="Y143" i="55"/>
  <c r="X143" i="55"/>
  <c r="W143" i="55"/>
  <c r="V143" i="55"/>
  <c r="Q143" i="55"/>
  <c r="AO142" i="55"/>
  <c r="AN142" i="55"/>
  <c r="AM142" i="55"/>
  <c r="AL142" i="55"/>
  <c r="AK142" i="55"/>
  <c r="AJ142" i="55"/>
  <c r="AI142" i="55"/>
  <c r="AH142" i="55"/>
  <c r="AG142" i="55"/>
  <c r="AF142" i="55"/>
  <c r="AE142" i="55"/>
  <c r="AD142" i="55"/>
  <c r="AC142" i="55"/>
  <c r="AB142" i="55"/>
  <c r="AA142" i="55"/>
  <c r="Z142" i="55"/>
  <c r="Y142" i="55"/>
  <c r="X142" i="55"/>
  <c r="W142" i="55"/>
  <c r="V142" i="55"/>
  <c r="Q142" i="55"/>
  <c r="AO141" i="55"/>
  <c r="AN141" i="55"/>
  <c r="AM141" i="55"/>
  <c r="AL141" i="55"/>
  <c r="AK141" i="55"/>
  <c r="AJ141" i="55"/>
  <c r="AI141" i="55"/>
  <c r="AH141" i="55"/>
  <c r="AG141" i="55"/>
  <c r="AF141" i="55"/>
  <c r="AE141" i="55"/>
  <c r="AD141" i="55"/>
  <c r="AC141" i="55"/>
  <c r="AB141" i="55"/>
  <c r="AA141" i="55"/>
  <c r="Z141" i="55"/>
  <c r="Y141" i="55"/>
  <c r="X141" i="55"/>
  <c r="W141" i="55"/>
  <c r="V141" i="55"/>
  <c r="Q141" i="55"/>
  <c r="AO140" i="55"/>
  <c r="AN140" i="55"/>
  <c r="AM140" i="55"/>
  <c r="AL140" i="55"/>
  <c r="AK140" i="55"/>
  <c r="AJ140" i="55"/>
  <c r="AI140" i="55"/>
  <c r="AH140" i="55"/>
  <c r="AG140" i="55"/>
  <c r="AF140" i="55"/>
  <c r="AE140" i="55"/>
  <c r="AD140" i="55"/>
  <c r="AC140" i="55"/>
  <c r="AB140" i="55"/>
  <c r="AA140" i="55"/>
  <c r="Z140" i="55"/>
  <c r="Y140" i="55"/>
  <c r="X140" i="55"/>
  <c r="W140" i="55"/>
  <c r="V140" i="55"/>
  <c r="Q140" i="55"/>
  <c r="AO139" i="55"/>
  <c r="AN139" i="55"/>
  <c r="AM139" i="55"/>
  <c r="AL139" i="55"/>
  <c r="AK139" i="55"/>
  <c r="AJ139" i="55"/>
  <c r="AI139" i="55"/>
  <c r="AH139" i="55"/>
  <c r="AG139" i="55"/>
  <c r="AF139" i="55"/>
  <c r="AE139" i="55"/>
  <c r="AD139" i="55"/>
  <c r="AC139" i="55"/>
  <c r="AB139" i="55"/>
  <c r="AA139" i="55"/>
  <c r="Z139" i="55"/>
  <c r="Y139" i="55"/>
  <c r="X139" i="55"/>
  <c r="W139" i="55"/>
  <c r="V139" i="55"/>
  <c r="Q139" i="55"/>
  <c r="AO138" i="55"/>
  <c r="AN138" i="55"/>
  <c r="AM138" i="55"/>
  <c r="AL138" i="55"/>
  <c r="AK138" i="55"/>
  <c r="AJ138" i="55"/>
  <c r="AI138" i="55"/>
  <c r="AH138" i="55"/>
  <c r="AG138" i="55"/>
  <c r="AF138" i="55"/>
  <c r="AE138" i="55"/>
  <c r="AD138" i="55"/>
  <c r="AC138" i="55"/>
  <c r="AB138" i="55"/>
  <c r="AA138" i="55"/>
  <c r="Z138" i="55"/>
  <c r="Y138" i="55"/>
  <c r="X138" i="55"/>
  <c r="W138" i="55"/>
  <c r="V138" i="55"/>
  <c r="Q138" i="55"/>
  <c r="AO137" i="55"/>
  <c r="AN137" i="55"/>
  <c r="AM137" i="55"/>
  <c r="AL137" i="55"/>
  <c r="AK137" i="55"/>
  <c r="AJ137" i="55"/>
  <c r="AI137" i="55"/>
  <c r="AH137" i="55"/>
  <c r="AG137" i="55"/>
  <c r="AF137" i="55"/>
  <c r="AE137" i="55"/>
  <c r="AD137" i="55"/>
  <c r="AC137" i="55"/>
  <c r="AB137" i="55"/>
  <c r="AA137" i="55"/>
  <c r="Z137" i="55"/>
  <c r="Y137" i="55"/>
  <c r="X137" i="55"/>
  <c r="W137" i="55"/>
  <c r="V137" i="55"/>
  <c r="Q137" i="55"/>
  <c r="AO136" i="55"/>
  <c r="AN136" i="55"/>
  <c r="AM136" i="55"/>
  <c r="AL136" i="55"/>
  <c r="AK136" i="55"/>
  <c r="AJ136" i="55"/>
  <c r="AI136" i="55"/>
  <c r="AH136" i="55"/>
  <c r="AG136" i="55"/>
  <c r="AF136" i="55"/>
  <c r="AE136" i="55"/>
  <c r="AD136" i="55"/>
  <c r="AC136" i="55"/>
  <c r="AB136" i="55"/>
  <c r="AA136" i="55"/>
  <c r="Z136" i="55"/>
  <c r="Y136" i="55"/>
  <c r="X136" i="55"/>
  <c r="W136" i="55"/>
  <c r="V136" i="55"/>
  <c r="Q136" i="55"/>
  <c r="AO135" i="55"/>
  <c r="AN135" i="55"/>
  <c r="AM135" i="55"/>
  <c r="AL135" i="55"/>
  <c r="AK135" i="55"/>
  <c r="AJ135" i="55"/>
  <c r="AI135" i="55"/>
  <c r="AH135" i="55"/>
  <c r="AG135" i="55"/>
  <c r="AF135" i="55"/>
  <c r="AE135" i="55"/>
  <c r="AD135" i="55"/>
  <c r="AC135" i="55"/>
  <c r="AB135" i="55"/>
  <c r="AA135" i="55"/>
  <c r="Z135" i="55"/>
  <c r="Y135" i="55"/>
  <c r="X135" i="55"/>
  <c r="W135" i="55"/>
  <c r="V135" i="55"/>
  <c r="Q135" i="55"/>
  <c r="AO134" i="55"/>
  <c r="AN134" i="55"/>
  <c r="AM134" i="55"/>
  <c r="AL134" i="55"/>
  <c r="AK134" i="55"/>
  <c r="AJ134" i="55"/>
  <c r="AI134" i="55"/>
  <c r="AH134" i="55"/>
  <c r="AG134" i="55"/>
  <c r="AF134" i="55"/>
  <c r="AE134" i="55"/>
  <c r="AD134" i="55"/>
  <c r="AC134" i="55"/>
  <c r="AB134" i="55"/>
  <c r="AA134" i="55"/>
  <c r="Z134" i="55"/>
  <c r="Y134" i="55"/>
  <c r="X134" i="55"/>
  <c r="W134" i="55"/>
  <c r="V134" i="55"/>
  <c r="Q134" i="55"/>
  <c r="AO133" i="55"/>
  <c r="AN133" i="55"/>
  <c r="AM133" i="55"/>
  <c r="AL133" i="55"/>
  <c r="AK133" i="55"/>
  <c r="AJ133" i="55"/>
  <c r="AI133" i="55"/>
  <c r="AH133" i="55"/>
  <c r="AG133" i="55"/>
  <c r="AF133" i="55"/>
  <c r="AE133" i="55"/>
  <c r="AD133" i="55"/>
  <c r="AC133" i="55"/>
  <c r="AB133" i="55"/>
  <c r="AA133" i="55"/>
  <c r="Z133" i="55"/>
  <c r="Y133" i="55"/>
  <c r="X133" i="55"/>
  <c r="W133" i="55"/>
  <c r="V133" i="55"/>
  <c r="Q133" i="55"/>
  <c r="AO132" i="55"/>
  <c r="AN132" i="55"/>
  <c r="AM132" i="55"/>
  <c r="AL132" i="55"/>
  <c r="AK132" i="55"/>
  <c r="AJ132" i="55"/>
  <c r="AI132" i="55"/>
  <c r="AH132" i="55"/>
  <c r="AG132" i="55"/>
  <c r="AF132" i="55"/>
  <c r="AE132" i="55"/>
  <c r="AD132" i="55"/>
  <c r="AC132" i="55"/>
  <c r="AB132" i="55"/>
  <c r="AA132" i="55"/>
  <c r="Z132" i="55"/>
  <c r="Y132" i="55"/>
  <c r="X132" i="55"/>
  <c r="W132" i="55"/>
  <c r="V132" i="55"/>
  <c r="Q132" i="55"/>
  <c r="AO131" i="55"/>
  <c r="AN131" i="55"/>
  <c r="AM131" i="55"/>
  <c r="AL131" i="55"/>
  <c r="AK131" i="55"/>
  <c r="AJ131" i="55"/>
  <c r="AI131" i="55"/>
  <c r="AH131" i="55"/>
  <c r="AG131" i="55"/>
  <c r="AF131" i="55"/>
  <c r="AE131" i="55"/>
  <c r="AD131" i="55"/>
  <c r="AC131" i="55"/>
  <c r="AB131" i="55"/>
  <c r="AA131" i="55"/>
  <c r="Z131" i="55"/>
  <c r="Y131" i="55"/>
  <c r="X131" i="55"/>
  <c r="W131" i="55"/>
  <c r="V131" i="55"/>
  <c r="Q131" i="55"/>
  <c r="AO130" i="55"/>
  <c r="AN130" i="55"/>
  <c r="AM130" i="55"/>
  <c r="AL130" i="55"/>
  <c r="AK130" i="55"/>
  <c r="AJ130" i="55"/>
  <c r="AI130" i="55"/>
  <c r="AH130" i="55"/>
  <c r="AG130" i="55"/>
  <c r="AF130" i="55"/>
  <c r="AE130" i="55"/>
  <c r="AD130" i="55"/>
  <c r="AC130" i="55"/>
  <c r="AB130" i="55"/>
  <c r="AA130" i="55"/>
  <c r="Z130" i="55"/>
  <c r="Y130" i="55"/>
  <c r="X130" i="55"/>
  <c r="W130" i="55"/>
  <c r="V130" i="55"/>
  <c r="Q130" i="55"/>
  <c r="AO129" i="55"/>
  <c r="AN129" i="55"/>
  <c r="AM129" i="55"/>
  <c r="AL129" i="55"/>
  <c r="AK129" i="55"/>
  <c r="AJ129" i="55"/>
  <c r="AI129" i="55"/>
  <c r="AH129" i="55"/>
  <c r="AG129" i="55"/>
  <c r="AF129" i="55"/>
  <c r="AE129" i="55"/>
  <c r="AD129" i="55"/>
  <c r="AC129" i="55"/>
  <c r="AB129" i="55"/>
  <c r="AA129" i="55"/>
  <c r="Z129" i="55"/>
  <c r="Y129" i="55"/>
  <c r="X129" i="55"/>
  <c r="W129" i="55"/>
  <c r="V129" i="55"/>
  <c r="Q129" i="55"/>
  <c r="AO128" i="55"/>
  <c r="AN128" i="55"/>
  <c r="AM128" i="55"/>
  <c r="AL128" i="55"/>
  <c r="AK128" i="55"/>
  <c r="AJ128" i="55"/>
  <c r="AI128" i="55"/>
  <c r="AH128" i="55"/>
  <c r="AG128" i="55"/>
  <c r="AF128" i="55"/>
  <c r="AE128" i="55"/>
  <c r="AD128" i="55"/>
  <c r="AC128" i="55"/>
  <c r="AB128" i="55"/>
  <c r="AA128" i="55"/>
  <c r="Z128" i="55"/>
  <c r="Y128" i="55"/>
  <c r="X128" i="55"/>
  <c r="W128" i="55"/>
  <c r="V128" i="55"/>
  <c r="Q128" i="55"/>
  <c r="AO127" i="55"/>
  <c r="AN127" i="55"/>
  <c r="AM127" i="55"/>
  <c r="AL127" i="55"/>
  <c r="AK127" i="55"/>
  <c r="AJ127" i="55"/>
  <c r="AI127" i="55"/>
  <c r="AH127" i="55"/>
  <c r="AG127" i="55"/>
  <c r="AF127" i="55"/>
  <c r="AE127" i="55"/>
  <c r="AD127" i="55"/>
  <c r="AC127" i="55"/>
  <c r="AB127" i="55"/>
  <c r="AA127" i="55"/>
  <c r="Z127" i="55"/>
  <c r="Y127" i="55"/>
  <c r="X127" i="55"/>
  <c r="W127" i="55"/>
  <c r="V127" i="55"/>
  <c r="Q127" i="55"/>
  <c r="AO126" i="55"/>
  <c r="AN126" i="55"/>
  <c r="AM126" i="55"/>
  <c r="AL126" i="55"/>
  <c r="AK126" i="55"/>
  <c r="AJ126" i="55"/>
  <c r="AI126" i="55"/>
  <c r="AH126" i="55"/>
  <c r="AG126" i="55"/>
  <c r="AF126" i="55"/>
  <c r="AE126" i="55"/>
  <c r="AD126" i="55"/>
  <c r="AC126" i="55"/>
  <c r="AB126" i="55"/>
  <c r="AA126" i="55"/>
  <c r="Z126" i="55"/>
  <c r="Y126" i="55"/>
  <c r="X126" i="55"/>
  <c r="W126" i="55"/>
  <c r="V126" i="55"/>
  <c r="Q126" i="55"/>
  <c r="AO125" i="55"/>
  <c r="AN125" i="55"/>
  <c r="AM125" i="55"/>
  <c r="AL125" i="55"/>
  <c r="AK125" i="55"/>
  <c r="AJ125" i="55"/>
  <c r="AI125" i="55"/>
  <c r="AH125" i="55"/>
  <c r="AG125" i="55"/>
  <c r="AF125" i="55"/>
  <c r="AE125" i="55"/>
  <c r="AD125" i="55"/>
  <c r="AC125" i="55"/>
  <c r="AB125" i="55"/>
  <c r="AA125" i="55"/>
  <c r="Z125" i="55"/>
  <c r="Y125" i="55"/>
  <c r="X125" i="55"/>
  <c r="W125" i="55"/>
  <c r="V125" i="55"/>
  <c r="Q125" i="55"/>
  <c r="AO124" i="55"/>
  <c r="AN124" i="55"/>
  <c r="AM124" i="55"/>
  <c r="AL124" i="55"/>
  <c r="AK124" i="55"/>
  <c r="AJ124" i="55"/>
  <c r="AI124" i="55"/>
  <c r="AH124" i="55"/>
  <c r="AG124" i="55"/>
  <c r="AF124" i="55"/>
  <c r="AE124" i="55"/>
  <c r="AD124" i="55"/>
  <c r="AC124" i="55"/>
  <c r="AB124" i="55"/>
  <c r="AA124" i="55"/>
  <c r="Z124" i="55"/>
  <c r="Y124" i="55"/>
  <c r="X124" i="55"/>
  <c r="W124" i="55"/>
  <c r="V124" i="55"/>
  <c r="Q124" i="55"/>
  <c r="AO123" i="55"/>
  <c r="AN123" i="55"/>
  <c r="AM123" i="55"/>
  <c r="AL123" i="55"/>
  <c r="AK123" i="55"/>
  <c r="AJ123" i="55"/>
  <c r="AI123" i="55"/>
  <c r="AH123" i="55"/>
  <c r="AG123" i="55"/>
  <c r="AF123" i="55"/>
  <c r="AE123" i="55"/>
  <c r="AD123" i="55"/>
  <c r="AC123" i="55"/>
  <c r="AB123" i="55"/>
  <c r="AA123" i="55"/>
  <c r="Z123" i="55"/>
  <c r="Y123" i="55"/>
  <c r="X123" i="55"/>
  <c r="W123" i="55"/>
  <c r="V123" i="55"/>
  <c r="Q123" i="55"/>
  <c r="AO122" i="55"/>
  <c r="AN122" i="55"/>
  <c r="AM122" i="55"/>
  <c r="AL122" i="55"/>
  <c r="AK122" i="55"/>
  <c r="AJ122" i="55"/>
  <c r="AI122" i="55"/>
  <c r="AH122" i="55"/>
  <c r="AG122" i="55"/>
  <c r="AF122" i="55"/>
  <c r="AE122" i="55"/>
  <c r="AD122" i="55"/>
  <c r="AC122" i="55"/>
  <c r="AB122" i="55"/>
  <c r="AA122" i="55"/>
  <c r="Z122" i="55"/>
  <c r="Y122" i="55"/>
  <c r="X122" i="55"/>
  <c r="W122" i="55"/>
  <c r="V122" i="55"/>
  <c r="Q122" i="55"/>
  <c r="AO121" i="55"/>
  <c r="AN121" i="55"/>
  <c r="AM121" i="55"/>
  <c r="AL121" i="55"/>
  <c r="AK121" i="55"/>
  <c r="AJ121" i="55"/>
  <c r="AI121" i="55"/>
  <c r="AH121" i="55"/>
  <c r="AG121" i="55"/>
  <c r="AF121" i="55"/>
  <c r="AE121" i="55"/>
  <c r="AD121" i="55"/>
  <c r="AC121" i="55"/>
  <c r="AB121" i="55"/>
  <c r="AA121" i="55"/>
  <c r="Z121" i="55"/>
  <c r="Y121" i="55"/>
  <c r="X121" i="55"/>
  <c r="W121" i="55"/>
  <c r="V121" i="55"/>
  <c r="Q121" i="55"/>
  <c r="AO120" i="55"/>
  <c r="AN120" i="55"/>
  <c r="AM120" i="55"/>
  <c r="AL120" i="55"/>
  <c r="AK120" i="55"/>
  <c r="AJ120" i="55"/>
  <c r="AI120" i="55"/>
  <c r="AH120" i="55"/>
  <c r="AG120" i="55"/>
  <c r="AF120" i="55"/>
  <c r="AE120" i="55"/>
  <c r="AD120" i="55"/>
  <c r="AC120" i="55"/>
  <c r="AB120" i="55"/>
  <c r="AA120" i="55"/>
  <c r="Z120" i="55"/>
  <c r="Y120" i="55"/>
  <c r="X120" i="55"/>
  <c r="W120" i="55"/>
  <c r="V120" i="55"/>
  <c r="Q120" i="55"/>
  <c r="AO119" i="55"/>
  <c r="AN119" i="55"/>
  <c r="AM119" i="55"/>
  <c r="AL119" i="55"/>
  <c r="AK119" i="55"/>
  <c r="AJ119" i="55"/>
  <c r="AI119" i="55"/>
  <c r="AH119" i="55"/>
  <c r="AG119" i="55"/>
  <c r="AF119" i="55"/>
  <c r="AE119" i="55"/>
  <c r="AD119" i="55"/>
  <c r="AC119" i="55"/>
  <c r="AB119" i="55"/>
  <c r="AA119" i="55"/>
  <c r="Z119" i="55"/>
  <c r="Y119" i="55"/>
  <c r="X119" i="55"/>
  <c r="W119" i="55"/>
  <c r="V119" i="55"/>
  <c r="Q119" i="55"/>
  <c r="AO118" i="55"/>
  <c r="AN118" i="55"/>
  <c r="AM118" i="55"/>
  <c r="AL118" i="55"/>
  <c r="AK118" i="55"/>
  <c r="AJ118" i="55"/>
  <c r="AI118" i="55"/>
  <c r="AH118" i="55"/>
  <c r="AG118" i="55"/>
  <c r="AF118" i="55"/>
  <c r="AE118" i="55"/>
  <c r="AD118" i="55"/>
  <c r="AC118" i="55"/>
  <c r="AB118" i="55"/>
  <c r="AA118" i="55"/>
  <c r="Z118" i="55"/>
  <c r="Y118" i="55"/>
  <c r="X118" i="55"/>
  <c r="W118" i="55"/>
  <c r="V118" i="55"/>
  <c r="Q118" i="55"/>
  <c r="AO117" i="55"/>
  <c r="AN117" i="55"/>
  <c r="AM117" i="55"/>
  <c r="AL117" i="55"/>
  <c r="AK117" i="55"/>
  <c r="AJ117" i="55"/>
  <c r="AI117" i="55"/>
  <c r="AH117" i="55"/>
  <c r="AG117" i="55"/>
  <c r="AF117" i="55"/>
  <c r="AE117" i="55"/>
  <c r="AD117" i="55"/>
  <c r="AC117" i="55"/>
  <c r="AB117" i="55"/>
  <c r="AA117" i="55"/>
  <c r="Z117" i="55"/>
  <c r="Y117" i="55"/>
  <c r="X117" i="55"/>
  <c r="W117" i="55"/>
  <c r="V117" i="55"/>
  <c r="Q117" i="55"/>
  <c r="AO116" i="55"/>
  <c r="AN116" i="55"/>
  <c r="AM116" i="55"/>
  <c r="AL116" i="55"/>
  <c r="AK116" i="55"/>
  <c r="AJ116" i="55"/>
  <c r="AI116" i="55"/>
  <c r="AH116" i="55"/>
  <c r="AG116" i="55"/>
  <c r="AF116" i="55"/>
  <c r="AE116" i="55"/>
  <c r="AD116" i="55"/>
  <c r="AC116" i="55"/>
  <c r="AB116" i="55"/>
  <c r="AA116" i="55"/>
  <c r="Z116" i="55"/>
  <c r="Y116" i="55"/>
  <c r="X116" i="55"/>
  <c r="W116" i="55"/>
  <c r="V116" i="55"/>
  <c r="AO115" i="55"/>
  <c r="AN115" i="55"/>
  <c r="AM115" i="55"/>
  <c r="AL115" i="55"/>
  <c r="AK115" i="55"/>
  <c r="AJ115" i="55"/>
  <c r="AI115" i="55"/>
  <c r="AH115" i="55"/>
  <c r="AG115" i="55"/>
  <c r="AF115" i="55"/>
  <c r="AE115" i="55"/>
  <c r="AD115" i="55"/>
  <c r="AC115" i="55"/>
  <c r="AB115" i="55"/>
  <c r="AA115" i="55"/>
  <c r="Z115" i="55"/>
  <c r="Y115" i="55"/>
  <c r="X115" i="55"/>
  <c r="W115" i="55"/>
  <c r="V115" i="55"/>
  <c r="AO114" i="55"/>
  <c r="AN114" i="55"/>
  <c r="AM114" i="55"/>
  <c r="AL114" i="55"/>
  <c r="AK114" i="55"/>
  <c r="AJ114" i="55"/>
  <c r="AI114" i="55"/>
  <c r="AH114" i="55"/>
  <c r="AG114" i="55"/>
  <c r="AF114" i="55"/>
  <c r="AE114" i="55"/>
  <c r="AD114" i="55"/>
  <c r="AC114" i="55"/>
  <c r="AB114" i="55"/>
  <c r="AA114" i="55"/>
  <c r="Z114" i="55"/>
  <c r="Y114" i="55"/>
  <c r="X114" i="55"/>
  <c r="W114" i="55"/>
  <c r="V114" i="55"/>
  <c r="AO113" i="55"/>
  <c r="AN113" i="55"/>
  <c r="AM113" i="55"/>
  <c r="AL113" i="55"/>
  <c r="AK113" i="55"/>
  <c r="AJ113" i="55"/>
  <c r="AI113" i="55"/>
  <c r="AH113" i="55"/>
  <c r="AG113" i="55"/>
  <c r="AF113" i="55"/>
  <c r="AE113" i="55"/>
  <c r="AD113" i="55"/>
  <c r="AC113" i="55"/>
  <c r="AB113" i="55"/>
  <c r="AA113" i="55"/>
  <c r="Z113" i="55"/>
  <c r="Y113" i="55"/>
  <c r="X113" i="55"/>
  <c r="W113" i="55"/>
  <c r="V113" i="55"/>
  <c r="AO112" i="55"/>
  <c r="AN112" i="55"/>
  <c r="AM112" i="55"/>
  <c r="AL112" i="55"/>
  <c r="AK112" i="55"/>
  <c r="AJ112" i="55"/>
  <c r="AI112" i="55"/>
  <c r="AH112" i="55"/>
  <c r="AG112" i="55"/>
  <c r="AF112" i="55"/>
  <c r="AE112" i="55"/>
  <c r="AD112" i="55"/>
  <c r="AC112" i="55"/>
  <c r="AB112" i="55"/>
  <c r="AA112" i="55"/>
  <c r="Z112" i="55"/>
  <c r="Y112" i="55"/>
  <c r="X112" i="55"/>
  <c r="W112" i="55"/>
  <c r="V112" i="55"/>
  <c r="AO111" i="55"/>
  <c r="AN111" i="55"/>
  <c r="AM111" i="55"/>
  <c r="AL111" i="55"/>
  <c r="AK111" i="55"/>
  <c r="AJ111" i="55"/>
  <c r="AI111" i="55"/>
  <c r="AH111" i="55"/>
  <c r="AG111" i="55"/>
  <c r="AF111" i="55"/>
  <c r="AE111" i="55"/>
  <c r="AD111" i="55"/>
  <c r="AC111" i="55"/>
  <c r="AB111" i="55"/>
  <c r="AA111" i="55"/>
  <c r="Z111" i="55"/>
  <c r="Y111" i="55"/>
  <c r="X111" i="55"/>
  <c r="W111" i="55"/>
  <c r="V111" i="55"/>
  <c r="AO110" i="55"/>
  <c r="AN110" i="55"/>
  <c r="AM110" i="55"/>
  <c r="AL110" i="55"/>
  <c r="AK110" i="55"/>
  <c r="AJ110" i="55"/>
  <c r="AI110" i="55"/>
  <c r="AH110" i="55"/>
  <c r="AG110" i="55"/>
  <c r="AF110" i="55"/>
  <c r="AE110" i="55"/>
  <c r="AD110" i="55"/>
  <c r="AC110" i="55"/>
  <c r="AB110" i="55"/>
  <c r="AA110" i="55"/>
  <c r="Z110" i="55"/>
  <c r="Y110" i="55"/>
  <c r="X110" i="55"/>
  <c r="W110" i="55"/>
  <c r="V110" i="55"/>
  <c r="AO109" i="55"/>
  <c r="AN109" i="55"/>
  <c r="AM109" i="55"/>
  <c r="AL109" i="55"/>
  <c r="AK109" i="55"/>
  <c r="AJ109" i="55"/>
  <c r="AI109" i="55"/>
  <c r="AH109" i="55"/>
  <c r="AG109" i="55"/>
  <c r="AF109" i="55"/>
  <c r="AE109" i="55"/>
  <c r="AD109" i="55"/>
  <c r="AC109" i="55"/>
  <c r="AB109" i="55"/>
  <c r="AA109" i="55"/>
  <c r="Z109" i="55"/>
  <c r="Y109" i="55"/>
  <c r="X109" i="55"/>
  <c r="W109" i="55"/>
  <c r="V109" i="55"/>
  <c r="AO108" i="55"/>
  <c r="AN108" i="55"/>
  <c r="AM108" i="55"/>
  <c r="AL108" i="55"/>
  <c r="AK108" i="55"/>
  <c r="AJ108" i="55"/>
  <c r="AI108" i="55"/>
  <c r="AH108" i="55"/>
  <c r="AG108" i="55"/>
  <c r="AF108" i="55"/>
  <c r="AE108" i="55"/>
  <c r="AD108" i="55"/>
  <c r="AC108" i="55"/>
  <c r="AB108" i="55"/>
  <c r="AA108" i="55"/>
  <c r="Z108" i="55"/>
  <c r="Y108" i="55"/>
  <c r="X108" i="55"/>
  <c r="W108" i="55"/>
  <c r="V108" i="55"/>
  <c r="AO107" i="55"/>
  <c r="AN107" i="55"/>
  <c r="AM107" i="55"/>
  <c r="AL107" i="55"/>
  <c r="AK107" i="55"/>
  <c r="AJ107" i="55"/>
  <c r="AI107" i="55"/>
  <c r="AH107" i="55"/>
  <c r="AG107" i="55"/>
  <c r="AF107" i="55"/>
  <c r="AE107" i="55"/>
  <c r="AD107" i="55"/>
  <c r="AC107" i="55"/>
  <c r="AB107" i="55"/>
  <c r="AA107" i="55"/>
  <c r="Z107" i="55"/>
  <c r="Y107" i="55"/>
  <c r="X107" i="55"/>
  <c r="W107" i="55"/>
  <c r="V107" i="55"/>
  <c r="AO106" i="55"/>
  <c r="AN106" i="55"/>
  <c r="AM106" i="55"/>
  <c r="AL106" i="55"/>
  <c r="AK106" i="55"/>
  <c r="AJ106" i="55"/>
  <c r="AI106" i="55"/>
  <c r="AH106" i="55"/>
  <c r="AG106" i="55"/>
  <c r="AF106" i="55"/>
  <c r="AE106" i="55"/>
  <c r="AD106" i="55"/>
  <c r="AC106" i="55"/>
  <c r="AB106" i="55"/>
  <c r="AA106" i="55"/>
  <c r="Z106" i="55"/>
  <c r="Y106" i="55"/>
  <c r="X106" i="55"/>
  <c r="W106" i="55"/>
  <c r="V106" i="55"/>
  <c r="AO105" i="55"/>
  <c r="AN105" i="55"/>
  <c r="AM105" i="55"/>
  <c r="AL105" i="55"/>
  <c r="AK105" i="55"/>
  <c r="AJ105" i="55"/>
  <c r="AI105" i="55"/>
  <c r="AH105" i="55"/>
  <c r="AG105" i="55"/>
  <c r="AF105" i="55"/>
  <c r="AE105" i="55"/>
  <c r="AD105" i="55"/>
  <c r="AC105" i="55"/>
  <c r="AB105" i="55"/>
  <c r="AA105" i="55"/>
  <c r="Z105" i="55"/>
  <c r="Y105" i="55"/>
  <c r="X105" i="55"/>
  <c r="W105" i="55"/>
  <c r="V105" i="55"/>
  <c r="AO104" i="55"/>
  <c r="AN104" i="55"/>
  <c r="AM104" i="55"/>
  <c r="AL104" i="55"/>
  <c r="AK104" i="55"/>
  <c r="AJ104" i="55"/>
  <c r="AI104" i="55"/>
  <c r="AH104" i="55"/>
  <c r="AG104" i="55"/>
  <c r="AF104" i="55"/>
  <c r="AE104" i="55"/>
  <c r="AD104" i="55"/>
  <c r="AC104" i="55"/>
  <c r="AB104" i="55"/>
  <c r="AA104" i="55"/>
  <c r="Z104" i="55"/>
  <c r="Y104" i="55"/>
  <c r="X104" i="55"/>
  <c r="W104" i="55"/>
  <c r="V104" i="55"/>
  <c r="AO103" i="55"/>
  <c r="AN103" i="55"/>
  <c r="AM103" i="55"/>
  <c r="AL103" i="55"/>
  <c r="AK103" i="55"/>
  <c r="AJ103" i="55"/>
  <c r="AI103" i="55"/>
  <c r="AH103" i="55"/>
  <c r="AG103" i="55"/>
  <c r="AF103" i="55"/>
  <c r="AE103" i="55"/>
  <c r="AD103" i="55"/>
  <c r="AC103" i="55"/>
  <c r="AB103" i="55"/>
  <c r="AA103" i="55"/>
  <c r="Z103" i="55"/>
  <c r="Y103" i="55"/>
  <c r="X103" i="55"/>
  <c r="W103" i="55"/>
  <c r="V103" i="55"/>
  <c r="AO102" i="55"/>
  <c r="AN102" i="55"/>
  <c r="AM102" i="55"/>
  <c r="AL102" i="55"/>
  <c r="AK102" i="55"/>
  <c r="AJ102" i="55"/>
  <c r="AI102" i="55"/>
  <c r="AH102" i="55"/>
  <c r="AG102" i="55"/>
  <c r="AF102" i="55"/>
  <c r="AE102" i="55"/>
  <c r="AD102" i="55"/>
  <c r="AC102" i="55"/>
  <c r="AB102" i="55"/>
  <c r="AA102" i="55"/>
  <c r="Z102" i="55"/>
  <c r="Y102" i="55"/>
  <c r="X102" i="55"/>
  <c r="W102" i="55"/>
  <c r="V102" i="55"/>
  <c r="AO101" i="55"/>
  <c r="AN101" i="55"/>
  <c r="AM101" i="55"/>
  <c r="AL101" i="55"/>
  <c r="AK101" i="55"/>
  <c r="AJ101" i="55"/>
  <c r="AI101" i="55"/>
  <c r="AH101" i="55"/>
  <c r="AG101" i="55"/>
  <c r="AF101" i="55"/>
  <c r="AE101" i="55"/>
  <c r="AD101" i="55"/>
  <c r="AC101" i="55"/>
  <c r="AB101" i="55"/>
  <c r="AA101" i="55"/>
  <c r="Z101" i="55"/>
  <c r="Y101" i="55"/>
  <c r="X101" i="55"/>
  <c r="W101" i="55"/>
  <c r="V101" i="55"/>
  <c r="AO100" i="55"/>
  <c r="AN100" i="55"/>
  <c r="AM100" i="55"/>
  <c r="AL100" i="55"/>
  <c r="AK100" i="55"/>
  <c r="AJ100" i="55"/>
  <c r="AI100" i="55"/>
  <c r="AH100" i="55"/>
  <c r="AG100" i="55"/>
  <c r="AF100" i="55"/>
  <c r="AE100" i="55"/>
  <c r="AD100" i="55"/>
  <c r="AC100" i="55"/>
  <c r="AB100" i="55"/>
  <c r="AA100" i="55"/>
  <c r="Z100" i="55"/>
  <c r="Y100" i="55"/>
  <c r="X100" i="55"/>
  <c r="W100" i="55"/>
  <c r="V100" i="55"/>
  <c r="X208" i="55" s="1"/>
  <c r="AC208" i="55" s="1"/>
  <c r="AC95" i="55"/>
  <c r="AA95" i="55"/>
  <c r="Z95" i="55"/>
  <c r="Y95" i="55"/>
  <c r="X95" i="55"/>
  <c r="W95" i="55"/>
  <c r="AC94" i="55"/>
  <c r="AB94" i="55"/>
  <c r="AA94" i="55"/>
  <c r="Y94" i="55"/>
  <c r="X94" i="55"/>
  <c r="W94" i="55"/>
  <c r="V94" i="55"/>
  <c r="B94" i="55"/>
  <c r="AD93" i="55"/>
  <c r="AC93" i="55"/>
  <c r="AB93" i="55"/>
  <c r="AA93" i="55"/>
  <c r="Z93" i="55"/>
  <c r="Y93" i="55"/>
  <c r="W93" i="55"/>
  <c r="V93" i="55"/>
  <c r="AD92" i="55"/>
  <c r="AC92" i="55"/>
  <c r="AA92" i="55"/>
  <c r="Z92" i="55"/>
  <c r="Y92" i="55"/>
  <c r="X92" i="55"/>
  <c r="W92" i="55"/>
  <c r="AC91" i="55"/>
  <c r="AB91" i="55"/>
  <c r="AA91" i="55"/>
  <c r="Y91" i="55"/>
  <c r="W91" i="55"/>
  <c r="V91" i="55"/>
  <c r="AD90" i="55"/>
  <c r="AC90" i="55"/>
  <c r="AA90" i="55"/>
  <c r="Y90" i="55"/>
  <c r="W90" i="55"/>
  <c r="AC89" i="55"/>
  <c r="AA89" i="55"/>
  <c r="Z89" i="55"/>
  <c r="Y89" i="55"/>
  <c r="X89" i="55"/>
  <c r="W89" i="55"/>
  <c r="AC88" i="55"/>
  <c r="AB88" i="55"/>
  <c r="AA88" i="55"/>
  <c r="Z88" i="55"/>
  <c r="Y88" i="55"/>
  <c r="X88" i="55"/>
  <c r="W88" i="55"/>
  <c r="V88" i="55"/>
  <c r="AD87" i="55"/>
  <c r="AC87" i="55"/>
  <c r="AB87" i="55"/>
  <c r="AA87" i="55"/>
  <c r="Y87" i="55"/>
  <c r="W87" i="55"/>
  <c r="V87" i="55"/>
  <c r="Z82" i="55"/>
  <c r="Y82" i="55"/>
  <c r="X82" i="55"/>
  <c r="W82" i="55"/>
  <c r="V82" i="55"/>
  <c r="Z81" i="55"/>
  <c r="Y81" i="55"/>
  <c r="X81" i="55"/>
  <c r="W81" i="55"/>
  <c r="V81" i="55"/>
  <c r="Z80" i="55"/>
  <c r="Y80" i="55"/>
  <c r="X80" i="55"/>
  <c r="W80" i="55"/>
  <c r="V80" i="55"/>
  <c r="Z79" i="55"/>
  <c r="Y79" i="55"/>
  <c r="X79" i="55"/>
  <c r="W79" i="55"/>
  <c r="V79" i="55"/>
  <c r="Z78" i="55"/>
  <c r="Y78" i="55"/>
  <c r="X78" i="55"/>
  <c r="W78" i="55"/>
  <c r="V78" i="55"/>
  <c r="Z77" i="55"/>
  <c r="Y77" i="55"/>
  <c r="X77" i="55"/>
  <c r="W77" i="55"/>
  <c r="V77" i="55"/>
  <c r="Z76" i="55"/>
  <c r="Y76" i="55"/>
  <c r="X76" i="55"/>
  <c r="W76" i="55"/>
  <c r="V76" i="55"/>
  <c r="Z75" i="55"/>
  <c r="Y75" i="55"/>
  <c r="X75" i="55"/>
  <c r="W75" i="55"/>
  <c r="V75" i="55"/>
  <c r="Z74" i="55"/>
  <c r="Y74" i="55"/>
  <c r="X74" i="55"/>
  <c r="W74" i="55"/>
  <c r="V74" i="55"/>
  <c r="Z73" i="55"/>
  <c r="Y73" i="55"/>
  <c r="X73" i="55"/>
  <c r="W73" i="55"/>
  <c r="V73" i="55"/>
  <c r="AA68" i="55"/>
  <c r="Z68" i="55"/>
  <c r="Y68" i="55"/>
  <c r="X68" i="55"/>
  <c r="W68" i="55"/>
  <c r="V68" i="55"/>
  <c r="AA67" i="55"/>
  <c r="Z67" i="55"/>
  <c r="Y67" i="55"/>
  <c r="X67" i="55"/>
  <c r="W67" i="55"/>
  <c r="V67" i="55"/>
  <c r="AA66" i="55"/>
  <c r="Z66" i="55"/>
  <c r="Y66" i="55"/>
  <c r="X66" i="55"/>
  <c r="W66" i="55"/>
  <c r="V66" i="55"/>
  <c r="AA65" i="55"/>
  <c r="Z65" i="55"/>
  <c r="Y65" i="55"/>
  <c r="X65" i="55"/>
  <c r="W65" i="55"/>
  <c r="V65" i="55"/>
  <c r="AA64" i="55"/>
  <c r="Z64" i="55"/>
  <c r="Y64" i="55"/>
  <c r="X64" i="55"/>
  <c r="W64" i="55"/>
  <c r="V64" i="55"/>
  <c r="AA63" i="55"/>
  <c r="Z63" i="55"/>
  <c r="Y63" i="55"/>
  <c r="X63" i="55"/>
  <c r="W63" i="55"/>
  <c r="V63" i="55"/>
  <c r="AA62" i="55"/>
  <c r="Z62" i="55"/>
  <c r="Y62" i="55"/>
  <c r="X62" i="55"/>
  <c r="W62" i="55"/>
  <c r="V62" i="55"/>
  <c r="AA61" i="55"/>
  <c r="Z61" i="55"/>
  <c r="Y61" i="55"/>
  <c r="X61" i="55"/>
  <c r="W61" i="55"/>
  <c r="V61" i="55"/>
  <c r="AA60" i="55"/>
  <c r="Z60" i="55"/>
  <c r="Y60" i="55"/>
  <c r="X60" i="55"/>
  <c r="W60" i="55"/>
  <c r="V60" i="55"/>
  <c r="AA59" i="55"/>
  <c r="Z59" i="55"/>
  <c r="Y59" i="55"/>
  <c r="X59" i="55"/>
  <c r="W59" i="55"/>
  <c r="V59" i="55"/>
  <c r="AA58" i="55"/>
  <c r="Z58" i="55"/>
  <c r="Y58" i="55"/>
  <c r="X58" i="55"/>
  <c r="W58" i="55"/>
  <c r="V58" i="55"/>
  <c r="AA57" i="55"/>
  <c r="Z57" i="55"/>
  <c r="Y57" i="55"/>
  <c r="X57" i="55"/>
  <c r="W57" i="55"/>
  <c r="V57" i="55"/>
  <c r="AA56" i="55"/>
  <c r="Z56" i="55"/>
  <c r="Y56" i="55"/>
  <c r="X56" i="55"/>
  <c r="W56" i="55"/>
  <c r="V56" i="55"/>
  <c r="V50" i="55" s="1"/>
  <c r="AU52" i="55"/>
  <c r="V49" i="55"/>
  <c r="AC47" i="55"/>
  <c r="AC46" i="55"/>
  <c r="V46" i="55"/>
  <c r="AE45" i="55"/>
  <c r="AC45" i="55"/>
  <c r="B45" i="55"/>
  <c r="AP44" i="55"/>
  <c r="AP43" i="55"/>
  <c r="B91" i="55" s="1"/>
  <c r="AP42" i="55"/>
  <c r="B88" i="55" s="1"/>
  <c r="X42" i="55"/>
  <c r="AP41" i="55"/>
  <c r="B85" i="55" s="1"/>
  <c r="X41" i="55"/>
  <c r="AP40" i="55"/>
  <c r="B82" i="55" s="1"/>
  <c r="X40" i="55"/>
  <c r="X39" i="55"/>
  <c r="X38" i="55"/>
  <c r="B38" i="55"/>
  <c r="AL37" i="55"/>
  <c r="AK37" i="55"/>
  <c r="AU59" i="55" s="1"/>
  <c r="X37" i="55"/>
  <c r="AL36" i="55"/>
  <c r="AK36" i="55"/>
  <c r="AU58" i="55" s="1"/>
  <c r="X36" i="55"/>
  <c r="AL35" i="55"/>
  <c r="AK35" i="55"/>
  <c r="AU57" i="55" s="1"/>
  <c r="X35" i="55"/>
  <c r="Q35" i="55"/>
  <c r="P35" i="55"/>
  <c r="O35" i="55" s="1"/>
  <c r="E18" i="55" s="1"/>
  <c r="AL34" i="55"/>
  <c r="AK34" i="55"/>
  <c r="AU56" i="55" s="1"/>
  <c r="X34" i="55"/>
  <c r="AL33" i="55"/>
  <c r="AK33" i="55"/>
  <c r="AU55" i="55" s="1"/>
  <c r="X33" i="55"/>
  <c r="AL32" i="55"/>
  <c r="AK32" i="55"/>
  <c r="AU54" i="55" s="1"/>
  <c r="AD32" i="55"/>
  <c r="X32" i="55"/>
  <c r="AL31" i="55"/>
  <c r="AK31" i="55"/>
  <c r="AU53" i="55" s="1"/>
  <c r="AG31" i="55"/>
  <c r="AD31" i="55"/>
  <c r="X31" i="55"/>
  <c r="AL30" i="55"/>
  <c r="AK30" i="55"/>
  <c r="AD30" i="55"/>
  <c r="X30" i="55"/>
  <c r="B30" i="55"/>
  <c r="AQ27" i="55" s="1"/>
  <c r="AL29" i="55"/>
  <c r="AK29" i="55"/>
  <c r="AU51" i="55" s="1"/>
  <c r="X29" i="55"/>
  <c r="X28" i="55"/>
  <c r="B27" i="55"/>
  <c r="P25" i="55"/>
  <c r="P24" i="55"/>
  <c r="G20" i="55" s="1"/>
  <c r="I24" i="55"/>
  <c r="G24" i="55"/>
  <c r="E24" i="55"/>
  <c r="C24" i="55"/>
  <c r="AC23" i="55"/>
  <c r="AB23" i="55"/>
  <c r="AA23" i="55"/>
  <c r="Z23" i="55"/>
  <c r="Y23" i="55"/>
  <c r="I23" i="55"/>
  <c r="G23" i="55"/>
  <c r="E23" i="55"/>
  <c r="C23" i="55"/>
  <c r="AB22" i="55"/>
  <c r="AA22" i="55"/>
  <c r="Z22" i="55"/>
  <c r="AC22" i="55" s="1"/>
  <c r="Y22" i="55"/>
  <c r="AD22" i="55" s="1"/>
  <c r="AB39" i="55" s="1"/>
  <c r="AC32" i="55" s="1"/>
  <c r="I22" i="55"/>
  <c r="G22" i="55"/>
  <c r="E22" i="55"/>
  <c r="C22" i="55"/>
  <c r="I21" i="55"/>
  <c r="G21" i="55"/>
  <c r="E21" i="55"/>
  <c r="C21" i="55"/>
  <c r="AQ20" i="55"/>
  <c r="B72" i="55" s="1"/>
  <c r="AQ36" i="55" s="1"/>
  <c r="AI20" i="55"/>
  <c r="I20" i="55"/>
  <c r="AQ19" i="55"/>
  <c r="B69" i="55" s="1"/>
  <c r="AQ35" i="55" s="1"/>
  <c r="AI19" i="55"/>
  <c r="AQ18" i="55"/>
  <c r="B66" i="55" s="1"/>
  <c r="AQ34" i="55" s="1"/>
  <c r="AJ18" i="55"/>
  <c r="AK18" i="55" s="1"/>
  <c r="AV26" i="55" s="1"/>
  <c r="AI18" i="55"/>
  <c r="I18" i="55"/>
  <c r="AI17" i="55"/>
  <c r="AJ15" i="55" s="1"/>
  <c r="AK15" i="55" s="1"/>
  <c r="AU26" i="55" s="1"/>
  <c r="AI16" i="55"/>
  <c r="AI15" i="55"/>
  <c r="AQ14" i="55"/>
  <c r="B63" i="55" s="1"/>
  <c r="AQ33" i="55" s="1"/>
  <c r="AI14" i="55"/>
  <c r="I14" i="55"/>
  <c r="AQ13" i="55"/>
  <c r="B60" i="55" s="1"/>
  <c r="AQ32" i="55" s="1"/>
  <c r="AI13" i="55"/>
  <c r="AQ12" i="55"/>
  <c r="B57" i="55" s="1"/>
  <c r="AQ31" i="55" s="1"/>
  <c r="AJ12" i="55"/>
  <c r="AK12" i="55" s="1"/>
  <c r="AT26" i="55" s="1"/>
  <c r="AI12" i="55"/>
  <c r="AI11" i="55"/>
  <c r="AC11" i="55"/>
  <c r="AB11" i="55"/>
  <c r="AA11" i="55"/>
  <c r="Z11" i="55"/>
  <c r="Y11" i="55"/>
  <c r="AI10" i="55"/>
  <c r="AC10" i="55"/>
  <c r="AB10" i="55"/>
  <c r="AA10" i="55"/>
  <c r="Z10" i="55"/>
  <c r="Y10" i="55"/>
  <c r="AI9" i="55"/>
  <c r="AJ9" i="55" s="1"/>
  <c r="AC9" i="55"/>
  <c r="AB9" i="55"/>
  <c r="AA9" i="55"/>
  <c r="Z9" i="55"/>
  <c r="Y9" i="55"/>
  <c r="AQ8" i="55"/>
  <c r="B54" i="55" s="1"/>
  <c r="AQ30" i="55" s="1"/>
  <c r="AB8" i="55"/>
  <c r="AA8" i="55"/>
  <c r="Z8" i="55"/>
  <c r="AC8" i="55" s="1"/>
  <c r="Y8" i="55"/>
  <c r="AD8" i="55" s="1"/>
  <c r="AB36" i="55" s="1"/>
  <c r="AQ7" i="55"/>
  <c r="B51" i="55" s="1"/>
  <c r="AQ29" i="55" s="1"/>
  <c r="AQ6" i="55"/>
  <c r="B48" i="55" s="1"/>
  <c r="AQ28" i="55" s="1"/>
  <c r="AA215" i="54"/>
  <c r="V214" i="54"/>
  <c r="V213" i="54"/>
  <c r="V212" i="54"/>
  <c r="V211" i="54"/>
  <c r="V210" i="54"/>
  <c r="V209" i="54"/>
  <c r="V208" i="54"/>
  <c r="V207" i="54"/>
  <c r="V206" i="54"/>
  <c r="V205" i="54"/>
  <c r="V204" i="54"/>
  <c r="V203" i="54"/>
  <c r="V202" i="54"/>
  <c r="V201" i="54"/>
  <c r="V200" i="54"/>
  <c r="V199" i="54"/>
  <c r="V198" i="54"/>
  <c r="V197" i="54"/>
  <c r="V196" i="54"/>
  <c r="V195" i="54"/>
  <c r="V194" i="54"/>
  <c r="V193" i="54"/>
  <c r="V192" i="54"/>
  <c r="V191" i="54"/>
  <c r="V190" i="54"/>
  <c r="V189" i="54"/>
  <c r="V188" i="54"/>
  <c r="AO179" i="54"/>
  <c r="AN179" i="54"/>
  <c r="AM179" i="54"/>
  <c r="AL179" i="54"/>
  <c r="AK179" i="54"/>
  <c r="AJ179" i="54"/>
  <c r="AI179" i="54"/>
  <c r="AH179" i="54"/>
  <c r="AG179" i="54"/>
  <c r="AF179" i="54"/>
  <c r="AE179" i="54"/>
  <c r="AD179" i="54"/>
  <c r="AC179" i="54"/>
  <c r="AB179" i="54"/>
  <c r="AA179" i="54"/>
  <c r="Z179" i="54"/>
  <c r="Y179" i="54"/>
  <c r="X179" i="54"/>
  <c r="W179" i="54"/>
  <c r="V179" i="54"/>
  <c r="AO178" i="54"/>
  <c r="AN178" i="54"/>
  <c r="AM178" i="54"/>
  <c r="AL178" i="54"/>
  <c r="AK178" i="54"/>
  <c r="AJ178" i="54"/>
  <c r="AI178" i="54"/>
  <c r="AH178" i="54"/>
  <c r="AG178" i="54"/>
  <c r="AF178" i="54"/>
  <c r="AE178" i="54"/>
  <c r="AD178" i="54"/>
  <c r="AC178" i="54"/>
  <c r="AB178" i="54"/>
  <c r="AA178" i="54"/>
  <c r="Z178" i="54"/>
  <c r="Y178" i="54"/>
  <c r="X178" i="54"/>
  <c r="W178" i="54"/>
  <c r="V178" i="54"/>
  <c r="AO177" i="54"/>
  <c r="AN177" i="54"/>
  <c r="AM177" i="54"/>
  <c r="AL177" i="54"/>
  <c r="AK177" i="54"/>
  <c r="AJ177" i="54"/>
  <c r="AI177" i="54"/>
  <c r="AH177" i="54"/>
  <c r="AG177" i="54"/>
  <c r="AF177" i="54"/>
  <c r="AE177" i="54"/>
  <c r="AD177" i="54"/>
  <c r="AC177" i="54"/>
  <c r="AB177" i="54"/>
  <c r="AA177" i="54"/>
  <c r="Z177" i="54"/>
  <c r="Y177" i="54"/>
  <c r="X177" i="54"/>
  <c r="W177" i="54"/>
  <c r="V177" i="54"/>
  <c r="AO176" i="54"/>
  <c r="AN176" i="54"/>
  <c r="AM176" i="54"/>
  <c r="AL176" i="54"/>
  <c r="AK176" i="54"/>
  <c r="AJ176" i="54"/>
  <c r="AI176" i="54"/>
  <c r="AH176" i="54"/>
  <c r="AG176" i="54"/>
  <c r="AF176" i="54"/>
  <c r="AE176" i="54"/>
  <c r="AD176" i="54"/>
  <c r="AC176" i="54"/>
  <c r="AB176" i="54"/>
  <c r="AA176" i="54"/>
  <c r="Z176" i="54"/>
  <c r="Y176" i="54"/>
  <c r="X176" i="54"/>
  <c r="W176" i="54"/>
  <c r="V176" i="54"/>
  <c r="AO175" i="54"/>
  <c r="AN175" i="54"/>
  <c r="AM175" i="54"/>
  <c r="AL175" i="54"/>
  <c r="AK175" i="54"/>
  <c r="AJ175" i="54"/>
  <c r="AI175" i="54"/>
  <c r="AH175" i="54"/>
  <c r="AG175" i="54"/>
  <c r="AF175" i="54"/>
  <c r="AE175" i="54"/>
  <c r="AD175" i="54"/>
  <c r="AC175" i="54"/>
  <c r="AB175" i="54"/>
  <c r="AA175" i="54"/>
  <c r="Z175" i="54"/>
  <c r="Y175" i="54"/>
  <c r="X175" i="54"/>
  <c r="W175" i="54"/>
  <c r="V175" i="54"/>
  <c r="AO174" i="54"/>
  <c r="AN174" i="54"/>
  <c r="AM174" i="54"/>
  <c r="AL174" i="54"/>
  <c r="AK174" i="54"/>
  <c r="AJ174" i="54"/>
  <c r="AI174" i="54"/>
  <c r="AH174" i="54"/>
  <c r="AG174" i="54"/>
  <c r="AF174" i="54"/>
  <c r="AE174" i="54"/>
  <c r="AD174" i="54"/>
  <c r="AC174" i="54"/>
  <c r="AB174" i="54"/>
  <c r="AA174" i="54"/>
  <c r="Z174" i="54"/>
  <c r="Y174" i="54"/>
  <c r="X174" i="54"/>
  <c r="W174" i="54"/>
  <c r="V174" i="54"/>
  <c r="AO173" i="54"/>
  <c r="AN173" i="54"/>
  <c r="AM173" i="54"/>
  <c r="AL173" i="54"/>
  <c r="AK173" i="54"/>
  <c r="AJ173" i="54"/>
  <c r="AI173" i="54"/>
  <c r="AH173" i="54"/>
  <c r="AG173" i="54"/>
  <c r="AF173" i="54"/>
  <c r="AE173" i="54"/>
  <c r="AD173" i="54"/>
  <c r="AC173" i="54"/>
  <c r="AB173" i="54"/>
  <c r="AA173" i="54"/>
  <c r="Z173" i="54"/>
  <c r="Y173" i="54"/>
  <c r="X173" i="54"/>
  <c r="W173" i="54"/>
  <c r="V173" i="54"/>
  <c r="AO172" i="54"/>
  <c r="AN172" i="54"/>
  <c r="AM172" i="54"/>
  <c r="AL172" i="54"/>
  <c r="AK172" i="54"/>
  <c r="AJ172" i="54"/>
  <c r="AI172" i="54"/>
  <c r="AH172" i="54"/>
  <c r="AG172" i="54"/>
  <c r="AF172" i="54"/>
  <c r="AE172" i="54"/>
  <c r="AD172" i="54"/>
  <c r="AC172" i="54"/>
  <c r="AB172" i="54"/>
  <c r="AA172" i="54"/>
  <c r="Z172" i="54"/>
  <c r="Y172" i="54"/>
  <c r="X172" i="54"/>
  <c r="W172" i="54"/>
  <c r="V172" i="54"/>
  <c r="AO171" i="54"/>
  <c r="AN171" i="54"/>
  <c r="AM171" i="54"/>
  <c r="AL171" i="54"/>
  <c r="AK171" i="54"/>
  <c r="AJ171" i="54"/>
  <c r="AI171" i="54"/>
  <c r="AH171" i="54"/>
  <c r="AG171" i="54"/>
  <c r="AF171" i="54"/>
  <c r="AE171" i="54"/>
  <c r="AD171" i="54"/>
  <c r="AC171" i="54"/>
  <c r="AB171" i="54"/>
  <c r="AA171" i="54"/>
  <c r="Z171" i="54"/>
  <c r="Y171" i="54"/>
  <c r="X171" i="54"/>
  <c r="W171" i="54"/>
  <c r="V171" i="54"/>
  <c r="AO170" i="54"/>
  <c r="AN170" i="54"/>
  <c r="AM170" i="54"/>
  <c r="AL170" i="54"/>
  <c r="AK170" i="54"/>
  <c r="AJ170" i="54"/>
  <c r="AI170" i="54"/>
  <c r="AH170" i="54"/>
  <c r="AG170" i="54"/>
  <c r="AF170" i="54"/>
  <c r="AE170" i="54"/>
  <c r="AD170" i="54"/>
  <c r="AC170" i="54"/>
  <c r="AB170" i="54"/>
  <c r="AA170" i="54"/>
  <c r="Z170" i="54"/>
  <c r="Y170" i="54"/>
  <c r="X170" i="54"/>
  <c r="W170" i="54"/>
  <c r="V170" i="54"/>
  <c r="AO169" i="54"/>
  <c r="AN169" i="54"/>
  <c r="AM169" i="54"/>
  <c r="AL169" i="54"/>
  <c r="AK169" i="54"/>
  <c r="AJ169" i="54"/>
  <c r="AI169" i="54"/>
  <c r="AH169" i="54"/>
  <c r="AG169" i="54"/>
  <c r="AF169" i="54"/>
  <c r="AE169" i="54"/>
  <c r="AD169" i="54"/>
  <c r="AC169" i="54"/>
  <c r="AB169" i="54"/>
  <c r="AA169" i="54"/>
  <c r="Z169" i="54"/>
  <c r="Y169" i="54"/>
  <c r="X169" i="54"/>
  <c r="W169" i="54"/>
  <c r="V169" i="54"/>
  <c r="AO168" i="54"/>
  <c r="AN168" i="54"/>
  <c r="AM168" i="54"/>
  <c r="AL168" i="54"/>
  <c r="AK168" i="54"/>
  <c r="AJ168" i="54"/>
  <c r="AI168" i="54"/>
  <c r="AH168" i="54"/>
  <c r="AG168" i="54"/>
  <c r="AF168" i="54"/>
  <c r="AE168" i="54"/>
  <c r="AD168" i="54"/>
  <c r="AD95" i="54" s="1"/>
  <c r="AC168" i="54"/>
  <c r="AB168" i="54"/>
  <c r="AA168" i="54"/>
  <c r="Z168" i="54"/>
  <c r="Z95" i="54" s="1"/>
  <c r="Y168" i="54"/>
  <c r="X168" i="54"/>
  <c r="W168" i="54"/>
  <c r="V168" i="54"/>
  <c r="AO167" i="54"/>
  <c r="AN167" i="54"/>
  <c r="AM167" i="54"/>
  <c r="AL167" i="54"/>
  <c r="X94" i="54" s="1"/>
  <c r="AK167" i="54"/>
  <c r="AJ167" i="54"/>
  <c r="AI167" i="54"/>
  <c r="AH167" i="54"/>
  <c r="AG167" i="54"/>
  <c r="AF167" i="54"/>
  <c r="AE167" i="54"/>
  <c r="AD167" i="54"/>
  <c r="AC167" i="54"/>
  <c r="AB167" i="54"/>
  <c r="AB94" i="54" s="1"/>
  <c r="AE94" i="54" s="1"/>
  <c r="AA167" i="54"/>
  <c r="Z167" i="54"/>
  <c r="Z94" i="54" s="1"/>
  <c r="Y167" i="54"/>
  <c r="X167" i="54"/>
  <c r="W167" i="54"/>
  <c r="V167" i="54"/>
  <c r="V94" i="54" s="1"/>
  <c r="AO166" i="54"/>
  <c r="AN166" i="54"/>
  <c r="AM166" i="54"/>
  <c r="AL166" i="54"/>
  <c r="AK166" i="54"/>
  <c r="AJ166" i="54"/>
  <c r="AI166" i="54"/>
  <c r="AH166" i="54"/>
  <c r="AG166" i="54"/>
  <c r="AF166" i="54"/>
  <c r="AE166" i="54"/>
  <c r="AD166" i="54"/>
  <c r="AD93" i="54" s="1"/>
  <c r="AC166" i="54"/>
  <c r="AB166" i="54"/>
  <c r="AA166" i="54"/>
  <c r="Z166" i="54"/>
  <c r="Y166" i="54"/>
  <c r="X166" i="54"/>
  <c r="W166" i="54"/>
  <c r="V166" i="54"/>
  <c r="AO165" i="54"/>
  <c r="AN165" i="54"/>
  <c r="AM165" i="54"/>
  <c r="AL165" i="54"/>
  <c r="AK165" i="54"/>
  <c r="AJ165" i="54"/>
  <c r="AI165" i="54"/>
  <c r="AH165" i="54"/>
  <c r="AG165" i="54"/>
  <c r="AF165" i="54"/>
  <c r="AE165" i="54"/>
  <c r="AD165" i="54"/>
  <c r="AD92" i="54" s="1"/>
  <c r="AC165" i="54"/>
  <c r="AB165" i="54"/>
  <c r="AA165" i="54"/>
  <c r="Z165" i="54"/>
  <c r="Z92" i="54" s="1"/>
  <c r="Y165" i="54"/>
  <c r="X165" i="54"/>
  <c r="W165" i="54"/>
  <c r="V165" i="54"/>
  <c r="AO164" i="54"/>
  <c r="AN164" i="54"/>
  <c r="AM164" i="54"/>
  <c r="AL164" i="54"/>
  <c r="X91" i="54" s="1"/>
  <c r="AK164" i="54"/>
  <c r="AJ164" i="54"/>
  <c r="AI164" i="54"/>
  <c r="AH164" i="54"/>
  <c r="AG164" i="54"/>
  <c r="AF164" i="54"/>
  <c r="AE164" i="54"/>
  <c r="AD164" i="54"/>
  <c r="AC164" i="54"/>
  <c r="AB164" i="54"/>
  <c r="AB91" i="54" s="1"/>
  <c r="AA164" i="54"/>
  <c r="Z164" i="54"/>
  <c r="Z91" i="54" s="1"/>
  <c r="Y164" i="54"/>
  <c r="X164" i="54"/>
  <c r="W164" i="54"/>
  <c r="V164" i="54"/>
  <c r="V91" i="54" s="1"/>
  <c r="AO163" i="54"/>
  <c r="AN163" i="54"/>
  <c r="AM163" i="54"/>
  <c r="AL163" i="54"/>
  <c r="AK163" i="54"/>
  <c r="AJ163" i="54"/>
  <c r="AI163" i="54"/>
  <c r="AH163" i="54"/>
  <c r="AG163" i="54"/>
  <c r="AF163" i="54"/>
  <c r="AE163" i="54"/>
  <c r="AD163" i="54"/>
  <c r="AD90" i="54" s="1"/>
  <c r="AC163" i="54"/>
  <c r="AB163" i="54"/>
  <c r="AB90" i="54" s="1"/>
  <c r="AA163" i="54"/>
  <c r="Z163" i="54"/>
  <c r="Y163" i="54"/>
  <c r="X163" i="54"/>
  <c r="W163" i="54"/>
  <c r="V163" i="54"/>
  <c r="V90" i="54" s="1"/>
  <c r="AO162" i="54"/>
  <c r="AN162" i="54"/>
  <c r="AM162" i="54"/>
  <c r="AL162" i="54"/>
  <c r="X89" i="54" s="1"/>
  <c r="AK162" i="54"/>
  <c r="AJ162" i="54"/>
  <c r="AI162" i="54"/>
  <c r="AH162" i="54"/>
  <c r="AG162" i="54"/>
  <c r="AF162" i="54"/>
  <c r="AE162" i="54"/>
  <c r="AD162" i="54"/>
  <c r="AD89" i="54" s="1"/>
  <c r="AC162" i="54"/>
  <c r="AB162" i="54"/>
  <c r="AA162" i="54"/>
  <c r="Z162" i="54"/>
  <c r="Z89" i="54" s="1"/>
  <c r="Y162" i="54"/>
  <c r="X162" i="54"/>
  <c r="W162" i="54"/>
  <c r="V162" i="54"/>
  <c r="AO161" i="54"/>
  <c r="AN161" i="54"/>
  <c r="AM161" i="54"/>
  <c r="AL161" i="54"/>
  <c r="X88" i="54" s="1"/>
  <c r="AK161" i="54"/>
  <c r="AJ161" i="54"/>
  <c r="AI161" i="54"/>
  <c r="AH161" i="54"/>
  <c r="AG161" i="54"/>
  <c r="AF161" i="54"/>
  <c r="AE161" i="54"/>
  <c r="AD161" i="54"/>
  <c r="AC161" i="54"/>
  <c r="AB161" i="54"/>
  <c r="AB88" i="54" s="1"/>
  <c r="AE88" i="54" s="1"/>
  <c r="AA161" i="54"/>
  <c r="Z161" i="54"/>
  <c r="Z88" i="54" s="1"/>
  <c r="Y161" i="54"/>
  <c r="X161" i="54"/>
  <c r="W161" i="54"/>
  <c r="V161" i="54"/>
  <c r="V88" i="54" s="1"/>
  <c r="AO160" i="54"/>
  <c r="AN160" i="54"/>
  <c r="AM160" i="54"/>
  <c r="AL160" i="54"/>
  <c r="AK160" i="54"/>
  <c r="AJ160" i="54"/>
  <c r="AI160" i="54"/>
  <c r="AH160" i="54"/>
  <c r="AG160" i="54"/>
  <c r="AF160" i="54"/>
  <c r="AE160" i="54"/>
  <c r="AD160" i="54"/>
  <c r="AD87" i="54" s="1"/>
  <c r="AC160" i="54"/>
  <c r="AB160" i="54"/>
  <c r="AB87" i="54" s="1"/>
  <c r="AA160" i="54"/>
  <c r="Z160" i="54"/>
  <c r="Y160" i="54"/>
  <c r="X160" i="54"/>
  <c r="W160" i="54"/>
  <c r="V160" i="54"/>
  <c r="V87" i="54" s="1"/>
  <c r="AO159" i="54"/>
  <c r="AN159" i="54"/>
  <c r="AM159" i="54"/>
  <c r="AL159" i="54"/>
  <c r="AK159" i="54"/>
  <c r="AJ159" i="54"/>
  <c r="AI159" i="54"/>
  <c r="AH159" i="54"/>
  <c r="AG159" i="54"/>
  <c r="AF159" i="54"/>
  <c r="AE159" i="54"/>
  <c r="AD159" i="54"/>
  <c r="AC159" i="54"/>
  <c r="AB159" i="54"/>
  <c r="AA159" i="54"/>
  <c r="Z159" i="54"/>
  <c r="Y159" i="54"/>
  <c r="X159" i="54"/>
  <c r="W159" i="54"/>
  <c r="V159" i="54"/>
  <c r="AO158" i="54"/>
  <c r="AN158" i="54"/>
  <c r="AM158" i="54"/>
  <c r="AL158" i="54"/>
  <c r="AK158" i="54"/>
  <c r="AJ158" i="54"/>
  <c r="AI158" i="54"/>
  <c r="AH158" i="54"/>
  <c r="AG158" i="54"/>
  <c r="AF158" i="54"/>
  <c r="AE158" i="54"/>
  <c r="AD158" i="54"/>
  <c r="AC158" i="54"/>
  <c r="AB158" i="54"/>
  <c r="AA158" i="54"/>
  <c r="Z158" i="54"/>
  <c r="Y158" i="54"/>
  <c r="X158" i="54"/>
  <c r="W158" i="54"/>
  <c r="V158" i="54"/>
  <c r="AO157" i="54"/>
  <c r="AN157" i="54"/>
  <c r="AM157" i="54"/>
  <c r="AL157" i="54"/>
  <c r="AK157" i="54"/>
  <c r="AJ157" i="54"/>
  <c r="AI157" i="54"/>
  <c r="AH157" i="54"/>
  <c r="AG157" i="54"/>
  <c r="AF157" i="54"/>
  <c r="AE157" i="54"/>
  <c r="AD157" i="54"/>
  <c r="AC157" i="54"/>
  <c r="AB157" i="54"/>
  <c r="AA157" i="54"/>
  <c r="Z157" i="54"/>
  <c r="Y157" i="54"/>
  <c r="X157" i="54"/>
  <c r="W157" i="54"/>
  <c r="V157" i="54"/>
  <c r="AO156" i="54"/>
  <c r="AN156" i="54"/>
  <c r="AM156" i="54"/>
  <c r="AL156" i="54"/>
  <c r="AK156" i="54"/>
  <c r="AJ156" i="54"/>
  <c r="AI156" i="54"/>
  <c r="AH156" i="54"/>
  <c r="AG156" i="54"/>
  <c r="AF156" i="54"/>
  <c r="AE156" i="54"/>
  <c r="AD156" i="54"/>
  <c r="AC156" i="54"/>
  <c r="AB156" i="54"/>
  <c r="AA156" i="54"/>
  <c r="Z156" i="54"/>
  <c r="Y156" i="54"/>
  <c r="X156" i="54"/>
  <c r="W156" i="54"/>
  <c r="V156" i="54"/>
  <c r="AO155" i="54"/>
  <c r="AN155" i="54"/>
  <c r="AM155" i="54"/>
  <c r="AL155" i="54"/>
  <c r="AK155" i="54"/>
  <c r="AJ155" i="54"/>
  <c r="AI155" i="54"/>
  <c r="AH155" i="54"/>
  <c r="AG155" i="54"/>
  <c r="AF155" i="54"/>
  <c r="AE155" i="54"/>
  <c r="AD155" i="54"/>
  <c r="AC155" i="54"/>
  <c r="AB155" i="54"/>
  <c r="AA155" i="54"/>
  <c r="Z155" i="54"/>
  <c r="Y155" i="54"/>
  <c r="X155" i="54"/>
  <c r="W155" i="54"/>
  <c r="V155" i="54"/>
  <c r="AO154" i="54"/>
  <c r="AN154" i="54"/>
  <c r="AM154" i="54"/>
  <c r="AL154" i="54"/>
  <c r="AK154" i="54"/>
  <c r="AJ154" i="54"/>
  <c r="AI154" i="54"/>
  <c r="AH154" i="54"/>
  <c r="AG154" i="54"/>
  <c r="AF154" i="54"/>
  <c r="AE154" i="54"/>
  <c r="AD154" i="54"/>
  <c r="AC154" i="54"/>
  <c r="AB154" i="54"/>
  <c r="AA154" i="54"/>
  <c r="Z154" i="54"/>
  <c r="Y154" i="54"/>
  <c r="X154" i="54"/>
  <c r="W154" i="54"/>
  <c r="V154" i="54"/>
  <c r="AO153" i="54"/>
  <c r="AN153" i="54"/>
  <c r="AM153" i="54"/>
  <c r="AL153" i="54"/>
  <c r="AK153" i="54"/>
  <c r="AJ153" i="54"/>
  <c r="AI153" i="54"/>
  <c r="AH153" i="54"/>
  <c r="AG153" i="54"/>
  <c r="AF153" i="54"/>
  <c r="AE153" i="54"/>
  <c r="AD153" i="54"/>
  <c r="AC153" i="54"/>
  <c r="AB153" i="54"/>
  <c r="AA153" i="54"/>
  <c r="Z153" i="54"/>
  <c r="Y153" i="54"/>
  <c r="X153" i="54"/>
  <c r="W153" i="54"/>
  <c r="V153" i="54"/>
  <c r="AO152" i="54"/>
  <c r="AN152" i="54"/>
  <c r="AM152" i="54"/>
  <c r="AL152" i="54"/>
  <c r="AK152" i="54"/>
  <c r="AJ152" i="54"/>
  <c r="AI152" i="54"/>
  <c r="AH152" i="54"/>
  <c r="AG152" i="54"/>
  <c r="AF152" i="54"/>
  <c r="AE152" i="54"/>
  <c r="AD152" i="54"/>
  <c r="AC152" i="54"/>
  <c r="AB152" i="54"/>
  <c r="AA152" i="54"/>
  <c r="Z152" i="54"/>
  <c r="Y152" i="54"/>
  <c r="X152" i="54"/>
  <c r="W152" i="54"/>
  <c r="V152" i="54"/>
  <c r="AO151" i="54"/>
  <c r="AN151" i="54"/>
  <c r="AM151" i="54"/>
  <c r="AL151" i="54"/>
  <c r="AK151" i="54"/>
  <c r="AJ151" i="54"/>
  <c r="AI151" i="54"/>
  <c r="AH151" i="54"/>
  <c r="AG151" i="54"/>
  <c r="AF151" i="54"/>
  <c r="AE151" i="54"/>
  <c r="AD151" i="54"/>
  <c r="AC151" i="54"/>
  <c r="AB151" i="54"/>
  <c r="AA151" i="54"/>
  <c r="Z151" i="54"/>
  <c r="Y151" i="54"/>
  <c r="X151" i="54"/>
  <c r="W151" i="54"/>
  <c r="V151" i="54"/>
  <c r="AO150" i="54"/>
  <c r="AN150" i="54"/>
  <c r="AM150" i="54"/>
  <c r="AL150" i="54"/>
  <c r="AK150" i="54"/>
  <c r="AJ150" i="54"/>
  <c r="AI150" i="54"/>
  <c r="AH150" i="54"/>
  <c r="AG150" i="54"/>
  <c r="AF150" i="54"/>
  <c r="AE150" i="54"/>
  <c r="AD150" i="54"/>
  <c r="AC150" i="54"/>
  <c r="AB150" i="54"/>
  <c r="AA150" i="54"/>
  <c r="Z150" i="54"/>
  <c r="Y150" i="54"/>
  <c r="X150" i="54"/>
  <c r="W150" i="54"/>
  <c r="V150" i="54"/>
  <c r="AO149" i="54"/>
  <c r="AN149" i="54"/>
  <c r="AM149" i="54"/>
  <c r="AL149" i="54"/>
  <c r="AK149" i="54"/>
  <c r="AJ149" i="54"/>
  <c r="AI149" i="54"/>
  <c r="AH149" i="54"/>
  <c r="AG149" i="54"/>
  <c r="AF149" i="54"/>
  <c r="AE149" i="54"/>
  <c r="AD149" i="54"/>
  <c r="AC149" i="54"/>
  <c r="AB149" i="54"/>
  <c r="AA149" i="54"/>
  <c r="Z149" i="54"/>
  <c r="Y149" i="54"/>
  <c r="X149" i="54"/>
  <c r="W149" i="54"/>
  <c r="V149" i="54"/>
  <c r="AO148" i="54"/>
  <c r="AN148" i="54"/>
  <c r="AM148" i="54"/>
  <c r="AL148" i="54"/>
  <c r="AK148" i="54"/>
  <c r="AJ148" i="54"/>
  <c r="AI148" i="54"/>
  <c r="AH148" i="54"/>
  <c r="AG148" i="54"/>
  <c r="AF148" i="54"/>
  <c r="AE148" i="54"/>
  <c r="AD148" i="54"/>
  <c r="AC148" i="54"/>
  <c r="AB148" i="54"/>
  <c r="AA148" i="54"/>
  <c r="Z148" i="54"/>
  <c r="Y148" i="54"/>
  <c r="X148" i="54"/>
  <c r="W148" i="54"/>
  <c r="V148" i="54"/>
  <c r="AO147" i="54"/>
  <c r="AN147" i="54"/>
  <c r="AM147" i="54"/>
  <c r="AL147" i="54"/>
  <c r="AK147" i="54"/>
  <c r="AJ147" i="54"/>
  <c r="AI147" i="54"/>
  <c r="AH147" i="54"/>
  <c r="AG147" i="54"/>
  <c r="AF147" i="54"/>
  <c r="AE147" i="54"/>
  <c r="AD147" i="54"/>
  <c r="AC147" i="54"/>
  <c r="AB147" i="54"/>
  <c r="AA147" i="54"/>
  <c r="Z147" i="54"/>
  <c r="Y147" i="54"/>
  <c r="X147" i="54"/>
  <c r="W147" i="54"/>
  <c r="V147" i="54"/>
  <c r="AO146" i="54"/>
  <c r="AN146" i="54"/>
  <c r="AM146" i="54"/>
  <c r="AL146" i="54"/>
  <c r="AK146" i="54"/>
  <c r="AJ146" i="54"/>
  <c r="AI146" i="54"/>
  <c r="AH146" i="54"/>
  <c r="AG146" i="54"/>
  <c r="AF146" i="54"/>
  <c r="AE146" i="54"/>
  <c r="AD146" i="54"/>
  <c r="AC146" i="54"/>
  <c r="AB146" i="54"/>
  <c r="AA146" i="54"/>
  <c r="Z146" i="54"/>
  <c r="Y146" i="54"/>
  <c r="X146" i="54"/>
  <c r="W146" i="54"/>
  <c r="V146" i="54"/>
  <c r="AO145" i="54"/>
  <c r="AN145" i="54"/>
  <c r="AM145" i="54"/>
  <c r="AL145" i="54"/>
  <c r="AK145" i="54"/>
  <c r="AJ145" i="54"/>
  <c r="AI145" i="54"/>
  <c r="AH145" i="54"/>
  <c r="AG145" i="54"/>
  <c r="AF145" i="54"/>
  <c r="AE145" i="54"/>
  <c r="AD145" i="54"/>
  <c r="AC145" i="54"/>
  <c r="AB145" i="54"/>
  <c r="AA145" i="54"/>
  <c r="Z145" i="54"/>
  <c r="Y145" i="54"/>
  <c r="X145" i="54"/>
  <c r="W145" i="54"/>
  <c r="V145" i="54"/>
  <c r="AO144" i="54"/>
  <c r="AN144" i="54"/>
  <c r="AM144" i="54"/>
  <c r="AL144" i="54"/>
  <c r="AK144" i="54"/>
  <c r="AJ144" i="54"/>
  <c r="AI144" i="54"/>
  <c r="AH144" i="54"/>
  <c r="AG144" i="54"/>
  <c r="AF144" i="54"/>
  <c r="AE144" i="54"/>
  <c r="AD144" i="54"/>
  <c r="AC144" i="54"/>
  <c r="AB144" i="54"/>
  <c r="AA144" i="54"/>
  <c r="Z144" i="54"/>
  <c r="Y144" i="54"/>
  <c r="X144" i="54"/>
  <c r="W144" i="54"/>
  <c r="V144" i="54"/>
  <c r="AO143" i="54"/>
  <c r="AN143" i="54"/>
  <c r="AM143" i="54"/>
  <c r="AL143" i="54"/>
  <c r="AK143" i="54"/>
  <c r="AJ143" i="54"/>
  <c r="AI143" i="54"/>
  <c r="AH143" i="54"/>
  <c r="AG143" i="54"/>
  <c r="AF143" i="54"/>
  <c r="AE143" i="54"/>
  <c r="AD143" i="54"/>
  <c r="AC143" i="54"/>
  <c r="AB143" i="54"/>
  <c r="AA143" i="54"/>
  <c r="Z143" i="54"/>
  <c r="Y143" i="54"/>
  <c r="X143" i="54"/>
  <c r="W143" i="54"/>
  <c r="V143" i="54"/>
  <c r="Q143" i="54"/>
  <c r="AO142" i="54"/>
  <c r="AN142" i="54"/>
  <c r="AM142" i="54"/>
  <c r="AL142" i="54"/>
  <c r="AK142" i="54"/>
  <c r="AJ142" i="54"/>
  <c r="AI142" i="54"/>
  <c r="AH142" i="54"/>
  <c r="AG142" i="54"/>
  <c r="AF142" i="54"/>
  <c r="AE142" i="54"/>
  <c r="AD142" i="54"/>
  <c r="AC142" i="54"/>
  <c r="AB142" i="54"/>
  <c r="AA142" i="54"/>
  <c r="Z142" i="54"/>
  <c r="Y142" i="54"/>
  <c r="X142" i="54"/>
  <c r="W142" i="54"/>
  <c r="V142" i="54"/>
  <c r="Q142" i="54"/>
  <c r="AO141" i="54"/>
  <c r="AN141" i="54"/>
  <c r="AM141" i="54"/>
  <c r="AL141" i="54"/>
  <c r="AK141" i="54"/>
  <c r="AJ141" i="54"/>
  <c r="AI141" i="54"/>
  <c r="AH141" i="54"/>
  <c r="AG141" i="54"/>
  <c r="AF141" i="54"/>
  <c r="AE141" i="54"/>
  <c r="AD141" i="54"/>
  <c r="AC141" i="54"/>
  <c r="AB141" i="54"/>
  <c r="AA141" i="54"/>
  <c r="Z141" i="54"/>
  <c r="Y141" i="54"/>
  <c r="X141" i="54"/>
  <c r="W141" i="54"/>
  <c r="V141" i="54"/>
  <c r="Q141" i="54"/>
  <c r="AO140" i="54"/>
  <c r="AN140" i="54"/>
  <c r="AM140" i="54"/>
  <c r="AL140" i="54"/>
  <c r="AK140" i="54"/>
  <c r="AJ140" i="54"/>
  <c r="AI140" i="54"/>
  <c r="AH140" i="54"/>
  <c r="AG140" i="54"/>
  <c r="AF140" i="54"/>
  <c r="AE140" i="54"/>
  <c r="AD140" i="54"/>
  <c r="AC140" i="54"/>
  <c r="AB140" i="54"/>
  <c r="AA140" i="54"/>
  <c r="Z140" i="54"/>
  <c r="Y140" i="54"/>
  <c r="X140" i="54"/>
  <c r="W140" i="54"/>
  <c r="V140" i="54"/>
  <c r="Q140" i="54"/>
  <c r="AO139" i="54"/>
  <c r="AN139" i="54"/>
  <c r="AM139" i="54"/>
  <c r="AL139" i="54"/>
  <c r="AK139" i="54"/>
  <c r="AJ139" i="54"/>
  <c r="AI139" i="54"/>
  <c r="AH139" i="54"/>
  <c r="AG139" i="54"/>
  <c r="AF139" i="54"/>
  <c r="AE139" i="54"/>
  <c r="AD139" i="54"/>
  <c r="AC139" i="54"/>
  <c r="AB139" i="54"/>
  <c r="AA139" i="54"/>
  <c r="Z139" i="54"/>
  <c r="Y139" i="54"/>
  <c r="X139" i="54"/>
  <c r="W139" i="54"/>
  <c r="V139" i="54"/>
  <c r="Q139" i="54"/>
  <c r="AO138" i="54"/>
  <c r="AN138" i="54"/>
  <c r="AM138" i="54"/>
  <c r="AL138" i="54"/>
  <c r="AK138" i="54"/>
  <c r="AJ138" i="54"/>
  <c r="AI138" i="54"/>
  <c r="AH138" i="54"/>
  <c r="AG138" i="54"/>
  <c r="AF138" i="54"/>
  <c r="AE138" i="54"/>
  <c r="AD138" i="54"/>
  <c r="AC138" i="54"/>
  <c r="AB138" i="54"/>
  <c r="AA138" i="54"/>
  <c r="Z138" i="54"/>
  <c r="Y138" i="54"/>
  <c r="X138" i="54"/>
  <c r="W138" i="54"/>
  <c r="V138" i="54"/>
  <c r="Q138" i="54"/>
  <c r="AO137" i="54"/>
  <c r="AN137" i="54"/>
  <c r="AM137" i="54"/>
  <c r="AL137" i="54"/>
  <c r="AK137" i="54"/>
  <c r="AJ137" i="54"/>
  <c r="AI137" i="54"/>
  <c r="AH137" i="54"/>
  <c r="AG137" i="54"/>
  <c r="AF137" i="54"/>
  <c r="AE137" i="54"/>
  <c r="AD137" i="54"/>
  <c r="AC137" i="54"/>
  <c r="AB137" i="54"/>
  <c r="AA137" i="54"/>
  <c r="Z137" i="54"/>
  <c r="Y137" i="54"/>
  <c r="X137" i="54"/>
  <c r="W137" i="54"/>
  <c r="V137" i="54"/>
  <c r="Q137" i="54"/>
  <c r="AO136" i="54"/>
  <c r="AN136" i="54"/>
  <c r="AM136" i="54"/>
  <c r="AL136" i="54"/>
  <c r="AK136" i="54"/>
  <c r="AJ136" i="54"/>
  <c r="AI136" i="54"/>
  <c r="AH136" i="54"/>
  <c r="AG136" i="54"/>
  <c r="AF136" i="54"/>
  <c r="AE136" i="54"/>
  <c r="AD136" i="54"/>
  <c r="AC136" i="54"/>
  <c r="AB136" i="54"/>
  <c r="AA136" i="54"/>
  <c r="Z136" i="54"/>
  <c r="Y136" i="54"/>
  <c r="X136" i="54"/>
  <c r="W136" i="54"/>
  <c r="V136" i="54"/>
  <c r="Q136" i="54"/>
  <c r="AO135" i="54"/>
  <c r="AN135" i="54"/>
  <c r="AM135" i="54"/>
  <c r="AL135" i="54"/>
  <c r="AK135" i="54"/>
  <c r="AJ135" i="54"/>
  <c r="AI135" i="54"/>
  <c r="AH135" i="54"/>
  <c r="AG135" i="54"/>
  <c r="AF135" i="54"/>
  <c r="AE135" i="54"/>
  <c r="AD135" i="54"/>
  <c r="AC135" i="54"/>
  <c r="AB135" i="54"/>
  <c r="AA135" i="54"/>
  <c r="Z135" i="54"/>
  <c r="Y135" i="54"/>
  <c r="X135" i="54"/>
  <c r="W135" i="54"/>
  <c r="V135" i="54"/>
  <c r="Q135" i="54"/>
  <c r="AO134" i="54"/>
  <c r="AN134" i="54"/>
  <c r="AM134" i="54"/>
  <c r="AL134" i="54"/>
  <c r="AK134" i="54"/>
  <c r="AJ134" i="54"/>
  <c r="AI134" i="54"/>
  <c r="AH134" i="54"/>
  <c r="AG134" i="54"/>
  <c r="AF134" i="54"/>
  <c r="AE134" i="54"/>
  <c r="AD134" i="54"/>
  <c r="AC134" i="54"/>
  <c r="AB134" i="54"/>
  <c r="AA134" i="54"/>
  <c r="Z134" i="54"/>
  <c r="Y134" i="54"/>
  <c r="X134" i="54"/>
  <c r="W134" i="54"/>
  <c r="V134" i="54"/>
  <c r="Q134" i="54"/>
  <c r="AO133" i="54"/>
  <c r="AN133" i="54"/>
  <c r="AM133" i="54"/>
  <c r="AL133" i="54"/>
  <c r="AK133" i="54"/>
  <c r="AJ133" i="54"/>
  <c r="AI133" i="54"/>
  <c r="AH133" i="54"/>
  <c r="AG133" i="54"/>
  <c r="AF133" i="54"/>
  <c r="AE133" i="54"/>
  <c r="AD133" i="54"/>
  <c r="AC133" i="54"/>
  <c r="AB133" i="54"/>
  <c r="AA133" i="54"/>
  <c r="Z133" i="54"/>
  <c r="Y133" i="54"/>
  <c r="X133" i="54"/>
  <c r="W133" i="54"/>
  <c r="V133" i="54"/>
  <c r="Q133" i="54"/>
  <c r="AO132" i="54"/>
  <c r="AN132" i="54"/>
  <c r="AM132" i="54"/>
  <c r="AL132" i="54"/>
  <c r="AK132" i="54"/>
  <c r="AJ132" i="54"/>
  <c r="AI132" i="54"/>
  <c r="AH132" i="54"/>
  <c r="AG132" i="54"/>
  <c r="AF132" i="54"/>
  <c r="AE132" i="54"/>
  <c r="AD132" i="54"/>
  <c r="AC132" i="54"/>
  <c r="AB132" i="54"/>
  <c r="AA132" i="54"/>
  <c r="Z132" i="54"/>
  <c r="Y132" i="54"/>
  <c r="X132" i="54"/>
  <c r="W132" i="54"/>
  <c r="V132" i="54"/>
  <c r="Q132" i="54"/>
  <c r="AO131" i="54"/>
  <c r="AN131" i="54"/>
  <c r="AM131" i="54"/>
  <c r="AL131" i="54"/>
  <c r="AK131" i="54"/>
  <c r="AJ131" i="54"/>
  <c r="AI131" i="54"/>
  <c r="AH131" i="54"/>
  <c r="AG131" i="54"/>
  <c r="AF131" i="54"/>
  <c r="AE131" i="54"/>
  <c r="AD131" i="54"/>
  <c r="AC131" i="54"/>
  <c r="AB131" i="54"/>
  <c r="AA131" i="54"/>
  <c r="Z131" i="54"/>
  <c r="Y131" i="54"/>
  <c r="X131" i="54"/>
  <c r="W131" i="54"/>
  <c r="V131" i="54"/>
  <c r="Q131" i="54"/>
  <c r="AO130" i="54"/>
  <c r="AN130" i="54"/>
  <c r="AM130" i="54"/>
  <c r="AL130" i="54"/>
  <c r="AK130" i="54"/>
  <c r="AJ130" i="54"/>
  <c r="AI130" i="54"/>
  <c r="AH130" i="54"/>
  <c r="AG130" i="54"/>
  <c r="AF130" i="54"/>
  <c r="AE130" i="54"/>
  <c r="AD130" i="54"/>
  <c r="AC130" i="54"/>
  <c r="AB130" i="54"/>
  <c r="AA130" i="54"/>
  <c r="Z130" i="54"/>
  <c r="Y130" i="54"/>
  <c r="X130" i="54"/>
  <c r="W130" i="54"/>
  <c r="V130" i="54"/>
  <c r="Q130" i="54"/>
  <c r="AO129" i="54"/>
  <c r="AN129" i="54"/>
  <c r="AM129" i="54"/>
  <c r="AL129" i="54"/>
  <c r="AK129" i="54"/>
  <c r="AJ129" i="54"/>
  <c r="AI129" i="54"/>
  <c r="AH129" i="54"/>
  <c r="AG129" i="54"/>
  <c r="AF129" i="54"/>
  <c r="AE129" i="54"/>
  <c r="AD129" i="54"/>
  <c r="AC129" i="54"/>
  <c r="AB129" i="54"/>
  <c r="AA129" i="54"/>
  <c r="Z129" i="54"/>
  <c r="Y129" i="54"/>
  <c r="X129" i="54"/>
  <c r="W129" i="54"/>
  <c r="V129" i="54"/>
  <c r="Q129" i="54"/>
  <c r="AO128" i="54"/>
  <c r="AN128" i="54"/>
  <c r="AM128" i="54"/>
  <c r="AL128" i="54"/>
  <c r="AK128" i="54"/>
  <c r="AJ128" i="54"/>
  <c r="AI128" i="54"/>
  <c r="AH128" i="54"/>
  <c r="AG128" i="54"/>
  <c r="AF128" i="54"/>
  <c r="AE128" i="54"/>
  <c r="AD128" i="54"/>
  <c r="AC128" i="54"/>
  <c r="AB128" i="54"/>
  <c r="AA128" i="54"/>
  <c r="Z128" i="54"/>
  <c r="Y128" i="54"/>
  <c r="X128" i="54"/>
  <c r="W128" i="54"/>
  <c r="V128" i="54"/>
  <c r="Q128" i="54"/>
  <c r="AO127" i="54"/>
  <c r="AN127" i="54"/>
  <c r="AM127" i="54"/>
  <c r="AL127" i="54"/>
  <c r="AK127" i="54"/>
  <c r="AJ127" i="54"/>
  <c r="AI127" i="54"/>
  <c r="AH127" i="54"/>
  <c r="AG127" i="54"/>
  <c r="AF127" i="54"/>
  <c r="AE127" i="54"/>
  <c r="AD127" i="54"/>
  <c r="AC127" i="54"/>
  <c r="AB127" i="54"/>
  <c r="AA127" i="54"/>
  <c r="Z127" i="54"/>
  <c r="Y127" i="54"/>
  <c r="X127" i="54"/>
  <c r="W127" i="54"/>
  <c r="V127" i="54"/>
  <c r="Q127" i="54"/>
  <c r="AO126" i="54"/>
  <c r="AN126" i="54"/>
  <c r="AM126" i="54"/>
  <c r="AL126" i="54"/>
  <c r="AK126" i="54"/>
  <c r="AJ126" i="54"/>
  <c r="AI126" i="54"/>
  <c r="AH126" i="54"/>
  <c r="AG126" i="54"/>
  <c r="AF126" i="54"/>
  <c r="AE126" i="54"/>
  <c r="AD126" i="54"/>
  <c r="AC126" i="54"/>
  <c r="AB126" i="54"/>
  <c r="AA126" i="54"/>
  <c r="Z126" i="54"/>
  <c r="Y126" i="54"/>
  <c r="X126" i="54"/>
  <c r="W126" i="54"/>
  <c r="V126" i="54"/>
  <c r="Q126" i="54"/>
  <c r="AO125" i="54"/>
  <c r="AN125" i="54"/>
  <c r="AM125" i="54"/>
  <c r="AL125" i="54"/>
  <c r="AK125" i="54"/>
  <c r="AJ125" i="54"/>
  <c r="AI125" i="54"/>
  <c r="AH125" i="54"/>
  <c r="AG125" i="54"/>
  <c r="AF125" i="54"/>
  <c r="AE125" i="54"/>
  <c r="AD125" i="54"/>
  <c r="AC125" i="54"/>
  <c r="AB125" i="54"/>
  <c r="AA125" i="54"/>
  <c r="Z125" i="54"/>
  <c r="Y125" i="54"/>
  <c r="X125" i="54"/>
  <c r="W125" i="54"/>
  <c r="V125" i="54"/>
  <c r="Q125" i="54"/>
  <c r="AO124" i="54"/>
  <c r="AN124" i="54"/>
  <c r="AM124" i="54"/>
  <c r="AL124" i="54"/>
  <c r="AK124" i="54"/>
  <c r="AJ124" i="54"/>
  <c r="AI124" i="54"/>
  <c r="AH124" i="54"/>
  <c r="AG124" i="54"/>
  <c r="AF124" i="54"/>
  <c r="AE124" i="54"/>
  <c r="AD124" i="54"/>
  <c r="AC124" i="54"/>
  <c r="AB124" i="54"/>
  <c r="AA124" i="54"/>
  <c r="Z124" i="54"/>
  <c r="Y124" i="54"/>
  <c r="X124" i="54"/>
  <c r="W124" i="54"/>
  <c r="V124" i="54"/>
  <c r="Q124" i="54"/>
  <c r="AO123" i="54"/>
  <c r="AN123" i="54"/>
  <c r="AM123" i="54"/>
  <c r="AL123" i="54"/>
  <c r="AK123" i="54"/>
  <c r="AJ123" i="54"/>
  <c r="AI123" i="54"/>
  <c r="AH123" i="54"/>
  <c r="AG123" i="54"/>
  <c r="AF123" i="54"/>
  <c r="AE123" i="54"/>
  <c r="AD123" i="54"/>
  <c r="AC123" i="54"/>
  <c r="AB123" i="54"/>
  <c r="AA123" i="54"/>
  <c r="Z123" i="54"/>
  <c r="Y123" i="54"/>
  <c r="X123" i="54"/>
  <c r="W123" i="54"/>
  <c r="V123" i="54"/>
  <c r="Q123" i="54"/>
  <c r="AO122" i="54"/>
  <c r="AN122" i="54"/>
  <c r="AM122" i="54"/>
  <c r="AL122" i="54"/>
  <c r="AK122" i="54"/>
  <c r="AJ122" i="54"/>
  <c r="AI122" i="54"/>
  <c r="AH122" i="54"/>
  <c r="AG122" i="54"/>
  <c r="AF122" i="54"/>
  <c r="AE122" i="54"/>
  <c r="AD122" i="54"/>
  <c r="AC122" i="54"/>
  <c r="AB122" i="54"/>
  <c r="AA122" i="54"/>
  <c r="Z122" i="54"/>
  <c r="Y122" i="54"/>
  <c r="X122" i="54"/>
  <c r="W122" i="54"/>
  <c r="V122" i="54"/>
  <c r="Q122" i="54"/>
  <c r="AO121" i="54"/>
  <c r="AN121" i="54"/>
  <c r="AM121" i="54"/>
  <c r="AL121" i="54"/>
  <c r="AK121" i="54"/>
  <c r="AJ121" i="54"/>
  <c r="AI121" i="54"/>
  <c r="AH121" i="54"/>
  <c r="AG121" i="54"/>
  <c r="AF121" i="54"/>
  <c r="AE121" i="54"/>
  <c r="AD121" i="54"/>
  <c r="AC121" i="54"/>
  <c r="AB121" i="54"/>
  <c r="AA121" i="54"/>
  <c r="Z121" i="54"/>
  <c r="Y121" i="54"/>
  <c r="X121" i="54"/>
  <c r="W121" i="54"/>
  <c r="V121" i="54"/>
  <c r="Q121" i="54"/>
  <c r="AO120" i="54"/>
  <c r="AN120" i="54"/>
  <c r="AM120" i="54"/>
  <c r="AL120" i="54"/>
  <c r="AK120" i="54"/>
  <c r="AJ120" i="54"/>
  <c r="AI120" i="54"/>
  <c r="AH120" i="54"/>
  <c r="AG120" i="54"/>
  <c r="AF120" i="54"/>
  <c r="AE120" i="54"/>
  <c r="AD120" i="54"/>
  <c r="AC120" i="54"/>
  <c r="AB120" i="54"/>
  <c r="AA120" i="54"/>
  <c r="Z120" i="54"/>
  <c r="Y120" i="54"/>
  <c r="X120" i="54"/>
  <c r="W120" i="54"/>
  <c r="V120" i="54"/>
  <c r="Q120" i="54"/>
  <c r="AO119" i="54"/>
  <c r="AN119" i="54"/>
  <c r="AM119" i="54"/>
  <c r="AL119" i="54"/>
  <c r="AK119" i="54"/>
  <c r="AJ119" i="54"/>
  <c r="AI119" i="54"/>
  <c r="AH119" i="54"/>
  <c r="AG119" i="54"/>
  <c r="AF119" i="54"/>
  <c r="AE119" i="54"/>
  <c r="AD119" i="54"/>
  <c r="AC119" i="54"/>
  <c r="AB119" i="54"/>
  <c r="AA119" i="54"/>
  <c r="Z119" i="54"/>
  <c r="Y119" i="54"/>
  <c r="X119" i="54"/>
  <c r="W119" i="54"/>
  <c r="V119" i="54"/>
  <c r="Q119" i="54"/>
  <c r="AO118" i="54"/>
  <c r="AN118" i="54"/>
  <c r="AM118" i="54"/>
  <c r="AL118" i="54"/>
  <c r="AK118" i="54"/>
  <c r="AJ118" i="54"/>
  <c r="AI118" i="54"/>
  <c r="AH118" i="54"/>
  <c r="AG118" i="54"/>
  <c r="AF118" i="54"/>
  <c r="AE118" i="54"/>
  <c r="AD118" i="54"/>
  <c r="AC118" i="54"/>
  <c r="AB118" i="54"/>
  <c r="AA118" i="54"/>
  <c r="Z118" i="54"/>
  <c r="Y118" i="54"/>
  <c r="X118" i="54"/>
  <c r="W118" i="54"/>
  <c r="V118" i="54"/>
  <c r="Q118" i="54"/>
  <c r="AO117" i="54"/>
  <c r="AN117" i="54"/>
  <c r="AM117" i="54"/>
  <c r="AL117" i="54"/>
  <c r="AK117" i="54"/>
  <c r="AJ117" i="54"/>
  <c r="AI117" i="54"/>
  <c r="AH117" i="54"/>
  <c r="AG117" i="54"/>
  <c r="AF117" i="54"/>
  <c r="AE117" i="54"/>
  <c r="AD117" i="54"/>
  <c r="AC117" i="54"/>
  <c r="AB117" i="54"/>
  <c r="AA117" i="54"/>
  <c r="Z117" i="54"/>
  <c r="Y117" i="54"/>
  <c r="X117" i="54"/>
  <c r="W117" i="54"/>
  <c r="V117" i="54"/>
  <c r="Q117" i="54"/>
  <c r="AO116" i="54"/>
  <c r="AN116" i="54"/>
  <c r="AM116" i="54"/>
  <c r="AL116" i="54"/>
  <c r="AK116" i="54"/>
  <c r="AJ116" i="54"/>
  <c r="AI116" i="54"/>
  <c r="AH116" i="54"/>
  <c r="AG116" i="54"/>
  <c r="AF116" i="54"/>
  <c r="AE116" i="54"/>
  <c r="AD116" i="54"/>
  <c r="AC116" i="54"/>
  <c r="AB116" i="54"/>
  <c r="AA116" i="54"/>
  <c r="Z116" i="54"/>
  <c r="Y116" i="54"/>
  <c r="X116" i="54"/>
  <c r="W116" i="54"/>
  <c r="V116" i="54"/>
  <c r="AO115" i="54"/>
  <c r="AN115" i="54"/>
  <c r="AM115" i="54"/>
  <c r="AL115" i="54"/>
  <c r="AK115" i="54"/>
  <c r="AJ115" i="54"/>
  <c r="AI115" i="54"/>
  <c r="AH115" i="54"/>
  <c r="AG115" i="54"/>
  <c r="AF115" i="54"/>
  <c r="AE115" i="54"/>
  <c r="AD115" i="54"/>
  <c r="AC115" i="54"/>
  <c r="AB115" i="54"/>
  <c r="AA115" i="54"/>
  <c r="Z115" i="54"/>
  <c r="Y115" i="54"/>
  <c r="X115" i="54"/>
  <c r="W115" i="54"/>
  <c r="V115" i="54"/>
  <c r="AO114" i="54"/>
  <c r="AN114" i="54"/>
  <c r="AM114" i="54"/>
  <c r="AL114" i="54"/>
  <c r="AK114" i="54"/>
  <c r="AJ114" i="54"/>
  <c r="AI114" i="54"/>
  <c r="AH114" i="54"/>
  <c r="AG114" i="54"/>
  <c r="AF114" i="54"/>
  <c r="AE114" i="54"/>
  <c r="AD114" i="54"/>
  <c r="AC114" i="54"/>
  <c r="AB114" i="54"/>
  <c r="AA114" i="54"/>
  <c r="Z114" i="54"/>
  <c r="Y114" i="54"/>
  <c r="X114" i="54"/>
  <c r="W114" i="54"/>
  <c r="V114" i="54"/>
  <c r="AO113" i="54"/>
  <c r="AN113" i="54"/>
  <c r="AM113" i="54"/>
  <c r="AL113" i="54"/>
  <c r="AK113" i="54"/>
  <c r="AJ113" i="54"/>
  <c r="AI113" i="54"/>
  <c r="AH113" i="54"/>
  <c r="AG113" i="54"/>
  <c r="AF113" i="54"/>
  <c r="AE113" i="54"/>
  <c r="AD113" i="54"/>
  <c r="AC113" i="54"/>
  <c r="AB113" i="54"/>
  <c r="AA113" i="54"/>
  <c r="Z113" i="54"/>
  <c r="Y113" i="54"/>
  <c r="X113" i="54"/>
  <c r="W113" i="54"/>
  <c r="V113" i="54"/>
  <c r="AO112" i="54"/>
  <c r="AN112" i="54"/>
  <c r="AM112" i="54"/>
  <c r="AL112" i="54"/>
  <c r="AK112" i="54"/>
  <c r="AJ112" i="54"/>
  <c r="AI112" i="54"/>
  <c r="AH112" i="54"/>
  <c r="AG112" i="54"/>
  <c r="AF112" i="54"/>
  <c r="AE112" i="54"/>
  <c r="AD112" i="54"/>
  <c r="AC112" i="54"/>
  <c r="AB112" i="54"/>
  <c r="AA112" i="54"/>
  <c r="Z112" i="54"/>
  <c r="Y112" i="54"/>
  <c r="X112" i="54"/>
  <c r="W112" i="54"/>
  <c r="V112" i="54"/>
  <c r="AO111" i="54"/>
  <c r="AN111" i="54"/>
  <c r="AM111" i="54"/>
  <c r="AL111" i="54"/>
  <c r="AK111" i="54"/>
  <c r="AJ111" i="54"/>
  <c r="AI111" i="54"/>
  <c r="AH111" i="54"/>
  <c r="AG111" i="54"/>
  <c r="AF111" i="54"/>
  <c r="AE111" i="54"/>
  <c r="AD111" i="54"/>
  <c r="AC111" i="54"/>
  <c r="AB111" i="54"/>
  <c r="AA111" i="54"/>
  <c r="Z111" i="54"/>
  <c r="Y111" i="54"/>
  <c r="X111" i="54"/>
  <c r="W111" i="54"/>
  <c r="V111" i="54"/>
  <c r="AO110" i="54"/>
  <c r="AN110" i="54"/>
  <c r="AM110" i="54"/>
  <c r="AL110" i="54"/>
  <c r="AK110" i="54"/>
  <c r="AJ110" i="54"/>
  <c r="AI110" i="54"/>
  <c r="AH110" i="54"/>
  <c r="AG110" i="54"/>
  <c r="AF110" i="54"/>
  <c r="AE110" i="54"/>
  <c r="AD110" i="54"/>
  <c r="AC110" i="54"/>
  <c r="AB110" i="54"/>
  <c r="AA110" i="54"/>
  <c r="Z110" i="54"/>
  <c r="Y110" i="54"/>
  <c r="X110" i="54"/>
  <c r="W110" i="54"/>
  <c r="V110" i="54"/>
  <c r="AO109" i="54"/>
  <c r="AN109" i="54"/>
  <c r="AM109" i="54"/>
  <c r="AL109" i="54"/>
  <c r="AK109" i="54"/>
  <c r="AJ109" i="54"/>
  <c r="AI109" i="54"/>
  <c r="AH109" i="54"/>
  <c r="AG109" i="54"/>
  <c r="AF109" i="54"/>
  <c r="AE109" i="54"/>
  <c r="AD109" i="54"/>
  <c r="AC109" i="54"/>
  <c r="AB109" i="54"/>
  <c r="AA109" i="54"/>
  <c r="Z109" i="54"/>
  <c r="Y109" i="54"/>
  <c r="X109" i="54"/>
  <c r="W109" i="54"/>
  <c r="V109" i="54"/>
  <c r="AO108" i="54"/>
  <c r="AN108" i="54"/>
  <c r="AM108" i="54"/>
  <c r="AL108" i="54"/>
  <c r="AK108" i="54"/>
  <c r="AJ108" i="54"/>
  <c r="AI108" i="54"/>
  <c r="AH108" i="54"/>
  <c r="AG108" i="54"/>
  <c r="AF108" i="54"/>
  <c r="AE108" i="54"/>
  <c r="AD108" i="54"/>
  <c r="AC108" i="54"/>
  <c r="AB108" i="54"/>
  <c r="AA108" i="54"/>
  <c r="Z108" i="54"/>
  <c r="Y108" i="54"/>
  <c r="X108" i="54"/>
  <c r="W108" i="54"/>
  <c r="V108" i="54"/>
  <c r="AO107" i="54"/>
  <c r="AN107" i="54"/>
  <c r="AM107" i="54"/>
  <c r="AL107" i="54"/>
  <c r="AK107" i="54"/>
  <c r="AJ107" i="54"/>
  <c r="AI107" i="54"/>
  <c r="AH107" i="54"/>
  <c r="AG107" i="54"/>
  <c r="AF107" i="54"/>
  <c r="AE107" i="54"/>
  <c r="AD107" i="54"/>
  <c r="AC107" i="54"/>
  <c r="AB107" i="54"/>
  <c r="AA107" i="54"/>
  <c r="Z107" i="54"/>
  <c r="Y107" i="54"/>
  <c r="X107" i="54"/>
  <c r="W107" i="54"/>
  <c r="V107" i="54"/>
  <c r="AO106" i="54"/>
  <c r="AN106" i="54"/>
  <c r="AM106" i="54"/>
  <c r="AL106" i="54"/>
  <c r="AK106" i="54"/>
  <c r="AJ106" i="54"/>
  <c r="AI106" i="54"/>
  <c r="AH106" i="54"/>
  <c r="AG106" i="54"/>
  <c r="AF106" i="54"/>
  <c r="AE106" i="54"/>
  <c r="AD106" i="54"/>
  <c r="AC106" i="54"/>
  <c r="AB106" i="54"/>
  <c r="AA106" i="54"/>
  <c r="Z106" i="54"/>
  <c r="Y106" i="54"/>
  <c r="X106" i="54"/>
  <c r="W106" i="54"/>
  <c r="V106" i="54"/>
  <c r="AO105" i="54"/>
  <c r="AN105" i="54"/>
  <c r="AM105" i="54"/>
  <c r="AL105" i="54"/>
  <c r="AK105" i="54"/>
  <c r="AJ105" i="54"/>
  <c r="AI105" i="54"/>
  <c r="AH105" i="54"/>
  <c r="AG105" i="54"/>
  <c r="AF105" i="54"/>
  <c r="AE105" i="54"/>
  <c r="AD105" i="54"/>
  <c r="AC105" i="54"/>
  <c r="AB105" i="54"/>
  <c r="AA105" i="54"/>
  <c r="Z105" i="54"/>
  <c r="Y105" i="54"/>
  <c r="X105" i="54"/>
  <c r="W105" i="54"/>
  <c r="V105" i="54"/>
  <c r="AO104" i="54"/>
  <c r="AN104" i="54"/>
  <c r="AM104" i="54"/>
  <c r="AL104" i="54"/>
  <c r="AK104" i="54"/>
  <c r="AJ104" i="54"/>
  <c r="AI104" i="54"/>
  <c r="AH104" i="54"/>
  <c r="AG104" i="54"/>
  <c r="AF104" i="54"/>
  <c r="AE104" i="54"/>
  <c r="AD104" i="54"/>
  <c r="AC104" i="54"/>
  <c r="AB104" i="54"/>
  <c r="AA104" i="54"/>
  <c r="Z104" i="54"/>
  <c r="Y104" i="54"/>
  <c r="X104" i="54"/>
  <c r="W104" i="54"/>
  <c r="V104" i="54"/>
  <c r="AO103" i="54"/>
  <c r="AN103" i="54"/>
  <c r="AM103" i="54"/>
  <c r="AL103" i="54"/>
  <c r="AK103" i="54"/>
  <c r="AJ103" i="54"/>
  <c r="AI103" i="54"/>
  <c r="AH103" i="54"/>
  <c r="AG103" i="54"/>
  <c r="AF103" i="54"/>
  <c r="AE103" i="54"/>
  <c r="AD103" i="54"/>
  <c r="AC103" i="54"/>
  <c r="AB103" i="54"/>
  <c r="AA103" i="54"/>
  <c r="Z103" i="54"/>
  <c r="Y103" i="54"/>
  <c r="X103" i="54"/>
  <c r="W103" i="54"/>
  <c r="V103" i="54"/>
  <c r="AO102" i="54"/>
  <c r="AN102" i="54"/>
  <c r="AM102" i="54"/>
  <c r="AL102" i="54"/>
  <c r="AK102" i="54"/>
  <c r="AJ102" i="54"/>
  <c r="AI102" i="54"/>
  <c r="AH102" i="54"/>
  <c r="AG102" i="54"/>
  <c r="AF102" i="54"/>
  <c r="AE102" i="54"/>
  <c r="AD102" i="54"/>
  <c r="AC102" i="54"/>
  <c r="AB102" i="54"/>
  <c r="AA102" i="54"/>
  <c r="Z102" i="54"/>
  <c r="Y102" i="54"/>
  <c r="X102" i="54"/>
  <c r="W102" i="54"/>
  <c r="V102" i="54"/>
  <c r="AO101" i="54"/>
  <c r="AN101" i="54"/>
  <c r="AM101" i="54"/>
  <c r="AL101" i="54"/>
  <c r="AK101" i="54"/>
  <c r="AJ101" i="54"/>
  <c r="AI101" i="54"/>
  <c r="AH101" i="54"/>
  <c r="AG101" i="54"/>
  <c r="AF101" i="54"/>
  <c r="AE101" i="54"/>
  <c r="AD101" i="54"/>
  <c r="AC101" i="54"/>
  <c r="AB101" i="54"/>
  <c r="AA101" i="54"/>
  <c r="Z101" i="54"/>
  <c r="Y101" i="54"/>
  <c r="X101" i="54"/>
  <c r="W101" i="54"/>
  <c r="V101" i="54"/>
  <c r="AO100" i="54"/>
  <c r="AN100" i="54"/>
  <c r="AM100" i="54"/>
  <c r="AL100" i="54"/>
  <c r="AK100" i="54"/>
  <c r="AJ100" i="54"/>
  <c r="AI100" i="54"/>
  <c r="AH100" i="54"/>
  <c r="AG100" i="54"/>
  <c r="AF100" i="54"/>
  <c r="AE100" i="54"/>
  <c r="AD100" i="54"/>
  <c r="AC100" i="54"/>
  <c r="AB100" i="54"/>
  <c r="AA100" i="54"/>
  <c r="Z100" i="54"/>
  <c r="Y100" i="54"/>
  <c r="X100" i="54"/>
  <c r="W100" i="54"/>
  <c r="V100" i="54"/>
  <c r="AE95" i="54"/>
  <c r="AC95" i="54"/>
  <c r="AB95" i="54"/>
  <c r="AA95" i="54"/>
  <c r="Y95" i="54"/>
  <c r="X95" i="54"/>
  <c r="W95" i="54"/>
  <c r="V95" i="54"/>
  <c r="AD94" i="54"/>
  <c r="AC94" i="54"/>
  <c r="AA94" i="54"/>
  <c r="Y94" i="54"/>
  <c r="W94" i="54"/>
  <c r="AC93" i="54"/>
  <c r="AB93" i="54"/>
  <c r="AA93" i="54"/>
  <c r="Z93" i="54"/>
  <c r="Y93" i="54"/>
  <c r="X93" i="54"/>
  <c r="W93" i="54"/>
  <c r="V93" i="54"/>
  <c r="AC92" i="54"/>
  <c r="AB92" i="54"/>
  <c r="AE92" i="54" s="1"/>
  <c r="AA92" i="54"/>
  <c r="Y92" i="54"/>
  <c r="X92" i="54"/>
  <c r="W92" i="54"/>
  <c r="V92" i="54"/>
  <c r="AD91" i="54"/>
  <c r="AC91" i="54"/>
  <c r="AA91" i="54"/>
  <c r="Y91" i="54"/>
  <c r="W91" i="54"/>
  <c r="AC90" i="54"/>
  <c r="AA90" i="54"/>
  <c r="Z90" i="54"/>
  <c r="Y90" i="54"/>
  <c r="X90" i="54"/>
  <c r="W90" i="54"/>
  <c r="AC89" i="54"/>
  <c r="AB89" i="54"/>
  <c r="AA89" i="54"/>
  <c r="Y89" i="54"/>
  <c r="W89" i="54"/>
  <c r="V89" i="54"/>
  <c r="AD88" i="54"/>
  <c r="AC88" i="54"/>
  <c r="AA88" i="54"/>
  <c r="Y88" i="54"/>
  <c r="W88" i="54"/>
  <c r="AC87" i="54"/>
  <c r="AA87" i="54"/>
  <c r="Z87" i="54"/>
  <c r="Y87" i="54"/>
  <c r="X87" i="54"/>
  <c r="W87" i="54"/>
  <c r="Z82" i="54"/>
  <c r="Y82" i="54"/>
  <c r="X82" i="54"/>
  <c r="W82" i="54"/>
  <c r="V82" i="54"/>
  <c r="B82" i="54"/>
  <c r="Z81" i="54"/>
  <c r="Y81" i="54"/>
  <c r="X81" i="54"/>
  <c r="W81" i="54"/>
  <c r="V81" i="54"/>
  <c r="Z80" i="54"/>
  <c r="Y80" i="54"/>
  <c r="X80" i="54"/>
  <c r="W80" i="54"/>
  <c r="V80" i="54"/>
  <c r="Z79" i="54"/>
  <c r="Y79" i="54"/>
  <c r="X79" i="54"/>
  <c r="W79" i="54"/>
  <c r="V79" i="54"/>
  <c r="Z78" i="54"/>
  <c r="Y78" i="54"/>
  <c r="X78" i="54"/>
  <c r="W78" i="54"/>
  <c r="V78" i="54"/>
  <c r="Z77" i="54"/>
  <c r="Y77" i="54"/>
  <c r="X77" i="54"/>
  <c r="W77" i="54"/>
  <c r="V77" i="54"/>
  <c r="Z76" i="54"/>
  <c r="Y76" i="54"/>
  <c r="X76" i="54"/>
  <c r="W76" i="54"/>
  <c r="V76" i="54"/>
  <c r="Z75" i="54"/>
  <c r="Y75" i="54"/>
  <c r="X75" i="54"/>
  <c r="W75" i="54"/>
  <c r="V75" i="54"/>
  <c r="Z74" i="54"/>
  <c r="Y74" i="54"/>
  <c r="X74" i="54"/>
  <c r="W74" i="54"/>
  <c r="V74" i="54"/>
  <c r="Z73" i="54"/>
  <c r="Y73" i="54"/>
  <c r="X73" i="54"/>
  <c r="W73" i="54"/>
  <c r="V73" i="54"/>
  <c r="AA68" i="54"/>
  <c r="Z68" i="54"/>
  <c r="Y68" i="54"/>
  <c r="X68" i="54"/>
  <c r="W68" i="54"/>
  <c r="V68" i="54"/>
  <c r="AA67" i="54"/>
  <c r="Z67" i="54"/>
  <c r="Y67" i="54"/>
  <c r="X67" i="54"/>
  <c r="W67" i="54"/>
  <c r="V67" i="54"/>
  <c r="AA66" i="54"/>
  <c r="Z66" i="54"/>
  <c r="Y66" i="54"/>
  <c r="X66" i="54"/>
  <c r="W66" i="54"/>
  <c r="V66" i="54"/>
  <c r="AA65" i="54"/>
  <c r="Z65" i="54"/>
  <c r="Y65" i="54"/>
  <c r="X65" i="54"/>
  <c r="W65" i="54"/>
  <c r="V65" i="54"/>
  <c r="AA64" i="54"/>
  <c r="Z64" i="54"/>
  <c r="Y64" i="54"/>
  <c r="X64" i="54"/>
  <c r="W64" i="54"/>
  <c r="V64" i="54"/>
  <c r="AA63" i="54"/>
  <c r="Z63" i="54"/>
  <c r="Y63" i="54"/>
  <c r="X63" i="54"/>
  <c r="W63" i="54"/>
  <c r="V63" i="54"/>
  <c r="AA62" i="54"/>
  <c r="Z62" i="54"/>
  <c r="Y62" i="54"/>
  <c r="X62" i="54"/>
  <c r="W62" i="54"/>
  <c r="V62" i="54"/>
  <c r="AA61" i="54"/>
  <c r="Z61" i="54"/>
  <c r="Y61" i="54"/>
  <c r="X61" i="54"/>
  <c r="W61" i="54"/>
  <c r="V61" i="54"/>
  <c r="AA60" i="54"/>
  <c r="Z60" i="54"/>
  <c r="Y60" i="54"/>
  <c r="X60" i="54"/>
  <c r="W60" i="54"/>
  <c r="V60" i="54"/>
  <c r="AA59" i="54"/>
  <c r="Z59" i="54"/>
  <c r="Y59" i="54"/>
  <c r="X59" i="54"/>
  <c r="W59" i="54"/>
  <c r="V59" i="54"/>
  <c r="AA58" i="54"/>
  <c r="Z58" i="54"/>
  <c r="Y58" i="54"/>
  <c r="X58" i="54"/>
  <c r="W58" i="54"/>
  <c r="V58" i="54"/>
  <c r="AU57" i="54"/>
  <c r="AA57" i="54"/>
  <c r="Z57" i="54"/>
  <c r="Y57" i="54"/>
  <c r="X57" i="54"/>
  <c r="W57" i="54"/>
  <c r="V57" i="54"/>
  <c r="AA56" i="54"/>
  <c r="Z56" i="54"/>
  <c r="Y56" i="54"/>
  <c r="X56" i="54"/>
  <c r="W56" i="54"/>
  <c r="V56" i="54"/>
  <c r="V49" i="54" s="1"/>
  <c r="AC47" i="54"/>
  <c r="AC46" i="54"/>
  <c r="V46" i="54"/>
  <c r="AE45" i="54"/>
  <c r="AC45" i="54"/>
  <c r="AE46" i="54" s="1"/>
  <c r="J38" i="54" s="1"/>
  <c r="B45" i="54"/>
  <c r="AP44" i="54"/>
  <c r="B94" i="54" s="1"/>
  <c r="AP43" i="54"/>
  <c r="B91" i="54" s="1"/>
  <c r="X43" i="54"/>
  <c r="AP42" i="54"/>
  <c r="B88" i="54" s="1"/>
  <c r="X42" i="54"/>
  <c r="AP41" i="54"/>
  <c r="B85" i="54" s="1"/>
  <c r="X41" i="54"/>
  <c r="AP40" i="54"/>
  <c r="X40" i="54"/>
  <c r="X39" i="54"/>
  <c r="X38" i="54"/>
  <c r="B38" i="54"/>
  <c r="AL37" i="54"/>
  <c r="AK37" i="54"/>
  <c r="AU59" i="54" s="1"/>
  <c r="X37" i="54"/>
  <c r="AL36" i="54"/>
  <c r="AK36" i="54"/>
  <c r="AU58" i="54" s="1"/>
  <c r="X36" i="54"/>
  <c r="AL35" i="54"/>
  <c r="AK35" i="54"/>
  <c r="X35" i="54"/>
  <c r="Q35" i="54"/>
  <c r="P35" i="54"/>
  <c r="O35" i="54"/>
  <c r="AL34" i="54"/>
  <c r="AK34" i="54"/>
  <c r="AU56" i="54" s="1"/>
  <c r="X34" i="54"/>
  <c r="AQ33" i="54"/>
  <c r="AL33" i="54"/>
  <c r="AK33" i="54"/>
  <c r="AU55" i="54" s="1"/>
  <c r="X33" i="54"/>
  <c r="AQ32" i="54"/>
  <c r="AL32" i="54"/>
  <c r="AK32" i="54"/>
  <c r="AU54" i="54" s="1"/>
  <c r="AD32" i="54"/>
  <c r="X32" i="54"/>
  <c r="AL31" i="54"/>
  <c r="AK31" i="54"/>
  <c r="AU53" i="54" s="1"/>
  <c r="AG31" i="54"/>
  <c r="AD31" i="54"/>
  <c r="X31" i="54"/>
  <c r="AL30" i="54"/>
  <c r="AK30" i="54"/>
  <c r="AU52" i="54" s="1"/>
  <c r="AD30" i="54"/>
  <c r="X30" i="54"/>
  <c r="B30" i="54"/>
  <c r="AQ29" i="54"/>
  <c r="AL29" i="54"/>
  <c r="AK29" i="54"/>
  <c r="AU51" i="54" s="1"/>
  <c r="X29" i="54"/>
  <c r="X28" i="54"/>
  <c r="AQ27" i="54"/>
  <c r="X27" i="54"/>
  <c r="B27" i="54"/>
  <c r="X26" i="54"/>
  <c r="P25" i="54"/>
  <c r="P24" i="54"/>
  <c r="G20" i="54" s="1"/>
  <c r="I24" i="54"/>
  <c r="G24" i="54"/>
  <c r="E24" i="54"/>
  <c r="C24" i="54"/>
  <c r="AB23" i="54"/>
  <c r="AA23" i="54"/>
  <c r="AC23" i="54" s="1"/>
  <c r="Z23" i="54"/>
  <c r="Y23" i="54"/>
  <c r="I23" i="54"/>
  <c r="G23" i="54"/>
  <c r="E23" i="54"/>
  <c r="C23" i="54"/>
  <c r="AB22" i="54"/>
  <c r="AA22" i="54"/>
  <c r="Z22" i="54"/>
  <c r="AC22" i="54" s="1"/>
  <c r="Y22" i="54"/>
  <c r="I22" i="54"/>
  <c r="G22" i="54"/>
  <c r="E22" i="54"/>
  <c r="C22" i="54"/>
  <c r="I21" i="54"/>
  <c r="G21" i="54"/>
  <c r="E21" i="54"/>
  <c r="C21" i="54"/>
  <c r="AQ20" i="54"/>
  <c r="AI20" i="54"/>
  <c r="I20" i="54"/>
  <c r="AQ19" i="54"/>
  <c r="B69" i="54" s="1"/>
  <c r="AQ35" i="54" s="1"/>
  <c r="AI19" i="54"/>
  <c r="AQ18" i="54"/>
  <c r="B66" i="54" s="1"/>
  <c r="AQ34" i="54" s="1"/>
  <c r="AL18" i="54"/>
  <c r="AI18" i="54"/>
  <c r="AJ18" i="54" s="1"/>
  <c r="AK18" i="54" s="1"/>
  <c r="AV26" i="54" s="1"/>
  <c r="I18" i="54"/>
  <c r="E18" i="54"/>
  <c r="AI17" i="54"/>
  <c r="AI16" i="54"/>
  <c r="AI15" i="54"/>
  <c r="AJ15" i="54" s="1"/>
  <c r="AK15" i="54" s="1"/>
  <c r="AU26" i="54" s="1"/>
  <c r="AQ14" i="54"/>
  <c r="B63" i="54" s="1"/>
  <c r="AI14" i="54"/>
  <c r="I14" i="54"/>
  <c r="AQ13" i="54"/>
  <c r="B60" i="54" s="1"/>
  <c r="AI13" i="54"/>
  <c r="AQ12" i="54"/>
  <c r="B57" i="54" s="1"/>
  <c r="AQ31" i="54" s="1"/>
  <c r="AL12" i="54"/>
  <c r="AI12" i="54"/>
  <c r="AJ12" i="54" s="1"/>
  <c r="AK12" i="54" s="1"/>
  <c r="AT26" i="54" s="1"/>
  <c r="AI11" i="54"/>
  <c r="AB11" i="54"/>
  <c r="AA11" i="54"/>
  <c r="Z11" i="54"/>
  <c r="AC11" i="54" s="1"/>
  <c r="Y11" i="54"/>
  <c r="AI10" i="54"/>
  <c r="AB10" i="54"/>
  <c r="AA10" i="54"/>
  <c r="Z10" i="54"/>
  <c r="AC10" i="54" s="1"/>
  <c r="Y10" i="54"/>
  <c r="AJ9" i="54"/>
  <c r="AI9" i="54"/>
  <c r="AB9" i="54"/>
  <c r="AA9" i="54"/>
  <c r="Z9" i="54"/>
  <c r="AC9" i="54" s="1"/>
  <c r="Y9" i="54"/>
  <c r="AQ8" i="54"/>
  <c r="B54" i="54" s="1"/>
  <c r="AQ30" i="54" s="1"/>
  <c r="AC8" i="54"/>
  <c r="AB8" i="54"/>
  <c r="AA8" i="54"/>
  <c r="Z8" i="54"/>
  <c r="Y8" i="54"/>
  <c r="AQ7" i="54"/>
  <c r="B51" i="54" s="1"/>
  <c r="AQ6" i="54"/>
  <c r="B48" i="54" s="1"/>
  <c r="AA215" i="52"/>
  <c r="V214" i="52"/>
  <c r="V213" i="52"/>
  <c r="V212" i="52"/>
  <c r="V211" i="52"/>
  <c r="V210" i="52"/>
  <c r="V209" i="52"/>
  <c r="V208" i="52"/>
  <c r="V207" i="52"/>
  <c r="V206" i="52"/>
  <c r="V205" i="52"/>
  <c r="V204" i="52"/>
  <c r="V203" i="52"/>
  <c r="V202" i="52"/>
  <c r="V201" i="52"/>
  <c r="V200" i="52"/>
  <c r="V199" i="52"/>
  <c r="V198" i="52"/>
  <c r="V197" i="52"/>
  <c r="V196" i="52"/>
  <c r="V195" i="52"/>
  <c r="V194" i="52"/>
  <c r="V193" i="52"/>
  <c r="V192" i="52"/>
  <c r="V191" i="52"/>
  <c r="V190" i="52"/>
  <c r="V189" i="52"/>
  <c r="V188" i="52"/>
  <c r="AO179" i="52"/>
  <c r="AN179" i="52"/>
  <c r="AM179" i="52"/>
  <c r="AL179" i="52"/>
  <c r="AK179" i="52"/>
  <c r="AJ179" i="52"/>
  <c r="AI179" i="52"/>
  <c r="AH179" i="52"/>
  <c r="AG179" i="52"/>
  <c r="AF179" i="52"/>
  <c r="AE179" i="52"/>
  <c r="AD179" i="52"/>
  <c r="AC179" i="52"/>
  <c r="AB179" i="52"/>
  <c r="AA179" i="52"/>
  <c r="Z179" i="52"/>
  <c r="Y179" i="52"/>
  <c r="X179" i="52"/>
  <c r="W179" i="52"/>
  <c r="V179" i="52"/>
  <c r="AO178" i="52"/>
  <c r="AN178" i="52"/>
  <c r="AM178" i="52"/>
  <c r="AL178" i="52"/>
  <c r="AK178" i="52"/>
  <c r="AJ178" i="52"/>
  <c r="AI178" i="52"/>
  <c r="AH178" i="52"/>
  <c r="AG178" i="52"/>
  <c r="AF178" i="52"/>
  <c r="AE178" i="52"/>
  <c r="AD178" i="52"/>
  <c r="AC178" i="52"/>
  <c r="AB178" i="52"/>
  <c r="AA178" i="52"/>
  <c r="Z178" i="52"/>
  <c r="Y178" i="52"/>
  <c r="X178" i="52"/>
  <c r="W178" i="52"/>
  <c r="V178" i="52"/>
  <c r="AO177" i="52"/>
  <c r="AN177" i="52"/>
  <c r="AM177" i="52"/>
  <c r="AL177" i="52"/>
  <c r="AK177" i="52"/>
  <c r="AJ177" i="52"/>
  <c r="AI177" i="52"/>
  <c r="AH177" i="52"/>
  <c r="AG177" i="52"/>
  <c r="AF177" i="52"/>
  <c r="AE177" i="52"/>
  <c r="AD177" i="52"/>
  <c r="AC177" i="52"/>
  <c r="AB177" i="52"/>
  <c r="AA177" i="52"/>
  <c r="Z177" i="52"/>
  <c r="Y177" i="52"/>
  <c r="X177" i="52"/>
  <c r="W177" i="52"/>
  <c r="V177" i="52"/>
  <c r="AO176" i="52"/>
  <c r="AN176" i="52"/>
  <c r="AM176" i="52"/>
  <c r="AL176" i="52"/>
  <c r="AK176" i="52"/>
  <c r="AJ176" i="52"/>
  <c r="AI176" i="52"/>
  <c r="AH176" i="52"/>
  <c r="AG176" i="52"/>
  <c r="AF176" i="52"/>
  <c r="AE176" i="52"/>
  <c r="AD176" i="52"/>
  <c r="AC176" i="52"/>
  <c r="AB176" i="52"/>
  <c r="AA176" i="52"/>
  <c r="Z176" i="52"/>
  <c r="Y176" i="52"/>
  <c r="X176" i="52"/>
  <c r="W176" i="52"/>
  <c r="V176" i="52"/>
  <c r="AO175" i="52"/>
  <c r="AN175" i="52"/>
  <c r="AM175" i="52"/>
  <c r="AL175" i="52"/>
  <c r="AK175" i="52"/>
  <c r="AJ175" i="52"/>
  <c r="AI175" i="52"/>
  <c r="AH175" i="52"/>
  <c r="AG175" i="52"/>
  <c r="AF175" i="52"/>
  <c r="AE175" i="52"/>
  <c r="AD175" i="52"/>
  <c r="AC175" i="52"/>
  <c r="AB175" i="52"/>
  <c r="AA175" i="52"/>
  <c r="Z175" i="52"/>
  <c r="Y175" i="52"/>
  <c r="X175" i="52"/>
  <c r="W175" i="52"/>
  <c r="V175" i="52"/>
  <c r="AO174" i="52"/>
  <c r="AN174" i="52"/>
  <c r="AM174" i="52"/>
  <c r="AL174" i="52"/>
  <c r="AK174" i="52"/>
  <c r="AJ174" i="52"/>
  <c r="AI174" i="52"/>
  <c r="AH174" i="52"/>
  <c r="AG174" i="52"/>
  <c r="AF174" i="52"/>
  <c r="AE174" i="52"/>
  <c r="AD174" i="52"/>
  <c r="AC174" i="52"/>
  <c r="AB174" i="52"/>
  <c r="AA174" i="52"/>
  <c r="Z174" i="52"/>
  <c r="Y174" i="52"/>
  <c r="X174" i="52"/>
  <c r="W174" i="52"/>
  <c r="V174" i="52"/>
  <c r="AO173" i="52"/>
  <c r="AN173" i="52"/>
  <c r="AM173" i="52"/>
  <c r="AL173" i="52"/>
  <c r="AK173" i="52"/>
  <c r="AJ173" i="52"/>
  <c r="AI173" i="52"/>
  <c r="AH173" i="52"/>
  <c r="AG173" i="52"/>
  <c r="AF173" i="52"/>
  <c r="AE173" i="52"/>
  <c r="AD173" i="52"/>
  <c r="AC173" i="52"/>
  <c r="AB173" i="52"/>
  <c r="AA173" i="52"/>
  <c r="Z173" i="52"/>
  <c r="Y173" i="52"/>
  <c r="X173" i="52"/>
  <c r="W173" i="52"/>
  <c r="V173" i="52"/>
  <c r="AO172" i="52"/>
  <c r="AN172" i="52"/>
  <c r="AM172" i="52"/>
  <c r="AL172" i="52"/>
  <c r="AK172" i="52"/>
  <c r="AJ172" i="52"/>
  <c r="AI172" i="52"/>
  <c r="AH172" i="52"/>
  <c r="AG172" i="52"/>
  <c r="AF172" i="52"/>
  <c r="AE172" i="52"/>
  <c r="AD172" i="52"/>
  <c r="AC172" i="52"/>
  <c r="AB172" i="52"/>
  <c r="AA172" i="52"/>
  <c r="Z172" i="52"/>
  <c r="Y172" i="52"/>
  <c r="X172" i="52"/>
  <c r="W172" i="52"/>
  <c r="V172" i="52"/>
  <c r="AO171" i="52"/>
  <c r="AN171" i="52"/>
  <c r="AM171" i="52"/>
  <c r="AL171" i="52"/>
  <c r="AK171" i="52"/>
  <c r="AJ171" i="52"/>
  <c r="AI171" i="52"/>
  <c r="AH171" i="52"/>
  <c r="AG171" i="52"/>
  <c r="AF171" i="52"/>
  <c r="AE171" i="52"/>
  <c r="AD171" i="52"/>
  <c r="AC171" i="52"/>
  <c r="AB171" i="52"/>
  <c r="AA171" i="52"/>
  <c r="Z171" i="52"/>
  <c r="Y171" i="52"/>
  <c r="X171" i="52"/>
  <c r="W171" i="52"/>
  <c r="V171" i="52"/>
  <c r="AO170" i="52"/>
  <c r="AN170" i="52"/>
  <c r="AM170" i="52"/>
  <c r="AL170" i="52"/>
  <c r="AK170" i="52"/>
  <c r="AJ170" i="52"/>
  <c r="AI170" i="52"/>
  <c r="AH170" i="52"/>
  <c r="AG170" i="52"/>
  <c r="AF170" i="52"/>
  <c r="AE170" i="52"/>
  <c r="AD170" i="52"/>
  <c r="AC170" i="52"/>
  <c r="AB170" i="52"/>
  <c r="AA170" i="52"/>
  <c r="Z170" i="52"/>
  <c r="Y170" i="52"/>
  <c r="X170" i="52"/>
  <c r="W170" i="52"/>
  <c r="V170" i="52"/>
  <c r="AO169" i="52"/>
  <c r="AN169" i="52"/>
  <c r="AM169" i="52"/>
  <c r="AL169" i="52"/>
  <c r="AK169" i="52"/>
  <c r="AJ169" i="52"/>
  <c r="AI169" i="52"/>
  <c r="AH169" i="52"/>
  <c r="AG169" i="52"/>
  <c r="AF169" i="52"/>
  <c r="AE169" i="52"/>
  <c r="AD169" i="52"/>
  <c r="AC169" i="52"/>
  <c r="AB169" i="52"/>
  <c r="AA169" i="52"/>
  <c r="Z169" i="52"/>
  <c r="Y169" i="52"/>
  <c r="X169" i="52"/>
  <c r="W169" i="52"/>
  <c r="V169" i="52"/>
  <c r="AO168" i="52"/>
  <c r="AN168" i="52"/>
  <c r="AM168" i="52"/>
  <c r="AL168" i="52"/>
  <c r="AK168" i="52"/>
  <c r="AJ168" i="52"/>
  <c r="AI168" i="52"/>
  <c r="AH168" i="52"/>
  <c r="AG168" i="52"/>
  <c r="AF168" i="52"/>
  <c r="AE168" i="52"/>
  <c r="AD168" i="52"/>
  <c r="AC168" i="52"/>
  <c r="AC95" i="52" s="1"/>
  <c r="AB168" i="52"/>
  <c r="AA168" i="52"/>
  <c r="Z168" i="52"/>
  <c r="Y168" i="52"/>
  <c r="Y95" i="52" s="1"/>
  <c r="X168" i="52"/>
  <c r="W168" i="52"/>
  <c r="W95" i="52" s="1"/>
  <c r="V168" i="52"/>
  <c r="AO167" i="52"/>
  <c r="AN167" i="52"/>
  <c r="AM167" i="52"/>
  <c r="AL167" i="52"/>
  <c r="AK167" i="52"/>
  <c r="AJ167" i="52"/>
  <c r="AI167" i="52"/>
  <c r="AH167" i="52"/>
  <c r="AG167" i="52"/>
  <c r="AF167" i="52"/>
  <c r="AE167" i="52"/>
  <c r="AD167" i="52"/>
  <c r="AC167" i="52"/>
  <c r="AB167" i="52"/>
  <c r="AA167" i="52"/>
  <c r="Z167" i="52"/>
  <c r="Y167" i="52"/>
  <c r="X167" i="52"/>
  <c r="W167" i="52"/>
  <c r="V167" i="52"/>
  <c r="AO166" i="52"/>
  <c r="AN166" i="52"/>
  <c r="AM166" i="52"/>
  <c r="AL166" i="52"/>
  <c r="AK166" i="52"/>
  <c r="AJ166" i="52"/>
  <c r="AI166" i="52"/>
  <c r="AH166" i="52"/>
  <c r="AG166" i="52"/>
  <c r="AF166" i="52"/>
  <c r="AE166" i="52"/>
  <c r="AD166" i="52"/>
  <c r="AC166" i="52"/>
  <c r="AB166" i="52"/>
  <c r="AA166" i="52"/>
  <c r="AA93" i="52" s="1"/>
  <c r="Z166" i="52"/>
  <c r="Y166" i="52"/>
  <c r="X166" i="52"/>
  <c r="W166" i="52"/>
  <c r="V166" i="52"/>
  <c r="AO165" i="52"/>
  <c r="AN165" i="52"/>
  <c r="AM165" i="52"/>
  <c r="AL165" i="52"/>
  <c r="AK165" i="52"/>
  <c r="AJ165" i="52"/>
  <c r="AI165" i="52"/>
  <c r="AH165" i="52"/>
  <c r="AG165" i="52"/>
  <c r="AF165" i="52"/>
  <c r="AE165" i="52"/>
  <c r="AD165" i="52"/>
  <c r="AC165" i="52"/>
  <c r="AC92" i="52" s="1"/>
  <c r="AB165" i="52"/>
  <c r="AA165" i="52"/>
  <c r="Z165" i="52"/>
  <c r="Y165" i="52"/>
  <c r="Y92" i="52" s="1"/>
  <c r="X165" i="52"/>
  <c r="W165" i="52"/>
  <c r="W92" i="52" s="1"/>
  <c r="V165" i="52"/>
  <c r="AO164" i="52"/>
  <c r="AN164" i="52"/>
  <c r="AM164" i="52"/>
  <c r="AL164" i="52"/>
  <c r="AK164" i="52"/>
  <c r="AJ164" i="52"/>
  <c r="AI164" i="52"/>
  <c r="AH164" i="52"/>
  <c r="AG164" i="52"/>
  <c r="AF164" i="52"/>
  <c r="AE164" i="52"/>
  <c r="AD164" i="52"/>
  <c r="AC164" i="52"/>
  <c r="AB164" i="52"/>
  <c r="AA164" i="52"/>
  <c r="AA91" i="52" s="1"/>
  <c r="Z164" i="52"/>
  <c r="Y164" i="52"/>
  <c r="Y91" i="52" s="1"/>
  <c r="X164" i="52"/>
  <c r="W164" i="52"/>
  <c r="V164" i="52"/>
  <c r="AO163" i="52"/>
  <c r="AN163" i="52"/>
  <c r="AM163" i="52"/>
  <c r="AL163" i="52"/>
  <c r="AK163" i="52"/>
  <c r="AJ163" i="52"/>
  <c r="AI163" i="52"/>
  <c r="AH163" i="52"/>
  <c r="AG163" i="52"/>
  <c r="AF163" i="52"/>
  <c r="AE163" i="52"/>
  <c r="AD163" i="52"/>
  <c r="AC163" i="52"/>
  <c r="AC90" i="52" s="1"/>
  <c r="AB163" i="52"/>
  <c r="AA163" i="52"/>
  <c r="AA90" i="52" s="1"/>
  <c r="Z163" i="52"/>
  <c r="Y163" i="52"/>
  <c r="X163" i="52"/>
  <c r="W163" i="52"/>
  <c r="W90" i="52" s="1"/>
  <c r="V163" i="52"/>
  <c r="AO162" i="52"/>
  <c r="AN162" i="52"/>
  <c r="AM162" i="52"/>
  <c r="AL162" i="52"/>
  <c r="AK162" i="52"/>
  <c r="AJ162" i="52"/>
  <c r="AI162" i="52"/>
  <c r="AH162" i="52"/>
  <c r="AG162" i="52"/>
  <c r="AF162" i="52"/>
  <c r="AE162" i="52"/>
  <c r="AD162" i="52"/>
  <c r="AC162" i="52"/>
  <c r="AC89" i="52" s="1"/>
  <c r="AB162" i="52"/>
  <c r="AA162" i="52"/>
  <c r="Z162" i="52"/>
  <c r="Y162" i="52"/>
  <c r="Y89" i="52" s="1"/>
  <c r="X162" i="52"/>
  <c r="W162" i="52"/>
  <c r="W89" i="52" s="1"/>
  <c r="V162" i="52"/>
  <c r="AO161" i="52"/>
  <c r="AN161" i="52"/>
  <c r="AM161" i="52"/>
  <c r="AL161" i="52"/>
  <c r="AK161" i="52"/>
  <c r="AJ161" i="52"/>
  <c r="AI161" i="52"/>
  <c r="AH161" i="52"/>
  <c r="AG161" i="52"/>
  <c r="AF161" i="52"/>
  <c r="AE161" i="52"/>
  <c r="AD161" i="52"/>
  <c r="AC161" i="52"/>
  <c r="AB161" i="52"/>
  <c r="AA161" i="52"/>
  <c r="AA88" i="52" s="1"/>
  <c r="Z161" i="52"/>
  <c r="Y161" i="52"/>
  <c r="Y88" i="52" s="1"/>
  <c r="X161" i="52"/>
  <c r="W161" i="52"/>
  <c r="V161" i="52"/>
  <c r="AO160" i="52"/>
  <c r="AN160" i="52"/>
  <c r="AM160" i="52"/>
  <c r="AL160" i="52"/>
  <c r="AK160" i="52"/>
  <c r="AJ160" i="52"/>
  <c r="AI160" i="52"/>
  <c r="AH160" i="52"/>
  <c r="AG160" i="52"/>
  <c r="AF160" i="52"/>
  <c r="AE160" i="52"/>
  <c r="AD160" i="52"/>
  <c r="AC160" i="52"/>
  <c r="AC87" i="52" s="1"/>
  <c r="AB160" i="52"/>
  <c r="AA160" i="52"/>
  <c r="AA87" i="52" s="1"/>
  <c r="Z160" i="52"/>
  <c r="Y160" i="52"/>
  <c r="X160" i="52"/>
  <c r="W160" i="52"/>
  <c r="W87" i="52" s="1"/>
  <c r="V160" i="52"/>
  <c r="AO159" i="52"/>
  <c r="AN159" i="52"/>
  <c r="AM159" i="52"/>
  <c r="AL159" i="52"/>
  <c r="AK159" i="52"/>
  <c r="AJ159" i="52"/>
  <c r="AI159" i="52"/>
  <c r="AH159" i="52"/>
  <c r="AG159" i="52"/>
  <c r="AF159" i="52"/>
  <c r="AE159" i="52"/>
  <c r="AD159" i="52"/>
  <c r="AC159" i="52"/>
  <c r="AB159" i="52"/>
  <c r="AA159" i="52"/>
  <c r="Z159" i="52"/>
  <c r="Y159" i="52"/>
  <c r="X159" i="52"/>
  <c r="W159" i="52"/>
  <c r="V159" i="52"/>
  <c r="AO158" i="52"/>
  <c r="AN158" i="52"/>
  <c r="AM158" i="52"/>
  <c r="AL158" i="52"/>
  <c r="AK158" i="52"/>
  <c r="AJ158" i="52"/>
  <c r="AI158" i="52"/>
  <c r="AH158" i="52"/>
  <c r="AG158" i="52"/>
  <c r="AF158" i="52"/>
  <c r="AE158" i="52"/>
  <c r="AD158" i="52"/>
  <c r="AC158" i="52"/>
  <c r="AB158" i="52"/>
  <c r="AA158" i="52"/>
  <c r="Z158" i="52"/>
  <c r="Y158" i="52"/>
  <c r="X158" i="52"/>
  <c r="W158" i="52"/>
  <c r="V158" i="52"/>
  <c r="AO157" i="52"/>
  <c r="AN157" i="52"/>
  <c r="AM157" i="52"/>
  <c r="AL157" i="52"/>
  <c r="AK157" i="52"/>
  <c r="AJ157" i="52"/>
  <c r="AI157" i="52"/>
  <c r="AH157" i="52"/>
  <c r="AG157" i="52"/>
  <c r="AF157" i="52"/>
  <c r="AE157" i="52"/>
  <c r="AD157" i="52"/>
  <c r="AC157" i="52"/>
  <c r="AB157" i="52"/>
  <c r="AA157" i="52"/>
  <c r="Z157" i="52"/>
  <c r="Y157" i="52"/>
  <c r="X157" i="52"/>
  <c r="W157" i="52"/>
  <c r="V157" i="52"/>
  <c r="AO156" i="52"/>
  <c r="AN156" i="52"/>
  <c r="AM156" i="52"/>
  <c r="AL156" i="52"/>
  <c r="AK156" i="52"/>
  <c r="AJ156" i="52"/>
  <c r="AI156" i="52"/>
  <c r="AH156" i="52"/>
  <c r="AG156" i="52"/>
  <c r="AF156" i="52"/>
  <c r="AE156" i="52"/>
  <c r="AD156" i="52"/>
  <c r="AC156" i="52"/>
  <c r="AB156" i="52"/>
  <c r="AA156" i="52"/>
  <c r="Z156" i="52"/>
  <c r="Y156" i="52"/>
  <c r="X156" i="52"/>
  <c r="W156" i="52"/>
  <c r="V156" i="52"/>
  <c r="AO155" i="52"/>
  <c r="AN155" i="52"/>
  <c r="AM155" i="52"/>
  <c r="AL155" i="52"/>
  <c r="AK155" i="52"/>
  <c r="AJ155" i="52"/>
  <c r="AI155" i="52"/>
  <c r="AH155" i="52"/>
  <c r="AG155" i="52"/>
  <c r="AF155" i="52"/>
  <c r="AE155" i="52"/>
  <c r="AD155" i="52"/>
  <c r="AC155" i="52"/>
  <c r="AB155" i="52"/>
  <c r="AA155" i="52"/>
  <c r="Z155" i="52"/>
  <c r="Y155" i="52"/>
  <c r="X155" i="52"/>
  <c r="W155" i="52"/>
  <c r="V155" i="52"/>
  <c r="AO154" i="52"/>
  <c r="AN154" i="52"/>
  <c r="AM154" i="52"/>
  <c r="AL154" i="52"/>
  <c r="AK154" i="52"/>
  <c r="AJ154" i="52"/>
  <c r="AI154" i="52"/>
  <c r="AH154" i="52"/>
  <c r="AG154" i="52"/>
  <c r="AF154" i="52"/>
  <c r="AE154" i="52"/>
  <c r="AD154" i="52"/>
  <c r="AC154" i="52"/>
  <c r="AB154" i="52"/>
  <c r="AA154" i="52"/>
  <c r="Z154" i="52"/>
  <c r="Y154" i="52"/>
  <c r="X154" i="52"/>
  <c r="W154" i="52"/>
  <c r="V154" i="52"/>
  <c r="AO153" i="52"/>
  <c r="AN153" i="52"/>
  <c r="AM153" i="52"/>
  <c r="AL153" i="52"/>
  <c r="AK153" i="52"/>
  <c r="AJ153" i="52"/>
  <c r="AI153" i="52"/>
  <c r="AH153" i="52"/>
  <c r="AG153" i="52"/>
  <c r="AF153" i="52"/>
  <c r="AE153" i="52"/>
  <c r="AD153" i="52"/>
  <c r="AC153" i="52"/>
  <c r="AB153" i="52"/>
  <c r="AA153" i="52"/>
  <c r="Z153" i="52"/>
  <c r="Y153" i="52"/>
  <c r="X153" i="52"/>
  <c r="W153" i="52"/>
  <c r="V153" i="52"/>
  <c r="AO152" i="52"/>
  <c r="AN152" i="52"/>
  <c r="AM152" i="52"/>
  <c r="AL152" i="52"/>
  <c r="AK152" i="52"/>
  <c r="AJ152" i="52"/>
  <c r="AI152" i="52"/>
  <c r="AH152" i="52"/>
  <c r="AG152" i="52"/>
  <c r="AF152" i="52"/>
  <c r="AE152" i="52"/>
  <c r="AD152" i="52"/>
  <c r="AC152" i="52"/>
  <c r="AB152" i="52"/>
  <c r="AA152" i="52"/>
  <c r="Z152" i="52"/>
  <c r="Y152" i="52"/>
  <c r="X152" i="52"/>
  <c r="W152" i="52"/>
  <c r="V152" i="52"/>
  <c r="AO151" i="52"/>
  <c r="AN151" i="52"/>
  <c r="AM151" i="52"/>
  <c r="AL151" i="52"/>
  <c r="AK151" i="52"/>
  <c r="AJ151" i="52"/>
  <c r="AI151" i="52"/>
  <c r="AH151" i="52"/>
  <c r="AG151" i="52"/>
  <c r="AF151" i="52"/>
  <c r="AE151" i="52"/>
  <c r="AD151" i="52"/>
  <c r="AC151" i="52"/>
  <c r="AB151" i="52"/>
  <c r="AA151" i="52"/>
  <c r="Z151" i="52"/>
  <c r="Y151" i="52"/>
  <c r="X151" i="52"/>
  <c r="W151" i="52"/>
  <c r="V151" i="52"/>
  <c r="AO150" i="52"/>
  <c r="AN150" i="52"/>
  <c r="AM150" i="52"/>
  <c r="AL150" i="52"/>
  <c r="AK150" i="52"/>
  <c r="AJ150" i="52"/>
  <c r="AI150" i="52"/>
  <c r="AH150" i="52"/>
  <c r="AG150" i="52"/>
  <c r="AF150" i="52"/>
  <c r="AE150" i="52"/>
  <c r="AD150" i="52"/>
  <c r="AC150" i="52"/>
  <c r="AB150" i="52"/>
  <c r="AA150" i="52"/>
  <c r="Z150" i="52"/>
  <c r="Y150" i="52"/>
  <c r="X150" i="52"/>
  <c r="W150" i="52"/>
  <c r="V150" i="52"/>
  <c r="AO149" i="52"/>
  <c r="AN149" i="52"/>
  <c r="AM149" i="52"/>
  <c r="AL149" i="52"/>
  <c r="AK149" i="52"/>
  <c r="AJ149" i="52"/>
  <c r="AI149" i="52"/>
  <c r="AH149" i="52"/>
  <c r="AG149" i="52"/>
  <c r="AF149" i="52"/>
  <c r="AE149" i="52"/>
  <c r="AD149" i="52"/>
  <c r="AC149" i="52"/>
  <c r="AB149" i="52"/>
  <c r="AA149" i="52"/>
  <c r="Z149" i="52"/>
  <c r="Y149" i="52"/>
  <c r="X149" i="52"/>
  <c r="W149" i="52"/>
  <c r="V149" i="52"/>
  <c r="AO148" i="52"/>
  <c r="AN148" i="52"/>
  <c r="AM148" i="52"/>
  <c r="AL148" i="52"/>
  <c r="AK148" i="52"/>
  <c r="AJ148" i="52"/>
  <c r="AI148" i="52"/>
  <c r="AH148" i="52"/>
  <c r="AG148" i="52"/>
  <c r="AF148" i="52"/>
  <c r="AE148" i="52"/>
  <c r="AD148" i="52"/>
  <c r="AC148" i="52"/>
  <c r="AB148" i="52"/>
  <c r="AA148" i="52"/>
  <c r="Z148" i="52"/>
  <c r="Y148" i="52"/>
  <c r="X148" i="52"/>
  <c r="W148" i="52"/>
  <c r="V148" i="52"/>
  <c r="AO147" i="52"/>
  <c r="AN147" i="52"/>
  <c r="AM147" i="52"/>
  <c r="AL147" i="52"/>
  <c r="AK147" i="52"/>
  <c r="AJ147" i="52"/>
  <c r="AI147" i="52"/>
  <c r="AH147" i="52"/>
  <c r="AG147" i="52"/>
  <c r="AF147" i="52"/>
  <c r="AE147" i="52"/>
  <c r="AD147" i="52"/>
  <c r="AC147" i="52"/>
  <c r="AB147" i="52"/>
  <c r="AA147" i="52"/>
  <c r="Z147" i="52"/>
  <c r="Y147" i="52"/>
  <c r="X147" i="52"/>
  <c r="W147" i="52"/>
  <c r="V147" i="52"/>
  <c r="AO146" i="52"/>
  <c r="AN146" i="52"/>
  <c r="AM146" i="52"/>
  <c r="AL146" i="52"/>
  <c r="AK146" i="52"/>
  <c r="AJ146" i="52"/>
  <c r="AI146" i="52"/>
  <c r="AH146" i="52"/>
  <c r="AG146" i="52"/>
  <c r="AF146" i="52"/>
  <c r="AE146" i="52"/>
  <c r="AD146" i="52"/>
  <c r="AC146" i="52"/>
  <c r="AB146" i="52"/>
  <c r="AA146" i="52"/>
  <c r="Z146" i="52"/>
  <c r="Y146" i="52"/>
  <c r="X146" i="52"/>
  <c r="W146" i="52"/>
  <c r="V146" i="52"/>
  <c r="AO145" i="52"/>
  <c r="AN145" i="52"/>
  <c r="AM145" i="52"/>
  <c r="AL145" i="52"/>
  <c r="AK145" i="52"/>
  <c r="AJ145" i="52"/>
  <c r="AI145" i="52"/>
  <c r="AH145" i="52"/>
  <c r="AG145" i="52"/>
  <c r="AF145" i="52"/>
  <c r="AE145" i="52"/>
  <c r="AD145" i="52"/>
  <c r="AC145" i="52"/>
  <c r="AB145" i="52"/>
  <c r="AA145" i="52"/>
  <c r="Z145" i="52"/>
  <c r="Y145" i="52"/>
  <c r="X145" i="52"/>
  <c r="W145" i="52"/>
  <c r="V145" i="52"/>
  <c r="AO144" i="52"/>
  <c r="AN144" i="52"/>
  <c r="AM144" i="52"/>
  <c r="AL144" i="52"/>
  <c r="AK144" i="52"/>
  <c r="AJ144" i="52"/>
  <c r="AI144" i="52"/>
  <c r="AH144" i="52"/>
  <c r="AG144" i="52"/>
  <c r="AF144" i="52"/>
  <c r="AE144" i="52"/>
  <c r="AD144" i="52"/>
  <c r="AC144" i="52"/>
  <c r="AB144" i="52"/>
  <c r="AA144" i="52"/>
  <c r="Z144" i="52"/>
  <c r="Y144" i="52"/>
  <c r="X144" i="52"/>
  <c r="W144" i="52"/>
  <c r="V144" i="52"/>
  <c r="AO143" i="52"/>
  <c r="AN143" i="52"/>
  <c r="AM143" i="52"/>
  <c r="AL143" i="52"/>
  <c r="AK143" i="52"/>
  <c r="AJ143" i="52"/>
  <c r="AI143" i="52"/>
  <c r="AH143" i="52"/>
  <c r="AG143" i="52"/>
  <c r="AF143" i="52"/>
  <c r="AE143" i="52"/>
  <c r="AD143" i="52"/>
  <c r="AC143" i="52"/>
  <c r="AB143" i="52"/>
  <c r="AA143" i="52"/>
  <c r="Z143" i="52"/>
  <c r="Y143" i="52"/>
  <c r="X143" i="52"/>
  <c r="W143" i="52"/>
  <c r="V143" i="52"/>
  <c r="Q143" i="52"/>
  <c r="AO142" i="52"/>
  <c r="AN142" i="52"/>
  <c r="AM142" i="52"/>
  <c r="AL142" i="52"/>
  <c r="AK142" i="52"/>
  <c r="AJ142" i="52"/>
  <c r="AI142" i="52"/>
  <c r="AH142" i="52"/>
  <c r="AG142" i="52"/>
  <c r="AF142" i="52"/>
  <c r="AE142" i="52"/>
  <c r="AD142" i="52"/>
  <c r="AC142" i="52"/>
  <c r="AB142" i="52"/>
  <c r="AA142" i="52"/>
  <c r="Z142" i="52"/>
  <c r="Y142" i="52"/>
  <c r="X142" i="52"/>
  <c r="W142" i="52"/>
  <c r="V142" i="52"/>
  <c r="Q142" i="52"/>
  <c r="AO141" i="52"/>
  <c r="AN141" i="52"/>
  <c r="AM141" i="52"/>
  <c r="AL141" i="52"/>
  <c r="AK141" i="52"/>
  <c r="AJ141" i="52"/>
  <c r="AI141" i="52"/>
  <c r="AH141" i="52"/>
  <c r="AG141" i="52"/>
  <c r="AF141" i="52"/>
  <c r="AE141" i="52"/>
  <c r="AD141" i="52"/>
  <c r="AC141" i="52"/>
  <c r="AB141" i="52"/>
  <c r="AA141" i="52"/>
  <c r="Z141" i="52"/>
  <c r="Y141" i="52"/>
  <c r="X141" i="52"/>
  <c r="W141" i="52"/>
  <c r="V141" i="52"/>
  <c r="Q141" i="52"/>
  <c r="AO140" i="52"/>
  <c r="AN140" i="52"/>
  <c r="AM140" i="52"/>
  <c r="AL140" i="52"/>
  <c r="AK140" i="52"/>
  <c r="AJ140" i="52"/>
  <c r="AI140" i="52"/>
  <c r="AH140" i="52"/>
  <c r="AG140" i="52"/>
  <c r="AF140" i="52"/>
  <c r="AE140" i="52"/>
  <c r="AD140" i="52"/>
  <c r="AC140" i="52"/>
  <c r="AB140" i="52"/>
  <c r="AA140" i="52"/>
  <c r="Z140" i="52"/>
  <c r="Y140" i="52"/>
  <c r="X140" i="52"/>
  <c r="W140" i="52"/>
  <c r="V140" i="52"/>
  <c r="Q140" i="52"/>
  <c r="AO139" i="52"/>
  <c r="AN139" i="52"/>
  <c r="AM139" i="52"/>
  <c r="AL139" i="52"/>
  <c r="AK139" i="52"/>
  <c r="AJ139" i="52"/>
  <c r="AI139" i="52"/>
  <c r="AH139" i="52"/>
  <c r="AG139" i="52"/>
  <c r="AF139" i="52"/>
  <c r="AE139" i="52"/>
  <c r="AD139" i="52"/>
  <c r="AC139" i="52"/>
  <c r="AB139" i="52"/>
  <c r="AA139" i="52"/>
  <c r="Z139" i="52"/>
  <c r="Y139" i="52"/>
  <c r="X139" i="52"/>
  <c r="W139" i="52"/>
  <c r="V139" i="52"/>
  <c r="Q139" i="52"/>
  <c r="AO138" i="52"/>
  <c r="AN138" i="52"/>
  <c r="AM138" i="52"/>
  <c r="AL138" i="52"/>
  <c r="AK138" i="52"/>
  <c r="AJ138" i="52"/>
  <c r="AI138" i="52"/>
  <c r="AH138" i="52"/>
  <c r="AG138" i="52"/>
  <c r="AF138" i="52"/>
  <c r="AE138" i="52"/>
  <c r="AD138" i="52"/>
  <c r="AC138" i="52"/>
  <c r="AB138" i="52"/>
  <c r="AA138" i="52"/>
  <c r="Z138" i="52"/>
  <c r="Y138" i="52"/>
  <c r="X138" i="52"/>
  <c r="W138" i="52"/>
  <c r="V138" i="52"/>
  <c r="Q138" i="52"/>
  <c r="AO137" i="52"/>
  <c r="AN137" i="52"/>
  <c r="AM137" i="52"/>
  <c r="AL137" i="52"/>
  <c r="AK137" i="52"/>
  <c r="AJ137" i="52"/>
  <c r="AI137" i="52"/>
  <c r="AH137" i="52"/>
  <c r="AG137" i="52"/>
  <c r="AF137" i="52"/>
  <c r="AE137" i="52"/>
  <c r="AD137" i="52"/>
  <c r="AC137" i="52"/>
  <c r="AB137" i="52"/>
  <c r="AA137" i="52"/>
  <c r="Z137" i="52"/>
  <c r="Y137" i="52"/>
  <c r="X137" i="52"/>
  <c r="W137" i="52"/>
  <c r="V137" i="52"/>
  <c r="Q137" i="52"/>
  <c r="AO136" i="52"/>
  <c r="AN136" i="52"/>
  <c r="AM136" i="52"/>
  <c r="AL136" i="52"/>
  <c r="AK136" i="52"/>
  <c r="AJ136" i="52"/>
  <c r="AI136" i="52"/>
  <c r="AH136" i="52"/>
  <c r="AG136" i="52"/>
  <c r="AF136" i="52"/>
  <c r="AE136" i="52"/>
  <c r="AD136" i="52"/>
  <c r="AC136" i="52"/>
  <c r="AB136" i="52"/>
  <c r="AA136" i="52"/>
  <c r="Z136" i="52"/>
  <c r="Y136" i="52"/>
  <c r="X136" i="52"/>
  <c r="W136" i="52"/>
  <c r="V136" i="52"/>
  <c r="Q136" i="52"/>
  <c r="AO135" i="52"/>
  <c r="AN135" i="52"/>
  <c r="AM135" i="52"/>
  <c r="AL135" i="52"/>
  <c r="AK135" i="52"/>
  <c r="AJ135" i="52"/>
  <c r="AI135" i="52"/>
  <c r="AH135" i="52"/>
  <c r="AG135" i="52"/>
  <c r="AF135" i="52"/>
  <c r="AE135" i="52"/>
  <c r="AD135" i="52"/>
  <c r="AC135" i="52"/>
  <c r="AB135" i="52"/>
  <c r="AA135" i="52"/>
  <c r="Z135" i="52"/>
  <c r="Y135" i="52"/>
  <c r="X135" i="52"/>
  <c r="W135" i="52"/>
  <c r="V135" i="52"/>
  <c r="Q135" i="52"/>
  <c r="AO134" i="52"/>
  <c r="AN134" i="52"/>
  <c r="AM134" i="52"/>
  <c r="AL134" i="52"/>
  <c r="AK134" i="52"/>
  <c r="AJ134" i="52"/>
  <c r="AI134" i="52"/>
  <c r="AH134" i="52"/>
  <c r="AG134" i="52"/>
  <c r="AF134" i="52"/>
  <c r="AE134" i="52"/>
  <c r="AD134" i="52"/>
  <c r="AC134" i="52"/>
  <c r="AB134" i="52"/>
  <c r="AA134" i="52"/>
  <c r="Z134" i="52"/>
  <c r="Y134" i="52"/>
  <c r="X134" i="52"/>
  <c r="W134" i="52"/>
  <c r="V134" i="52"/>
  <c r="Q134" i="52"/>
  <c r="AO133" i="52"/>
  <c r="AN133" i="52"/>
  <c r="AM133" i="52"/>
  <c r="AL133" i="52"/>
  <c r="AK133" i="52"/>
  <c r="AJ133" i="52"/>
  <c r="AI133" i="52"/>
  <c r="AH133" i="52"/>
  <c r="AG133" i="52"/>
  <c r="AF133" i="52"/>
  <c r="AE133" i="52"/>
  <c r="AD133" i="52"/>
  <c r="AC133" i="52"/>
  <c r="AB133" i="52"/>
  <c r="AA133" i="52"/>
  <c r="Z133" i="52"/>
  <c r="Y133" i="52"/>
  <c r="X133" i="52"/>
  <c r="W133" i="52"/>
  <c r="V133" i="52"/>
  <c r="Q133" i="52"/>
  <c r="AO132" i="52"/>
  <c r="AN132" i="52"/>
  <c r="AM132" i="52"/>
  <c r="AL132" i="52"/>
  <c r="AK132" i="52"/>
  <c r="AJ132" i="52"/>
  <c r="AI132" i="52"/>
  <c r="AH132" i="52"/>
  <c r="AG132" i="52"/>
  <c r="AF132" i="52"/>
  <c r="AE132" i="52"/>
  <c r="AD132" i="52"/>
  <c r="AC132" i="52"/>
  <c r="AB132" i="52"/>
  <c r="AA132" i="52"/>
  <c r="Z132" i="52"/>
  <c r="Y132" i="52"/>
  <c r="X132" i="52"/>
  <c r="W132" i="52"/>
  <c r="V132" i="52"/>
  <c r="Q132" i="52"/>
  <c r="AO131" i="52"/>
  <c r="AN131" i="52"/>
  <c r="AM131" i="52"/>
  <c r="AL131" i="52"/>
  <c r="AK131" i="52"/>
  <c r="AJ131" i="52"/>
  <c r="AI131" i="52"/>
  <c r="AH131" i="52"/>
  <c r="AG131" i="52"/>
  <c r="AF131" i="52"/>
  <c r="AE131" i="52"/>
  <c r="AD131" i="52"/>
  <c r="AC131" i="52"/>
  <c r="AB131" i="52"/>
  <c r="AA131" i="52"/>
  <c r="Z131" i="52"/>
  <c r="Y131" i="52"/>
  <c r="X131" i="52"/>
  <c r="W131" i="52"/>
  <c r="V131" i="52"/>
  <c r="Q131" i="52"/>
  <c r="AO130" i="52"/>
  <c r="AN130" i="52"/>
  <c r="AM130" i="52"/>
  <c r="AL130" i="52"/>
  <c r="AK130" i="52"/>
  <c r="AJ130" i="52"/>
  <c r="AI130" i="52"/>
  <c r="AH130" i="52"/>
  <c r="AG130" i="52"/>
  <c r="AF130" i="52"/>
  <c r="AE130" i="52"/>
  <c r="AD130" i="52"/>
  <c r="AC130" i="52"/>
  <c r="AB130" i="52"/>
  <c r="AA130" i="52"/>
  <c r="Z130" i="52"/>
  <c r="Y130" i="52"/>
  <c r="X130" i="52"/>
  <c r="W130" i="52"/>
  <c r="V130" i="52"/>
  <c r="Q130" i="52"/>
  <c r="AO129" i="52"/>
  <c r="AN129" i="52"/>
  <c r="AM129" i="52"/>
  <c r="AL129" i="52"/>
  <c r="AK129" i="52"/>
  <c r="AJ129" i="52"/>
  <c r="AI129" i="52"/>
  <c r="AH129" i="52"/>
  <c r="AG129" i="52"/>
  <c r="AF129" i="52"/>
  <c r="AE129" i="52"/>
  <c r="AD129" i="52"/>
  <c r="AC129" i="52"/>
  <c r="AB129" i="52"/>
  <c r="AA129" i="52"/>
  <c r="Z129" i="52"/>
  <c r="Y129" i="52"/>
  <c r="X129" i="52"/>
  <c r="W129" i="52"/>
  <c r="V129" i="52"/>
  <c r="Q129" i="52"/>
  <c r="AO128" i="52"/>
  <c r="AN128" i="52"/>
  <c r="AM128" i="52"/>
  <c r="AL128" i="52"/>
  <c r="AK128" i="52"/>
  <c r="AJ128" i="52"/>
  <c r="AI128" i="52"/>
  <c r="AH128" i="52"/>
  <c r="AG128" i="52"/>
  <c r="AF128" i="52"/>
  <c r="AE128" i="52"/>
  <c r="AD128" i="52"/>
  <c r="AC128" i="52"/>
  <c r="AB128" i="52"/>
  <c r="AA128" i="52"/>
  <c r="Z128" i="52"/>
  <c r="Y128" i="52"/>
  <c r="X128" i="52"/>
  <c r="W128" i="52"/>
  <c r="V128" i="52"/>
  <c r="Q128" i="52"/>
  <c r="AO127" i="52"/>
  <c r="AN127" i="52"/>
  <c r="AM127" i="52"/>
  <c r="AL127" i="52"/>
  <c r="AK127" i="52"/>
  <c r="AJ127" i="52"/>
  <c r="AI127" i="52"/>
  <c r="AH127" i="52"/>
  <c r="AG127" i="52"/>
  <c r="AF127" i="52"/>
  <c r="AE127" i="52"/>
  <c r="AD127" i="52"/>
  <c r="AC127" i="52"/>
  <c r="AB127" i="52"/>
  <c r="AA127" i="52"/>
  <c r="Z127" i="52"/>
  <c r="Y127" i="52"/>
  <c r="X127" i="52"/>
  <c r="W127" i="52"/>
  <c r="V127" i="52"/>
  <c r="Q127" i="52"/>
  <c r="AO126" i="52"/>
  <c r="AN126" i="52"/>
  <c r="AM126" i="52"/>
  <c r="AL126" i="52"/>
  <c r="AK126" i="52"/>
  <c r="AJ126" i="52"/>
  <c r="AI126" i="52"/>
  <c r="AH126" i="52"/>
  <c r="AG126" i="52"/>
  <c r="AF126" i="52"/>
  <c r="AE126" i="52"/>
  <c r="AD126" i="52"/>
  <c r="AC126" i="52"/>
  <c r="AB126" i="52"/>
  <c r="AA126" i="52"/>
  <c r="Z126" i="52"/>
  <c r="Y126" i="52"/>
  <c r="X126" i="52"/>
  <c r="W126" i="52"/>
  <c r="V126" i="52"/>
  <c r="Q126" i="52"/>
  <c r="AO125" i="52"/>
  <c r="AN125" i="52"/>
  <c r="AM125" i="52"/>
  <c r="AL125" i="52"/>
  <c r="AK125" i="52"/>
  <c r="AJ125" i="52"/>
  <c r="AI125" i="52"/>
  <c r="AH125" i="52"/>
  <c r="AG125" i="52"/>
  <c r="AF125" i="52"/>
  <c r="AE125" i="52"/>
  <c r="AD125" i="52"/>
  <c r="AC125" i="52"/>
  <c r="AB125" i="52"/>
  <c r="AA125" i="52"/>
  <c r="Z125" i="52"/>
  <c r="Y125" i="52"/>
  <c r="X125" i="52"/>
  <c r="W125" i="52"/>
  <c r="V125" i="52"/>
  <c r="Q125" i="52"/>
  <c r="AO124" i="52"/>
  <c r="AN124" i="52"/>
  <c r="AM124" i="52"/>
  <c r="AL124" i="52"/>
  <c r="AK124" i="52"/>
  <c r="AJ124" i="52"/>
  <c r="AI124" i="52"/>
  <c r="AH124" i="52"/>
  <c r="AG124" i="52"/>
  <c r="AF124" i="52"/>
  <c r="AE124" i="52"/>
  <c r="AD124" i="52"/>
  <c r="AC124" i="52"/>
  <c r="AB124" i="52"/>
  <c r="AA124" i="52"/>
  <c r="Z124" i="52"/>
  <c r="Y124" i="52"/>
  <c r="X124" i="52"/>
  <c r="W124" i="52"/>
  <c r="V124" i="52"/>
  <c r="Q124" i="52"/>
  <c r="AO123" i="52"/>
  <c r="AN123" i="52"/>
  <c r="AM123" i="52"/>
  <c r="AL123" i="52"/>
  <c r="AK123" i="52"/>
  <c r="AJ123" i="52"/>
  <c r="AI123" i="52"/>
  <c r="AH123" i="52"/>
  <c r="AG123" i="52"/>
  <c r="AF123" i="52"/>
  <c r="AE123" i="52"/>
  <c r="AD123" i="52"/>
  <c r="AC123" i="52"/>
  <c r="AB123" i="52"/>
  <c r="AA123" i="52"/>
  <c r="Z123" i="52"/>
  <c r="Y123" i="52"/>
  <c r="X123" i="52"/>
  <c r="W123" i="52"/>
  <c r="V123" i="52"/>
  <c r="Q123" i="52"/>
  <c r="AO122" i="52"/>
  <c r="AN122" i="52"/>
  <c r="AM122" i="52"/>
  <c r="AL122" i="52"/>
  <c r="AK122" i="52"/>
  <c r="AJ122" i="52"/>
  <c r="AI122" i="52"/>
  <c r="AH122" i="52"/>
  <c r="AG122" i="52"/>
  <c r="AF122" i="52"/>
  <c r="AE122" i="52"/>
  <c r="AD122" i="52"/>
  <c r="AC122" i="52"/>
  <c r="AB122" i="52"/>
  <c r="AA122" i="52"/>
  <c r="Z122" i="52"/>
  <c r="Y122" i="52"/>
  <c r="X122" i="52"/>
  <c r="W122" i="52"/>
  <c r="V122" i="52"/>
  <c r="Q122" i="52"/>
  <c r="AO121" i="52"/>
  <c r="AN121" i="52"/>
  <c r="AM121" i="52"/>
  <c r="AL121" i="52"/>
  <c r="AK121" i="52"/>
  <c r="AJ121" i="52"/>
  <c r="AI121" i="52"/>
  <c r="AH121" i="52"/>
  <c r="AG121" i="52"/>
  <c r="AF121" i="52"/>
  <c r="AE121" i="52"/>
  <c r="AD121" i="52"/>
  <c r="AC121" i="52"/>
  <c r="AB121" i="52"/>
  <c r="AA121" i="52"/>
  <c r="Z121" i="52"/>
  <c r="Y121" i="52"/>
  <c r="X121" i="52"/>
  <c r="W121" i="52"/>
  <c r="V121" i="52"/>
  <c r="Q121" i="52"/>
  <c r="AO120" i="52"/>
  <c r="AN120" i="52"/>
  <c r="AM120" i="52"/>
  <c r="AL120" i="52"/>
  <c r="AK120" i="52"/>
  <c r="AJ120" i="52"/>
  <c r="AI120" i="52"/>
  <c r="AH120" i="52"/>
  <c r="AG120" i="52"/>
  <c r="AF120" i="52"/>
  <c r="AE120" i="52"/>
  <c r="AD120" i="52"/>
  <c r="AC120" i="52"/>
  <c r="AB120" i="52"/>
  <c r="AA120" i="52"/>
  <c r="Z120" i="52"/>
  <c r="Y120" i="52"/>
  <c r="X120" i="52"/>
  <c r="W120" i="52"/>
  <c r="V120" i="52"/>
  <c r="Q120" i="52"/>
  <c r="AO119" i="52"/>
  <c r="AN119" i="52"/>
  <c r="AM119" i="52"/>
  <c r="AL119" i="52"/>
  <c r="AK119" i="52"/>
  <c r="AJ119" i="52"/>
  <c r="AI119" i="52"/>
  <c r="AH119" i="52"/>
  <c r="AG119" i="52"/>
  <c r="AF119" i="52"/>
  <c r="AE119" i="52"/>
  <c r="AD119" i="52"/>
  <c r="AC119" i="52"/>
  <c r="AB119" i="52"/>
  <c r="AA119" i="52"/>
  <c r="Z119" i="52"/>
  <c r="Y119" i="52"/>
  <c r="X119" i="52"/>
  <c r="W119" i="52"/>
  <c r="V119" i="52"/>
  <c r="Q119" i="52"/>
  <c r="AO118" i="52"/>
  <c r="AN118" i="52"/>
  <c r="AM118" i="52"/>
  <c r="AL118" i="52"/>
  <c r="AK118" i="52"/>
  <c r="AJ118" i="52"/>
  <c r="AI118" i="52"/>
  <c r="AH118" i="52"/>
  <c r="AG118" i="52"/>
  <c r="AF118" i="52"/>
  <c r="AE118" i="52"/>
  <c r="AD118" i="52"/>
  <c r="AC118" i="52"/>
  <c r="AB118" i="52"/>
  <c r="AA118" i="52"/>
  <c r="Z118" i="52"/>
  <c r="Y118" i="52"/>
  <c r="X118" i="52"/>
  <c r="W118" i="52"/>
  <c r="V118" i="52"/>
  <c r="Q118" i="52"/>
  <c r="AO117" i="52"/>
  <c r="AN117" i="52"/>
  <c r="AM117" i="52"/>
  <c r="AL117" i="52"/>
  <c r="AK117" i="52"/>
  <c r="AJ117" i="52"/>
  <c r="AI117" i="52"/>
  <c r="AH117" i="52"/>
  <c r="AG117" i="52"/>
  <c r="AF117" i="52"/>
  <c r="AE117" i="52"/>
  <c r="AD117" i="52"/>
  <c r="AC117" i="52"/>
  <c r="AB117" i="52"/>
  <c r="AA117" i="52"/>
  <c r="Z117" i="52"/>
  <c r="Y117" i="52"/>
  <c r="X117" i="52"/>
  <c r="W117" i="52"/>
  <c r="V117" i="52"/>
  <c r="Q117" i="52"/>
  <c r="AO116" i="52"/>
  <c r="AN116" i="52"/>
  <c r="AM116" i="52"/>
  <c r="AL116" i="52"/>
  <c r="AK116" i="52"/>
  <c r="AJ116" i="52"/>
  <c r="AI116" i="52"/>
  <c r="AH116" i="52"/>
  <c r="AG116" i="52"/>
  <c r="AF116" i="52"/>
  <c r="AE116" i="52"/>
  <c r="AD116" i="52"/>
  <c r="AC116" i="52"/>
  <c r="AB116" i="52"/>
  <c r="AA116" i="52"/>
  <c r="Z116" i="52"/>
  <c r="Y116" i="52"/>
  <c r="X116" i="52"/>
  <c r="W116" i="52"/>
  <c r="V116" i="52"/>
  <c r="AO115" i="52"/>
  <c r="AN115" i="52"/>
  <c r="AM115" i="52"/>
  <c r="AL115" i="52"/>
  <c r="AK115" i="52"/>
  <c r="AJ115" i="52"/>
  <c r="AI115" i="52"/>
  <c r="AH115" i="52"/>
  <c r="AG115" i="52"/>
  <c r="AF115" i="52"/>
  <c r="AE115" i="52"/>
  <c r="AD115" i="52"/>
  <c r="AC115" i="52"/>
  <c r="AB115" i="52"/>
  <c r="AA115" i="52"/>
  <c r="Z115" i="52"/>
  <c r="Y115" i="52"/>
  <c r="X115" i="52"/>
  <c r="W115" i="52"/>
  <c r="V115" i="52"/>
  <c r="AO114" i="52"/>
  <c r="AN114" i="52"/>
  <c r="AM114" i="52"/>
  <c r="AL114" i="52"/>
  <c r="AK114" i="52"/>
  <c r="AJ114" i="52"/>
  <c r="AI114" i="52"/>
  <c r="AH114" i="52"/>
  <c r="AG114" i="52"/>
  <c r="AF114" i="52"/>
  <c r="AE114" i="52"/>
  <c r="AD114" i="52"/>
  <c r="AC114" i="52"/>
  <c r="AB114" i="52"/>
  <c r="AA114" i="52"/>
  <c r="Z114" i="52"/>
  <c r="Y114" i="52"/>
  <c r="X114" i="52"/>
  <c r="W114" i="52"/>
  <c r="V114" i="52"/>
  <c r="AO113" i="52"/>
  <c r="AN113" i="52"/>
  <c r="AM113" i="52"/>
  <c r="AL113" i="52"/>
  <c r="AK113" i="52"/>
  <c r="AJ113" i="52"/>
  <c r="AI113" i="52"/>
  <c r="AH113" i="52"/>
  <c r="AG113" i="52"/>
  <c r="AF113" i="52"/>
  <c r="AE113" i="52"/>
  <c r="AD113" i="52"/>
  <c r="AC113" i="52"/>
  <c r="AB113" i="52"/>
  <c r="AA113" i="52"/>
  <c r="Z113" i="52"/>
  <c r="Y113" i="52"/>
  <c r="X113" i="52"/>
  <c r="W113" i="52"/>
  <c r="V113" i="52"/>
  <c r="AO112" i="52"/>
  <c r="AN112" i="52"/>
  <c r="AM112" i="52"/>
  <c r="AL112" i="52"/>
  <c r="AK112" i="52"/>
  <c r="AJ112" i="52"/>
  <c r="AI112" i="52"/>
  <c r="AH112" i="52"/>
  <c r="AG112" i="52"/>
  <c r="AF112" i="52"/>
  <c r="AE112" i="52"/>
  <c r="AD112" i="52"/>
  <c r="AC112" i="52"/>
  <c r="AB112" i="52"/>
  <c r="AA112" i="52"/>
  <c r="Z112" i="52"/>
  <c r="Y112" i="52"/>
  <c r="X112" i="52"/>
  <c r="W112" i="52"/>
  <c r="V112" i="52"/>
  <c r="AO111" i="52"/>
  <c r="AN111" i="52"/>
  <c r="AM111" i="52"/>
  <c r="AL111" i="52"/>
  <c r="AK111" i="52"/>
  <c r="AJ111" i="52"/>
  <c r="AI111" i="52"/>
  <c r="AH111" i="52"/>
  <c r="AG111" i="52"/>
  <c r="AF111" i="52"/>
  <c r="AE111" i="52"/>
  <c r="AD111" i="52"/>
  <c r="AC111" i="52"/>
  <c r="AB111" i="52"/>
  <c r="AA111" i="52"/>
  <c r="Z111" i="52"/>
  <c r="Y111" i="52"/>
  <c r="X111" i="52"/>
  <c r="W111" i="52"/>
  <c r="V111" i="52"/>
  <c r="AO110" i="52"/>
  <c r="AN110" i="52"/>
  <c r="AM110" i="52"/>
  <c r="AL110" i="52"/>
  <c r="AK110" i="52"/>
  <c r="AJ110" i="52"/>
  <c r="AI110" i="52"/>
  <c r="AH110" i="52"/>
  <c r="AG110" i="52"/>
  <c r="AF110" i="52"/>
  <c r="AE110" i="52"/>
  <c r="AD110" i="52"/>
  <c r="AC110" i="52"/>
  <c r="AB110" i="52"/>
  <c r="AA110" i="52"/>
  <c r="Z110" i="52"/>
  <c r="Y110" i="52"/>
  <c r="X110" i="52"/>
  <c r="W110" i="52"/>
  <c r="V110" i="52"/>
  <c r="AO109" i="52"/>
  <c r="AN109" i="52"/>
  <c r="AM109" i="52"/>
  <c r="AL109" i="52"/>
  <c r="AK109" i="52"/>
  <c r="AJ109" i="52"/>
  <c r="AI109" i="52"/>
  <c r="AH109" i="52"/>
  <c r="AG109" i="52"/>
  <c r="AF109" i="52"/>
  <c r="AE109" i="52"/>
  <c r="AD109" i="52"/>
  <c r="AC109" i="52"/>
  <c r="AB109" i="52"/>
  <c r="AA109" i="52"/>
  <c r="Z109" i="52"/>
  <c r="Y109" i="52"/>
  <c r="X109" i="52"/>
  <c r="W109" i="52"/>
  <c r="V109" i="52"/>
  <c r="AO108" i="52"/>
  <c r="AN108" i="52"/>
  <c r="AM108" i="52"/>
  <c r="AL108" i="52"/>
  <c r="AK108" i="52"/>
  <c r="AJ108" i="52"/>
  <c r="AI108" i="52"/>
  <c r="AH108" i="52"/>
  <c r="AG108" i="52"/>
  <c r="AF108" i="52"/>
  <c r="AE108" i="52"/>
  <c r="AD108" i="52"/>
  <c r="AC108" i="52"/>
  <c r="AB108" i="52"/>
  <c r="AA108" i="52"/>
  <c r="Z108" i="52"/>
  <c r="Y108" i="52"/>
  <c r="X108" i="52"/>
  <c r="W108" i="52"/>
  <c r="V108" i="52"/>
  <c r="AO107" i="52"/>
  <c r="AN107" i="52"/>
  <c r="AM107" i="52"/>
  <c r="AL107" i="52"/>
  <c r="AK107" i="52"/>
  <c r="AJ107" i="52"/>
  <c r="AI107" i="52"/>
  <c r="AH107" i="52"/>
  <c r="AG107" i="52"/>
  <c r="AF107" i="52"/>
  <c r="AE107" i="52"/>
  <c r="AD107" i="52"/>
  <c r="AC107" i="52"/>
  <c r="AB107" i="52"/>
  <c r="AA107" i="52"/>
  <c r="Z107" i="52"/>
  <c r="Y107" i="52"/>
  <c r="X107" i="52"/>
  <c r="W107" i="52"/>
  <c r="V107" i="52"/>
  <c r="AO106" i="52"/>
  <c r="AN106" i="52"/>
  <c r="AM106" i="52"/>
  <c r="AL106" i="52"/>
  <c r="AK106" i="52"/>
  <c r="AJ106" i="52"/>
  <c r="AI106" i="52"/>
  <c r="AH106" i="52"/>
  <c r="AG106" i="52"/>
  <c r="AF106" i="52"/>
  <c r="AE106" i="52"/>
  <c r="AD106" i="52"/>
  <c r="AC106" i="52"/>
  <c r="AB106" i="52"/>
  <c r="AA106" i="52"/>
  <c r="Z106" i="52"/>
  <c r="Y106" i="52"/>
  <c r="X106" i="52"/>
  <c r="W106" i="52"/>
  <c r="V106" i="52"/>
  <c r="AO105" i="52"/>
  <c r="AN105" i="52"/>
  <c r="AM105" i="52"/>
  <c r="AL105" i="52"/>
  <c r="AK105" i="52"/>
  <c r="AJ105" i="52"/>
  <c r="AI105" i="52"/>
  <c r="AH105" i="52"/>
  <c r="AG105" i="52"/>
  <c r="AF105" i="52"/>
  <c r="AE105" i="52"/>
  <c r="AD105" i="52"/>
  <c r="AC105" i="52"/>
  <c r="AB105" i="52"/>
  <c r="AA105" i="52"/>
  <c r="Z105" i="52"/>
  <c r="Y105" i="52"/>
  <c r="X105" i="52"/>
  <c r="W105" i="52"/>
  <c r="V105" i="52"/>
  <c r="AO104" i="52"/>
  <c r="AN104" i="52"/>
  <c r="AM104" i="52"/>
  <c r="AL104" i="52"/>
  <c r="AK104" i="52"/>
  <c r="AJ104" i="52"/>
  <c r="AI104" i="52"/>
  <c r="AH104" i="52"/>
  <c r="AG104" i="52"/>
  <c r="AF104" i="52"/>
  <c r="AE104" i="52"/>
  <c r="AD104" i="52"/>
  <c r="AC104" i="52"/>
  <c r="AB104" i="52"/>
  <c r="AA104" i="52"/>
  <c r="Z104" i="52"/>
  <c r="Y104" i="52"/>
  <c r="X104" i="52"/>
  <c r="W104" i="52"/>
  <c r="V104" i="52"/>
  <c r="AO103" i="52"/>
  <c r="AN103" i="52"/>
  <c r="AM103" i="52"/>
  <c r="AL103" i="52"/>
  <c r="AK103" i="52"/>
  <c r="AJ103" i="52"/>
  <c r="AI103" i="52"/>
  <c r="AH103" i="52"/>
  <c r="AG103" i="52"/>
  <c r="AF103" i="52"/>
  <c r="AE103" i="52"/>
  <c r="AD103" i="52"/>
  <c r="AC103" i="52"/>
  <c r="AB103" i="52"/>
  <c r="AA103" i="52"/>
  <c r="Z103" i="52"/>
  <c r="Y103" i="52"/>
  <c r="X103" i="52"/>
  <c r="W103" i="52"/>
  <c r="V103" i="52"/>
  <c r="AO102" i="52"/>
  <c r="AN102" i="52"/>
  <c r="AM102" i="52"/>
  <c r="AL102" i="52"/>
  <c r="AK102" i="52"/>
  <c r="AJ102" i="52"/>
  <c r="AI102" i="52"/>
  <c r="AH102" i="52"/>
  <c r="AG102" i="52"/>
  <c r="AF102" i="52"/>
  <c r="AE102" i="52"/>
  <c r="AD102" i="52"/>
  <c r="AC102" i="52"/>
  <c r="AB102" i="52"/>
  <c r="AA102" i="52"/>
  <c r="Z102" i="52"/>
  <c r="Y102" i="52"/>
  <c r="X102" i="52"/>
  <c r="W102" i="52"/>
  <c r="V102" i="52"/>
  <c r="AO101" i="52"/>
  <c r="AN101" i="52"/>
  <c r="AM101" i="52"/>
  <c r="AL101" i="52"/>
  <c r="AK101" i="52"/>
  <c r="AJ101" i="52"/>
  <c r="AI101" i="52"/>
  <c r="AH101" i="52"/>
  <c r="AG101" i="52"/>
  <c r="AF101" i="52"/>
  <c r="AE101" i="52"/>
  <c r="AD101" i="52"/>
  <c r="AC101" i="52"/>
  <c r="AB101" i="52"/>
  <c r="AA101" i="52"/>
  <c r="Z101" i="52"/>
  <c r="Y101" i="52"/>
  <c r="X101" i="52"/>
  <c r="W101" i="52"/>
  <c r="V101" i="52"/>
  <c r="AO100" i="52"/>
  <c r="AN100" i="52"/>
  <c r="AM100" i="52"/>
  <c r="AL100" i="52"/>
  <c r="AK100" i="52"/>
  <c r="AJ100" i="52"/>
  <c r="AI100" i="52"/>
  <c r="AH100" i="52"/>
  <c r="AG100" i="52"/>
  <c r="AF100" i="52"/>
  <c r="AE100" i="52"/>
  <c r="AD100" i="52"/>
  <c r="AC100" i="52"/>
  <c r="AB100" i="52"/>
  <c r="AA100" i="52"/>
  <c r="Z100" i="52"/>
  <c r="Y100" i="52"/>
  <c r="X100" i="52"/>
  <c r="W100" i="52"/>
  <c r="V100" i="52"/>
  <c r="AD95" i="52"/>
  <c r="AB95" i="52"/>
  <c r="AE95" i="52" s="1"/>
  <c r="AA95" i="52"/>
  <c r="Z95" i="52"/>
  <c r="X95" i="52"/>
  <c r="V95" i="52"/>
  <c r="AE94" i="52"/>
  <c r="AD94" i="52"/>
  <c r="AC94" i="52"/>
  <c r="AB94" i="52"/>
  <c r="AA94" i="52"/>
  <c r="Z94" i="52"/>
  <c r="Y94" i="52"/>
  <c r="X94" i="52"/>
  <c r="W94" i="52"/>
  <c r="V94" i="52"/>
  <c r="AD93" i="52"/>
  <c r="AC93" i="52"/>
  <c r="AB93" i="52"/>
  <c r="Z93" i="52"/>
  <c r="Y93" i="52"/>
  <c r="X93" i="52"/>
  <c r="W93" i="52"/>
  <c r="V93" i="52"/>
  <c r="AD92" i="52"/>
  <c r="AB92" i="52"/>
  <c r="AE92" i="52" s="1"/>
  <c r="Z46" i="52" s="1"/>
  <c r="AA92" i="52"/>
  <c r="Z92" i="52"/>
  <c r="X92" i="52"/>
  <c r="V92" i="52"/>
  <c r="AD91" i="52"/>
  <c r="AC91" i="52"/>
  <c r="AB91" i="52"/>
  <c r="AE91" i="52" s="1"/>
  <c r="Z91" i="52"/>
  <c r="X91" i="52"/>
  <c r="W91" i="52"/>
  <c r="V91" i="52"/>
  <c r="AD90" i="52"/>
  <c r="AB90" i="52"/>
  <c r="Z90" i="52"/>
  <c r="Y90" i="52"/>
  <c r="X90" i="52"/>
  <c r="V90" i="52"/>
  <c r="AD89" i="52"/>
  <c r="AB89" i="52"/>
  <c r="AA89" i="52"/>
  <c r="Z89" i="52"/>
  <c r="X89" i="52"/>
  <c r="V89" i="52"/>
  <c r="AD88" i="52"/>
  <c r="AC88" i="52"/>
  <c r="AB88" i="52"/>
  <c r="Z88" i="52"/>
  <c r="X88" i="52"/>
  <c r="W88" i="52"/>
  <c r="V88" i="52"/>
  <c r="AD87" i="52"/>
  <c r="AB87" i="52"/>
  <c r="Z87" i="52"/>
  <c r="Y87" i="52"/>
  <c r="X87" i="52"/>
  <c r="V87" i="52"/>
  <c r="Z82" i="52"/>
  <c r="Y82" i="52"/>
  <c r="X82" i="52"/>
  <c r="W82" i="52"/>
  <c r="V82" i="52"/>
  <c r="Z81" i="52"/>
  <c r="Y81" i="52"/>
  <c r="X81" i="52"/>
  <c r="W81" i="52"/>
  <c r="V81" i="52"/>
  <c r="Z80" i="52"/>
  <c r="Y80" i="52"/>
  <c r="X80" i="52"/>
  <c r="W80" i="52"/>
  <c r="V80" i="52"/>
  <c r="Z79" i="52"/>
  <c r="Y79" i="52"/>
  <c r="X79" i="52"/>
  <c r="W79" i="52"/>
  <c r="V79" i="52"/>
  <c r="Z78" i="52"/>
  <c r="Y78" i="52"/>
  <c r="X78" i="52"/>
  <c r="W78" i="52"/>
  <c r="V78" i="52"/>
  <c r="Z77" i="52"/>
  <c r="Y77" i="52"/>
  <c r="X77" i="52"/>
  <c r="W77" i="52"/>
  <c r="V77" i="52"/>
  <c r="Z76" i="52"/>
  <c r="Y76" i="52"/>
  <c r="X76" i="52"/>
  <c r="W76" i="52"/>
  <c r="V76" i="52"/>
  <c r="Z75" i="52"/>
  <c r="Y75" i="52"/>
  <c r="X75" i="52"/>
  <c r="W75" i="52"/>
  <c r="V75" i="52"/>
  <c r="Z74" i="52"/>
  <c r="Y74" i="52"/>
  <c r="X74" i="52"/>
  <c r="W74" i="52"/>
  <c r="V74" i="52"/>
  <c r="Z73" i="52"/>
  <c r="Y73" i="52"/>
  <c r="X73" i="52"/>
  <c r="W73" i="52"/>
  <c r="V73" i="52"/>
  <c r="AA68" i="52"/>
  <c r="Z68" i="52"/>
  <c r="Y68" i="52"/>
  <c r="X68" i="52"/>
  <c r="W68" i="52"/>
  <c r="V68" i="52"/>
  <c r="AA67" i="52"/>
  <c r="Z67" i="52"/>
  <c r="Y67" i="52"/>
  <c r="X67" i="52"/>
  <c r="W67" i="52"/>
  <c r="V67" i="52"/>
  <c r="AA66" i="52"/>
  <c r="Z66" i="52"/>
  <c r="Y66" i="52"/>
  <c r="X66" i="52"/>
  <c r="W66" i="52"/>
  <c r="V66" i="52"/>
  <c r="AA65" i="52"/>
  <c r="Z65" i="52"/>
  <c r="Y65" i="52"/>
  <c r="X65" i="52"/>
  <c r="W65" i="52"/>
  <c r="V65" i="52"/>
  <c r="AA64" i="52"/>
  <c r="Z64" i="52"/>
  <c r="Y64" i="52"/>
  <c r="X64" i="52"/>
  <c r="W64" i="52"/>
  <c r="V64" i="52"/>
  <c r="AA63" i="52"/>
  <c r="Z63" i="52"/>
  <c r="Y63" i="52"/>
  <c r="X63" i="52"/>
  <c r="W63" i="52"/>
  <c r="V63" i="52"/>
  <c r="AA62" i="52"/>
  <c r="Z62" i="52"/>
  <c r="Y62" i="52"/>
  <c r="X62" i="52"/>
  <c r="W62" i="52"/>
  <c r="V62" i="52"/>
  <c r="AA61" i="52"/>
  <c r="Z61" i="52"/>
  <c r="Y61" i="52"/>
  <c r="X61" i="52"/>
  <c r="W61" i="52"/>
  <c r="V61" i="52"/>
  <c r="AA60" i="52"/>
  <c r="Z60" i="52"/>
  <c r="Y60" i="52"/>
  <c r="X60" i="52"/>
  <c r="W60" i="52"/>
  <c r="V60" i="52"/>
  <c r="AA59" i="52"/>
  <c r="Z59" i="52"/>
  <c r="Y59" i="52"/>
  <c r="X59" i="52"/>
  <c r="W59" i="52"/>
  <c r="V59" i="52"/>
  <c r="AA58" i="52"/>
  <c r="Z58" i="52"/>
  <c r="Y58" i="52"/>
  <c r="X58" i="52"/>
  <c r="W58" i="52"/>
  <c r="V58" i="52"/>
  <c r="AU57" i="52"/>
  <c r="AA57" i="52"/>
  <c r="Z57" i="52"/>
  <c r="Y57" i="52"/>
  <c r="X57" i="52"/>
  <c r="W57" i="52"/>
  <c r="V57" i="52"/>
  <c r="AU56" i="52"/>
  <c r="AA56" i="52"/>
  <c r="Z56" i="52"/>
  <c r="Y56" i="52"/>
  <c r="X56" i="52"/>
  <c r="W56" i="52"/>
  <c r="V56" i="52"/>
  <c r="V49" i="52" s="1"/>
  <c r="AC47" i="52"/>
  <c r="AC46" i="52"/>
  <c r="AE46" i="52" s="1"/>
  <c r="J38" i="52" s="1"/>
  <c r="V46" i="52"/>
  <c r="AE45" i="52"/>
  <c r="AC45" i="52"/>
  <c r="B45" i="52"/>
  <c r="AP44" i="52"/>
  <c r="B94" i="52" s="1"/>
  <c r="AP43" i="52"/>
  <c r="B91" i="52" s="1"/>
  <c r="AP42" i="52"/>
  <c r="B88" i="52" s="1"/>
  <c r="AP41" i="52"/>
  <c r="B85" i="52" s="1"/>
  <c r="AP40" i="52"/>
  <c r="B82" i="52" s="1"/>
  <c r="B38" i="52"/>
  <c r="AL37" i="52"/>
  <c r="AK37" i="52"/>
  <c r="AU59" i="52" s="1"/>
  <c r="AL36" i="52"/>
  <c r="AK36" i="52"/>
  <c r="AU58" i="52" s="1"/>
  <c r="X36" i="52"/>
  <c r="AL35" i="52"/>
  <c r="AK35" i="52"/>
  <c r="X35" i="52"/>
  <c r="Q35" i="52"/>
  <c r="P35" i="52"/>
  <c r="O35" i="52" s="1"/>
  <c r="E18" i="52" s="1"/>
  <c r="AL34" i="52"/>
  <c r="AK34" i="52"/>
  <c r="X34" i="52"/>
  <c r="AL33" i="52"/>
  <c r="AK33" i="52"/>
  <c r="AU55" i="52" s="1"/>
  <c r="X33" i="52"/>
  <c r="AL32" i="52"/>
  <c r="AK32" i="52"/>
  <c r="AU54" i="52" s="1"/>
  <c r="AD32" i="52"/>
  <c r="X32" i="52"/>
  <c r="AQ31" i="52"/>
  <c r="AL31" i="52"/>
  <c r="AK31" i="52"/>
  <c r="AU53" i="52" s="1"/>
  <c r="AG31" i="52"/>
  <c r="AD31" i="52"/>
  <c r="X31" i="52"/>
  <c r="AQ30" i="52"/>
  <c r="AL30" i="52"/>
  <c r="AK30" i="52"/>
  <c r="AU52" i="52" s="1"/>
  <c r="AD30" i="52"/>
  <c r="AC30" i="52" s="1"/>
  <c r="X30" i="52"/>
  <c r="B30" i="52"/>
  <c r="AL29" i="52"/>
  <c r="AK29" i="52"/>
  <c r="AU51" i="52" s="1"/>
  <c r="X29" i="52"/>
  <c r="X28" i="52"/>
  <c r="AQ27" i="52"/>
  <c r="B27" i="52"/>
  <c r="P25" i="52"/>
  <c r="P24" i="52" s="1"/>
  <c r="G20" i="52" s="1"/>
  <c r="I24" i="52"/>
  <c r="G24" i="52"/>
  <c r="E24" i="52"/>
  <c r="C24" i="52"/>
  <c r="AC23" i="52"/>
  <c r="AB23" i="52"/>
  <c r="AA23" i="52"/>
  <c r="Z23" i="52"/>
  <c r="Y23" i="52"/>
  <c r="I23" i="52"/>
  <c r="G23" i="52"/>
  <c r="E23" i="52"/>
  <c r="C23" i="52"/>
  <c r="AB22" i="52"/>
  <c r="AC22" i="52" s="1"/>
  <c r="AA22" i="52"/>
  <c r="Z22" i="52"/>
  <c r="Y22" i="52"/>
  <c r="AD22" i="52" s="1"/>
  <c r="AB39" i="52" s="1"/>
  <c r="AC32" i="52" s="1"/>
  <c r="I22" i="52"/>
  <c r="G22" i="52"/>
  <c r="E22" i="52"/>
  <c r="C22" i="52"/>
  <c r="I21" i="52"/>
  <c r="G21" i="52"/>
  <c r="E21" i="52"/>
  <c r="C21" i="52"/>
  <c r="AQ20" i="52"/>
  <c r="B72" i="52" s="1"/>
  <c r="AQ36" i="52" s="1"/>
  <c r="AI20" i="52"/>
  <c r="I20" i="52"/>
  <c r="AQ19" i="52"/>
  <c r="B69" i="52" s="1"/>
  <c r="AQ35" i="52" s="1"/>
  <c r="AI19" i="52"/>
  <c r="AQ18" i="52"/>
  <c r="B66" i="52" s="1"/>
  <c r="AQ34" i="52" s="1"/>
  <c r="AJ18" i="52"/>
  <c r="AK18" i="52" s="1"/>
  <c r="AV26" i="52" s="1"/>
  <c r="AI18" i="52"/>
  <c r="I18" i="52"/>
  <c r="AI17" i="52"/>
  <c r="AI16" i="52"/>
  <c r="AI15" i="52"/>
  <c r="AJ15" i="52" s="1"/>
  <c r="AK15" i="52" s="1"/>
  <c r="AU26" i="52" s="1"/>
  <c r="AQ14" i="52"/>
  <c r="B63" i="52" s="1"/>
  <c r="AQ33" i="52" s="1"/>
  <c r="AI14" i="52"/>
  <c r="I14" i="52"/>
  <c r="AQ13" i="52"/>
  <c r="B60" i="52" s="1"/>
  <c r="AQ32" i="52" s="1"/>
  <c r="AI13" i="52"/>
  <c r="AQ12" i="52"/>
  <c r="B57" i="52" s="1"/>
  <c r="AJ12" i="52"/>
  <c r="AK12" i="52" s="1"/>
  <c r="AT26" i="52" s="1"/>
  <c r="AI12" i="52"/>
  <c r="AI11" i="52"/>
  <c r="AC11" i="52"/>
  <c r="AB11" i="52"/>
  <c r="AA11" i="52"/>
  <c r="Z11" i="52"/>
  <c r="Y11" i="52"/>
  <c r="AI10" i="52"/>
  <c r="AC10" i="52"/>
  <c r="AB10" i="52"/>
  <c r="AA10" i="52"/>
  <c r="Z10" i="52"/>
  <c r="Y10" i="52"/>
  <c r="AI9" i="52"/>
  <c r="AJ9" i="52" s="1"/>
  <c r="AC9" i="52"/>
  <c r="AB9" i="52"/>
  <c r="AA9" i="52"/>
  <c r="Z9" i="52"/>
  <c r="Y9" i="52"/>
  <c r="AQ8" i="52"/>
  <c r="B54" i="52" s="1"/>
  <c r="AC8" i="52"/>
  <c r="AB8" i="52"/>
  <c r="AA8" i="52"/>
  <c r="Z8" i="52"/>
  <c r="Y8" i="52"/>
  <c r="AD8" i="52" s="1"/>
  <c r="AB36" i="52" s="1"/>
  <c r="AC31" i="52" s="1"/>
  <c r="AQ7" i="52"/>
  <c r="B51" i="52" s="1"/>
  <c r="AQ29" i="52" s="1"/>
  <c r="AQ6" i="52"/>
  <c r="B48" i="52" s="1"/>
  <c r="AQ28" i="52" s="1"/>
  <c r="E27" i="50"/>
  <c r="E26" i="50"/>
  <c r="E25" i="50"/>
  <c r="E24" i="50"/>
  <c r="E23" i="50"/>
  <c r="E22" i="50"/>
  <c r="E21" i="50"/>
  <c r="E20" i="50"/>
  <c r="E19" i="50"/>
  <c r="E18" i="50"/>
  <c r="E17" i="50"/>
  <c r="E16" i="50"/>
  <c r="E15" i="50"/>
  <c r="E14" i="50"/>
  <c r="E13" i="50"/>
  <c r="E12" i="50"/>
  <c r="E11" i="50"/>
  <c r="E10" i="50"/>
  <c r="E9" i="50"/>
  <c r="E8" i="50"/>
  <c r="E7" i="50"/>
  <c r="AE93" i="54" l="1"/>
  <c r="AE87" i="52"/>
  <c r="AE89" i="54"/>
  <c r="Z213" i="54"/>
  <c r="AE213" i="54" s="1"/>
  <c r="X210" i="55"/>
  <c r="AC210" i="55" s="1"/>
  <c r="X189" i="55"/>
  <c r="AC189" i="55" s="1"/>
  <c r="W206" i="55"/>
  <c r="AB206" i="55" s="1"/>
  <c r="W194" i="55"/>
  <c r="AB194" i="55" s="1"/>
  <c r="AE91" i="54"/>
  <c r="W206" i="54"/>
  <c r="AB206" i="54" s="1"/>
  <c r="AE88" i="55"/>
  <c r="AE93" i="55"/>
  <c r="AE90" i="55"/>
  <c r="X201" i="55"/>
  <c r="AC201" i="55" s="1"/>
  <c r="AE89" i="52"/>
  <c r="AC30" i="54"/>
  <c r="X196" i="55"/>
  <c r="AC196" i="55" s="1"/>
  <c r="X213" i="55"/>
  <c r="AC213" i="55" s="1"/>
  <c r="X196" i="54"/>
  <c r="AC196" i="54" s="1"/>
  <c r="AE87" i="54"/>
  <c r="Y198" i="52"/>
  <c r="AD198" i="52" s="1"/>
  <c r="AE90" i="52"/>
  <c r="V50" i="54"/>
  <c r="X210" i="54"/>
  <c r="AC210" i="54" s="1"/>
  <c r="X208" i="54"/>
  <c r="AC208" i="54" s="1"/>
  <c r="AE87" i="55"/>
  <c r="P111" i="55"/>
  <c r="Q96" i="55"/>
  <c r="AU5" i="55"/>
  <c r="AK9" i="55"/>
  <c r="AS26" i="55" s="1"/>
  <c r="AL9" i="55"/>
  <c r="AC30" i="55"/>
  <c r="AL18" i="55"/>
  <c r="AL12" i="55"/>
  <c r="AL15" i="55"/>
  <c r="AC31" i="55"/>
  <c r="O111" i="55"/>
  <c r="Q111" i="55"/>
  <c r="AV31" i="55"/>
  <c r="AU31" i="55"/>
  <c r="AT31" i="55"/>
  <c r="AS31" i="55"/>
  <c r="AT34" i="55"/>
  <c r="AS34" i="55"/>
  <c r="AU34" i="55"/>
  <c r="AV34" i="55"/>
  <c r="AQ58" i="55"/>
  <c r="Z46" i="55"/>
  <c r="Z47" i="55" s="1"/>
  <c r="Z48" i="55" s="1"/>
  <c r="Z49" i="55" s="1"/>
  <c r="J30" i="55" s="1"/>
  <c r="AT35" i="55" s="1"/>
  <c r="W192" i="55"/>
  <c r="AB192" i="55" s="1"/>
  <c r="X194" i="55"/>
  <c r="AC194" i="55" s="1"/>
  <c r="X199" i="55"/>
  <c r="AC199" i="55" s="1"/>
  <c r="W204" i="55"/>
  <c r="AB204" i="55" s="1"/>
  <c r="X206" i="55"/>
  <c r="AC206" i="55" s="1"/>
  <c r="X211" i="55"/>
  <c r="AC211" i="55" s="1"/>
  <c r="AE92" i="55"/>
  <c r="W190" i="55"/>
  <c r="AB190" i="55" s="1"/>
  <c r="X192" i="55"/>
  <c r="AC192" i="55" s="1"/>
  <c r="X197" i="55"/>
  <c r="AC197" i="55" s="1"/>
  <c r="W202" i="55"/>
  <c r="AB202" i="55" s="1"/>
  <c r="X204" i="55"/>
  <c r="AC204" i="55" s="1"/>
  <c r="X209" i="55"/>
  <c r="AC209" i="55" s="1"/>
  <c r="W214" i="55"/>
  <c r="AB214" i="55" s="1"/>
  <c r="AE46" i="55"/>
  <c r="J38" i="55" s="1"/>
  <c r="V47" i="55"/>
  <c r="V48" i="55" s="1"/>
  <c r="V51" i="55" s="1"/>
  <c r="J27" i="55" s="1"/>
  <c r="Z213" i="55"/>
  <c r="AE213" i="55" s="1"/>
  <c r="W188" i="55"/>
  <c r="AB188" i="55" s="1"/>
  <c r="AB215" i="55" s="1"/>
  <c r="Q145" i="55" s="1"/>
  <c r="Q147" i="55" s="1"/>
  <c r="X190" i="55"/>
  <c r="AC190" i="55" s="1"/>
  <c r="X195" i="55"/>
  <c r="AC195" i="55" s="1"/>
  <c r="W200" i="55"/>
  <c r="AB200" i="55" s="1"/>
  <c r="X202" i="55"/>
  <c r="AC202" i="55" s="1"/>
  <c r="X207" i="55"/>
  <c r="AC207" i="55" s="1"/>
  <c r="W212" i="55"/>
  <c r="AB212" i="55" s="1"/>
  <c r="X214" i="55"/>
  <c r="AC214" i="55" s="1"/>
  <c r="AE94" i="55"/>
  <c r="X188" i="55"/>
  <c r="AC188" i="55" s="1"/>
  <c r="X193" i="55"/>
  <c r="AC193" i="55" s="1"/>
  <c r="W198" i="55"/>
  <c r="AB198" i="55" s="1"/>
  <c r="X200" i="55"/>
  <c r="AC200" i="55" s="1"/>
  <c r="X205" i="55"/>
  <c r="AC205" i="55" s="1"/>
  <c r="W210" i="55"/>
  <c r="AB210" i="55" s="1"/>
  <c r="X212" i="55"/>
  <c r="AC212" i="55" s="1"/>
  <c r="X191" i="55"/>
  <c r="AC191" i="55" s="1"/>
  <c r="W196" i="55"/>
  <c r="AB196" i="55" s="1"/>
  <c r="X198" i="55"/>
  <c r="AC198" i="55" s="1"/>
  <c r="X203" i="55"/>
  <c r="AC203" i="55" s="1"/>
  <c r="W208" i="55"/>
  <c r="AB208" i="55" s="1"/>
  <c r="Y188" i="55"/>
  <c r="AD188" i="55" s="1"/>
  <c r="Y190" i="55"/>
  <c r="AD190" i="55" s="1"/>
  <c r="Y192" i="55"/>
  <c r="AD192" i="55" s="1"/>
  <c r="Y194" i="55"/>
  <c r="AD194" i="55" s="1"/>
  <c r="Y196" i="55"/>
  <c r="AD196" i="55" s="1"/>
  <c r="Y198" i="55"/>
  <c r="AD198" i="55" s="1"/>
  <c r="Y200" i="55"/>
  <c r="AD200" i="55" s="1"/>
  <c r="Y202" i="55"/>
  <c r="AD202" i="55" s="1"/>
  <c r="Y204" i="55"/>
  <c r="AD204" i="55" s="1"/>
  <c r="Y206" i="55"/>
  <c r="AD206" i="55" s="1"/>
  <c r="Y208" i="55"/>
  <c r="AD208" i="55" s="1"/>
  <c r="Y210" i="55"/>
  <c r="AD210" i="55" s="1"/>
  <c r="Y212" i="55"/>
  <c r="AD212" i="55" s="1"/>
  <c r="Y214" i="55"/>
  <c r="AD214" i="55" s="1"/>
  <c r="Z188" i="55"/>
  <c r="AE188" i="55" s="1"/>
  <c r="W189" i="55"/>
  <c r="AB189" i="55" s="1"/>
  <c r="Z190" i="55"/>
  <c r="AE190" i="55" s="1"/>
  <c r="W191" i="55"/>
  <c r="AB191" i="55" s="1"/>
  <c r="Z192" i="55"/>
  <c r="AE192" i="55" s="1"/>
  <c r="W193" i="55"/>
  <c r="AB193" i="55" s="1"/>
  <c r="Z194" i="55"/>
  <c r="AE194" i="55" s="1"/>
  <c r="W195" i="55"/>
  <c r="AB195" i="55" s="1"/>
  <c r="Z196" i="55"/>
  <c r="AE196" i="55" s="1"/>
  <c r="W197" i="55"/>
  <c r="AB197" i="55" s="1"/>
  <c r="Z198" i="55"/>
  <c r="AE198" i="55" s="1"/>
  <c r="W199" i="55"/>
  <c r="AB199" i="55" s="1"/>
  <c r="Z200" i="55"/>
  <c r="AE200" i="55" s="1"/>
  <c r="W201" i="55"/>
  <c r="AB201" i="55" s="1"/>
  <c r="Z202" i="55"/>
  <c r="AE202" i="55" s="1"/>
  <c r="W203" i="55"/>
  <c r="AB203" i="55" s="1"/>
  <c r="Z204" i="55"/>
  <c r="AE204" i="55" s="1"/>
  <c r="W205" i="55"/>
  <c r="AB205" i="55" s="1"/>
  <c r="Z206" i="55"/>
  <c r="AE206" i="55" s="1"/>
  <c r="W207" i="55"/>
  <c r="AB207" i="55" s="1"/>
  <c r="Z208" i="55"/>
  <c r="AE208" i="55" s="1"/>
  <c r="W209" i="55"/>
  <c r="AB209" i="55" s="1"/>
  <c r="Z210" i="55"/>
  <c r="AE210" i="55" s="1"/>
  <c r="W211" i="55"/>
  <c r="AB211" i="55" s="1"/>
  <c r="Z212" i="55"/>
  <c r="AE212" i="55" s="1"/>
  <c r="W213" i="55"/>
  <c r="AB213" i="55" s="1"/>
  <c r="Z214" i="55"/>
  <c r="AE214" i="55" s="1"/>
  <c r="Y189" i="55"/>
  <c r="AD189" i="55" s="1"/>
  <c r="Y191" i="55"/>
  <c r="AD191" i="55" s="1"/>
  <c r="Y193" i="55"/>
  <c r="AD193" i="55" s="1"/>
  <c r="Y195" i="55"/>
  <c r="AD195" i="55" s="1"/>
  <c r="Y197" i="55"/>
  <c r="AD197" i="55" s="1"/>
  <c r="Y199" i="55"/>
  <c r="AD199" i="55" s="1"/>
  <c r="Y201" i="55"/>
  <c r="AD201" i="55" s="1"/>
  <c r="Y203" i="55"/>
  <c r="AD203" i="55" s="1"/>
  <c r="Y205" i="55"/>
  <c r="AD205" i="55" s="1"/>
  <c r="Y207" i="55"/>
  <c r="AD207" i="55" s="1"/>
  <c r="Y209" i="55"/>
  <c r="AD209" i="55" s="1"/>
  <c r="Y211" i="55"/>
  <c r="AD211" i="55" s="1"/>
  <c r="Y213" i="55"/>
  <c r="AD213" i="55" s="1"/>
  <c r="Z189" i="55"/>
  <c r="AE189" i="55" s="1"/>
  <c r="Z191" i="55"/>
  <c r="AE191" i="55" s="1"/>
  <c r="Z193" i="55"/>
  <c r="AE193" i="55" s="1"/>
  <c r="Z195" i="55"/>
  <c r="AE195" i="55" s="1"/>
  <c r="Z197" i="55"/>
  <c r="AE197" i="55" s="1"/>
  <c r="Z199" i="55"/>
  <c r="AE199" i="55" s="1"/>
  <c r="Z201" i="55"/>
  <c r="AE201" i="55" s="1"/>
  <c r="Z203" i="55"/>
  <c r="AE203" i="55" s="1"/>
  <c r="Z205" i="55"/>
  <c r="AE205" i="55" s="1"/>
  <c r="Z207" i="55"/>
  <c r="AE207" i="55" s="1"/>
  <c r="Z209" i="55"/>
  <c r="AE209" i="55" s="1"/>
  <c r="Z211" i="55"/>
  <c r="AE211" i="55" s="1"/>
  <c r="AU34" i="54"/>
  <c r="AV34" i="54"/>
  <c r="AT34" i="54"/>
  <c r="AS34" i="54"/>
  <c r="AQ28" i="54"/>
  <c r="O111" i="54"/>
  <c r="Q111" i="54"/>
  <c r="J39" i="54"/>
  <c r="E38" i="54"/>
  <c r="D38" i="54"/>
  <c r="I38" i="54" s="1"/>
  <c r="I39" i="54" s="1"/>
  <c r="AD8" i="54"/>
  <c r="AB36" i="54" s="1"/>
  <c r="AC31" i="54" s="1"/>
  <c r="AU31" i="54"/>
  <c r="AT31" i="54"/>
  <c r="AV31" i="54"/>
  <c r="AS31" i="54"/>
  <c r="P111" i="54"/>
  <c r="AL9" i="54"/>
  <c r="AK9" i="54" s="1"/>
  <c r="AS26" i="54" s="1"/>
  <c r="B72" i="54"/>
  <c r="AQ36" i="54" s="1"/>
  <c r="V47" i="54"/>
  <c r="V48" i="54" s="1"/>
  <c r="V51" i="54" s="1"/>
  <c r="J27" i="54" s="1"/>
  <c r="W192" i="54"/>
  <c r="AB192" i="54" s="1"/>
  <c r="X194" i="54"/>
  <c r="AC194" i="54" s="1"/>
  <c r="W204" i="54"/>
  <c r="AB204" i="54" s="1"/>
  <c r="X206" i="54"/>
  <c r="AC206" i="54" s="1"/>
  <c r="W194" i="54"/>
  <c r="AB194" i="54" s="1"/>
  <c r="AQ58" i="54"/>
  <c r="W190" i="54"/>
  <c r="AB190" i="54" s="1"/>
  <c r="X192" i="54"/>
  <c r="AC192" i="54" s="1"/>
  <c r="W202" i="54"/>
  <c r="AB202" i="54" s="1"/>
  <c r="X204" i="54"/>
  <c r="AC204" i="54" s="1"/>
  <c r="W214" i="54"/>
  <c r="AB214" i="54" s="1"/>
  <c r="AL15" i="54"/>
  <c r="AD22" i="54"/>
  <c r="AB39" i="54" s="1"/>
  <c r="AC32" i="54" s="1"/>
  <c r="W188" i="54"/>
  <c r="AB188" i="54" s="1"/>
  <c r="X190" i="54"/>
  <c r="AC190" i="54" s="1"/>
  <c r="W200" i="54"/>
  <c r="AB200" i="54" s="1"/>
  <c r="X202" i="54"/>
  <c r="AC202" i="54" s="1"/>
  <c r="W212" i="54"/>
  <c r="AB212" i="54" s="1"/>
  <c r="X214" i="54"/>
  <c r="AC214" i="54" s="1"/>
  <c r="X188" i="54"/>
  <c r="AC188" i="54" s="1"/>
  <c r="W198" i="54"/>
  <c r="AB198" i="54" s="1"/>
  <c r="X200" i="54"/>
  <c r="AC200" i="54" s="1"/>
  <c r="W210" i="54"/>
  <c r="AB210" i="54" s="1"/>
  <c r="X212" i="54"/>
  <c r="AC212" i="54" s="1"/>
  <c r="Z46" i="54"/>
  <c r="AE90" i="54"/>
  <c r="W196" i="54"/>
  <c r="AB196" i="54" s="1"/>
  <c r="X198" i="54"/>
  <c r="AC198" i="54" s="1"/>
  <c r="W208" i="54"/>
  <c r="AB208" i="54" s="1"/>
  <c r="Y188" i="54"/>
  <c r="AD188" i="54" s="1"/>
  <c r="Y190" i="54"/>
  <c r="AD190" i="54" s="1"/>
  <c r="Y192" i="54"/>
  <c r="AD192" i="54" s="1"/>
  <c r="Y194" i="54"/>
  <c r="AD194" i="54" s="1"/>
  <c r="Y196" i="54"/>
  <c r="AD196" i="54" s="1"/>
  <c r="Y198" i="54"/>
  <c r="AD198" i="54" s="1"/>
  <c r="Y200" i="54"/>
  <c r="AD200" i="54" s="1"/>
  <c r="Y202" i="54"/>
  <c r="AD202" i="54" s="1"/>
  <c r="Y204" i="54"/>
  <c r="AD204" i="54" s="1"/>
  <c r="Y206" i="54"/>
  <c r="AD206" i="54" s="1"/>
  <c r="Y208" i="54"/>
  <c r="AD208" i="54" s="1"/>
  <c r="Y210" i="54"/>
  <c r="AD210" i="54" s="1"/>
  <c r="Y212" i="54"/>
  <c r="AD212" i="54" s="1"/>
  <c r="Y214" i="54"/>
  <c r="AD214" i="54" s="1"/>
  <c r="Z188" i="54"/>
  <c r="AE188" i="54" s="1"/>
  <c r="W189" i="54"/>
  <c r="AB189" i="54" s="1"/>
  <c r="Z190" i="54"/>
  <c r="AE190" i="54" s="1"/>
  <c r="W191" i="54"/>
  <c r="AB191" i="54" s="1"/>
  <c r="Z192" i="54"/>
  <c r="AE192" i="54" s="1"/>
  <c r="W193" i="54"/>
  <c r="AB193" i="54" s="1"/>
  <c r="Z194" i="54"/>
  <c r="AE194" i="54" s="1"/>
  <c r="W195" i="54"/>
  <c r="AB195" i="54" s="1"/>
  <c r="Z196" i="54"/>
  <c r="AE196" i="54" s="1"/>
  <c r="W197" i="54"/>
  <c r="AB197" i="54" s="1"/>
  <c r="Z198" i="54"/>
  <c r="AE198" i="54" s="1"/>
  <c r="W199" i="54"/>
  <c r="AB199" i="54" s="1"/>
  <c r="Z200" i="54"/>
  <c r="AE200" i="54" s="1"/>
  <c r="W201" i="54"/>
  <c r="AB201" i="54" s="1"/>
  <c r="Z202" i="54"/>
  <c r="AE202" i="54" s="1"/>
  <c r="W203" i="54"/>
  <c r="AB203" i="54" s="1"/>
  <c r="Z204" i="54"/>
  <c r="AE204" i="54" s="1"/>
  <c r="W205" i="54"/>
  <c r="AB205" i="54" s="1"/>
  <c r="Z206" i="54"/>
  <c r="AE206" i="54" s="1"/>
  <c r="W207" i="54"/>
  <c r="AB207" i="54" s="1"/>
  <c r="Z208" i="54"/>
  <c r="AE208" i="54" s="1"/>
  <c r="W209" i="54"/>
  <c r="AB209" i="54" s="1"/>
  <c r="Z210" i="54"/>
  <c r="AE210" i="54" s="1"/>
  <c r="W211" i="54"/>
  <c r="AB211" i="54" s="1"/>
  <c r="Z212" i="54"/>
  <c r="AE212" i="54" s="1"/>
  <c r="W213" i="54"/>
  <c r="AB213" i="54" s="1"/>
  <c r="Z214" i="54"/>
  <c r="AE214" i="54" s="1"/>
  <c r="X189" i="54"/>
  <c r="AC189" i="54" s="1"/>
  <c r="X191" i="54"/>
  <c r="AC191" i="54" s="1"/>
  <c r="X193" i="54"/>
  <c r="AC193" i="54" s="1"/>
  <c r="X195" i="54"/>
  <c r="AC195" i="54" s="1"/>
  <c r="X197" i="54"/>
  <c r="AC197" i="54" s="1"/>
  <c r="X199" i="54"/>
  <c r="AC199" i="54" s="1"/>
  <c r="X201" i="54"/>
  <c r="AC201" i="54" s="1"/>
  <c r="X203" i="54"/>
  <c r="AC203" i="54" s="1"/>
  <c r="X205" i="54"/>
  <c r="AC205" i="54" s="1"/>
  <c r="X207" i="54"/>
  <c r="AC207" i="54" s="1"/>
  <c r="X209" i="54"/>
  <c r="AC209" i="54" s="1"/>
  <c r="X211" i="54"/>
  <c r="AC211" i="54" s="1"/>
  <c r="X213" i="54"/>
  <c r="AC213" i="54" s="1"/>
  <c r="Y189" i="54"/>
  <c r="AD189" i="54" s="1"/>
  <c r="Y191" i="54"/>
  <c r="AD191" i="54" s="1"/>
  <c r="Y193" i="54"/>
  <c r="AD193" i="54" s="1"/>
  <c r="Y195" i="54"/>
  <c r="AD195" i="54" s="1"/>
  <c r="Y197" i="54"/>
  <c r="AD197" i="54" s="1"/>
  <c r="Y199" i="54"/>
  <c r="AD199" i="54" s="1"/>
  <c r="Y201" i="54"/>
  <c r="AD201" i="54" s="1"/>
  <c r="Y203" i="54"/>
  <c r="AD203" i="54" s="1"/>
  <c r="Y205" i="54"/>
  <c r="AD205" i="54" s="1"/>
  <c r="Y207" i="54"/>
  <c r="AD207" i="54" s="1"/>
  <c r="Y209" i="54"/>
  <c r="AD209" i="54" s="1"/>
  <c r="Y211" i="54"/>
  <c r="AD211" i="54" s="1"/>
  <c r="Y213" i="54"/>
  <c r="AD213" i="54" s="1"/>
  <c r="Z189" i="54"/>
  <c r="AE189" i="54" s="1"/>
  <c r="Z191" i="54"/>
  <c r="AE191" i="54" s="1"/>
  <c r="Z193" i="54"/>
  <c r="AE193" i="54" s="1"/>
  <c r="Z195" i="54"/>
  <c r="AE195" i="54" s="1"/>
  <c r="Z197" i="54"/>
  <c r="AE197" i="54" s="1"/>
  <c r="Z199" i="54"/>
  <c r="AE199" i="54" s="1"/>
  <c r="Z201" i="54"/>
  <c r="AE201" i="54" s="1"/>
  <c r="Z203" i="54"/>
  <c r="AE203" i="54" s="1"/>
  <c r="Z205" i="54"/>
  <c r="AE205" i="54" s="1"/>
  <c r="Z207" i="54"/>
  <c r="AE207" i="54" s="1"/>
  <c r="Z209" i="54"/>
  <c r="AE209" i="54" s="1"/>
  <c r="Z211" i="54"/>
  <c r="AE211" i="54" s="1"/>
  <c r="O111" i="52"/>
  <c r="Q111" i="52"/>
  <c r="P111" i="52"/>
  <c r="AV34" i="52"/>
  <c r="AU34" i="52"/>
  <c r="AT34" i="52"/>
  <c r="AS34" i="52"/>
  <c r="AL9" i="52"/>
  <c r="AL18" i="52"/>
  <c r="AL12" i="52"/>
  <c r="AL15" i="52"/>
  <c r="Q96" i="52"/>
  <c r="AU5" i="52"/>
  <c r="AK9" i="52"/>
  <c r="AS26" i="52" s="1"/>
  <c r="J39" i="52"/>
  <c r="E38" i="52"/>
  <c r="D38" i="52"/>
  <c r="I38" i="52" s="1"/>
  <c r="I39" i="52" s="1"/>
  <c r="P96" i="52"/>
  <c r="AT5" i="52"/>
  <c r="O96" i="52"/>
  <c r="AS5" i="52"/>
  <c r="AS31" i="52"/>
  <c r="Z189" i="52"/>
  <c r="AE189" i="52" s="1"/>
  <c r="Y189" i="52"/>
  <c r="AD189" i="52" s="1"/>
  <c r="X189" i="52"/>
  <c r="AC189" i="52" s="1"/>
  <c r="W189" i="52"/>
  <c r="AB189" i="52" s="1"/>
  <c r="Z192" i="52"/>
  <c r="AE192" i="52" s="1"/>
  <c r="Z195" i="52"/>
  <c r="AE195" i="52" s="1"/>
  <c r="Y195" i="52"/>
  <c r="AD195" i="52" s="1"/>
  <c r="X195" i="52"/>
  <c r="AC195" i="52" s="1"/>
  <c r="W195" i="52"/>
  <c r="AB195" i="52" s="1"/>
  <c r="Z198" i="52"/>
  <c r="AE198" i="52" s="1"/>
  <c r="Z210" i="52"/>
  <c r="AE210" i="52" s="1"/>
  <c r="AT31" i="52"/>
  <c r="AE88" i="52"/>
  <c r="AE93" i="52"/>
  <c r="Y192" i="52"/>
  <c r="AD192" i="52" s="1"/>
  <c r="Y205" i="52"/>
  <c r="AD205" i="52" s="1"/>
  <c r="Y211" i="52"/>
  <c r="AD211" i="52" s="1"/>
  <c r="Z201" i="52"/>
  <c r="AE201" i="52" s="1"/>
  <c r="Y201" i="52"/>
  <c r="AD201" i="52" s="1"/>
  <c r="X201" i="52"/>
  <c r="AC201" i="52" s="1"/>
  <c r="W201" i="52"/>
  <c r="AB201" i="52" s="1"/>
  <c r="AQ58" i="52"/>
  <c r="AU31" i="52"/>
  <c r="W214" i="52"/>
  <c r="AB214" i="52" s="1"/>
  <c r="Z213" i="52"/>
  <c r="AE213" i="52" s="1"/>
  <c r="W212" i="52"/>
  <c r="AB212" i="52" s="1"/>
  <c r="Z211" i="52"/>
  <c r="AE211" i="52" s="1"/>
  <c r="W210" i="52"/>
  <c r="AB210" i="52" s="1"/>
  <c r="Z209" i="52"/>
  <c r="AE209" i="52" s="1"/>
  <c r="W208" i="52"/>
  <c r="AB208" i="52" s="1"/>
  <c r="Z207" i="52"/>
  <c r="AE207" i="52" s="1"/>
  <c r="W206" i="52"/>
  <c r="AB206" i="52" s="1"/>
  <c r="Z205" i="52"/>
  <c r="AE205" i="52" s="1"/>
  <c r="W204" i="52"/>
  <c r="AB204" i="52" s="1"/>
  <c r="W202" i="52"/>
  <c r="AB202" i="52" s="1"/>
  <c r="W200" i="52"/>
  <c r="AB200" i="52" s="1"/>
  <c r="W198" i="52"/>
  <c r="AB198" i="52" s="1"/>
  <c r="W196" i="52"/>
  <c r="AB196" i="52" s="1"/>
  <c r="W194" i="52"/>
  <c r="AB194" i="52" s="1"/>
  <c r="W192" i="52"/>
  <c r="AB192" i="52" s="1"/>
  <c r="W190" i="52"/>
  <c r="AB190" i="52" s="1"/>
  <c r="W188" i="52"/>
  <c r="AB188" i="52" s="1"/>
  <c r="Y214" i="52"/>
  <c r="AD214" i="52" s="1"/>
  <c r="Y212" i="52"/>
  <c r="AD212" i="52" s="1"/>
  <c r="Y210" i="52"/>
  <c r="AD210" i="52" s="1"/>
  <c r="Y208" i="52"/>
  <c r="AD208" i="52" s="1"/>
  <c r="Y206" i="52"/>
  <c r="AD206" i="52" s="1"/>
  <c r="Y204" i="52"/>
  <c r="AD204" i="52" s="1"/>
  <c r="X214" i="52"/>
  <c r="AC214" i="52" s="1"/>
  <c r="X212" i="52"/>
  <c r="AC212" i="52" s="1"/>
  <c r="X210" i="52"/>
  <c r="AC210" i="52" s="1"/>
  <c r="X208" i="52"/>
  <c r="AC208" i="52" s="1"/>
  <c r="X206" i="52"/>
  <c r="AC206" i="52" s="1"/>
  <c r="X204" i="52"/>
  <c r="AC204" i="52" s="1"/>
  <c r="X202" i="52"/>
  <c r="AC202" i="52" s="1"/>
  <c r="X200" i="52"/>
  <c r="AC200" i="52" s="1"/>
  <c r="X198" i="52"/>
  <c r="AC198" i="52" s="1"/>
  <c r="X196" i="52"/>
  <c r="AC196" i="52" s="1"/>
  <c r="X194" i="52"/>
  <c r="AC194" i="52" s="1"/>
  <c r="X192" i="52"/>
  <c r="AC192" i="52" s="1"/>
  <c r="X190" i="52"/>
  <c r="AC190" i="52" s="1"/>
  <c r="X188" i="52"/>
  <c r="AC188" i="52" s="1"/>
  <c r="Z190" i="52"/>
  <c r="AE190" i="52" s="1"/>
  <c r="Z193" i="52"/>
  <c r="AE193" i="52" s="1"/>
  <c r="Y193" i="52"/>
  <c r="AD193" i="52" s="1"/>
  <c r="X193" i="52"/>
  <c r="AC193" i="52" s="1"/>
  <c r="W193" i="52"/>
  <c r="AB193" i="52" s="1"/>
  <c r="Z196" i="52"/>
  <c r="AE196" i="52" s="1"/>
  <c r="Z199" i="52"/>
  <c r="AE199" i="52" s="1"/>
  <c r="Y199" i="52"/>
  <c r="AD199" i="52" s="1"/>
  <c r="X199" i="52"/>
  <c r="AC199" i="52" s="1"/>
  <c r="W199" i="52"/>
  <c r="AB199" i="52" s="1"/>
  <c r="Z202" i="52"/>
  <c r="AE202" i="52" s="1"/>
  <c r="Z206" i="52"/>
  <c r="AE206" i="52" s="1"/>
  <c r="Z212" i="52"/>
  <c r="AE212" i="52" s="1"/>
  <c r="Z204" i="52"/>
  <c r="AE204" i="52" s="1"/>
  <c r="AV31" i="52"/>
  <c r="V47" i="52"/>
  <c r="V48" i="52" s="1"/>
  <c r="V51" i="52" s="1"/>
  <c r="J27" i="52" s="1"/>
  <c r="V50" i="52"/>
  <c r="Y190" i="52"/>
  <c r="AD190" i="52" s="1"/>
  <c r="Y196" i="52"/>
  <c r="AD196" i="52" s="1"/>
  <c r="Y202" i="52"/>
  <c r="AD202" i="52" s="1"/>
  <c r="Y207" i="52"/>
  <c r="AD207" i="52" s="1"/>
  <c r="Y213" i="52"/>
  <c r="AD213" i="52" s="1"/>
  <c r="Z188" i="52"/>
  <c r="AE188" i="52" s="1"/>
  <c r="Z191" i="52"/>
  <c r="AE191" i="52" s="1"/>
  <c r="Y191" i="52"/>
  <c r="AD191" i="52" s="1"/>
  <c r="X191" i="52"/>
  <c r="AC191" i="52" s="1"/>
  <c r="W191" i="52"/>
  <c r="AB191" i="52" s="1"/>
  <c r="Z194" i="52"/>
  <c r="AE194" i="52" s="1"/>
  <c r="Z197" i="52"/>
  <c r="AE197" i="52" s="1"/>
  <c r="Y197" i="52"/>
  <c r="AD197" i="52" s="1"/>
  <c r="X197" i="52"/>
  <c r="AC197" i="52" s="1"/>
  <c r="W197" i="52"/>
  <c r="AB197" i="52" s="1"/>
  <c r="Z200" i="52"/>
  <c r="AE200" i="52" s="1"/>
  <c r="Z203" i="52"/>
  <c r="AE203" i="52" s="1"/>
  <c r="Y203" i="52"/>
  <c r="AD203" i="52" s="1"/>
  <c r="X203" i="52"/>
  <c r="AC203" i="52" s="1"/>
  <c r="W203" i="52"/>
  <c r="AB203" i="52" s="1"/>
  <c r="Z208" i="52"/>
  <c r="AE208" i="52" s="1"/>
  <c r="Z214" i="52"/>
  <c r="AE214" i="52" s="1"/>
  <c r="Y188" i="52"/>
  <c r="AD188" i="52" s="1"/>
  <c r="AD215" i="52" s="1"/>
  <c r="Y194" i="52"/>
  <c r="AD194" i="52" s="1"/>
  <c r="Y200" i="52"/>
  <c r="AD200" i="52" s="1"/>
  <c r="Y209" i="52"/>
  <c r="AD209" i="52" s="1"/>
  <c r="W205" i="52"/>
  <c r="AB205" i="52" s="1"/>
  <c r="W207" i="52"/>
  <c r="AB207" i="52" s="1"/>
  <c r="W209" i="52"/>
  <c r="AB209" i="52" s="1"/>
  <c r="W211" i="52"/>
  <c r="AB211" i="52" s="1"/>
  <c r="W213" i="52"/>
  <c r="AB213" i="52" s="1"/>
  <c r="X205" i="52"/>
  <c r="AC205" i="52" s="1"/>
  <c r="X207" i="52"/>
  <c r="AC207" i="52" s="1"/>
  <c r="X209" i="52"/>
  <c r="AC209" i="52" s="1"/>
  <c r="X211" i="52"/>
  <c r="AC211" i="52" s="1"/>
  <c r="X213" i="52"/>
  <c r="AC213" i="52" s="1"/>
  <c r="AO179" i="49"/>
  <c r="AN179" i="49"/>
  <c r="AM179" i="49"/>
  <c r="AL179" i="49"/>
  <c r="AK179" i="49"/>
  <c r="AJ179" i="49"/>
  <c r="AI179" i="49"/>
  <c r="AH179" i="49"/>
  <c r="AG179" i="49"/>
  <c r="AF179" i="49"/>
  <c r="AE179" i="49"/>
  <c r="AD179" i="49"/>
  <c r="AC179" i="49"/>
  <c r="AB179" i="49"/>
  <c r="AA179" i="49"/>
  <c r="Z179" i="49"/>
  <c r="Y179" i="49"/>
  <c r="X179" i="49"/>
  <c r="W179" i="49"/>
  <c r="V179" i="49"/>
  <c r="AO178" i="49"/>
  <c r="AN178" i="49"/>
  <c r="AM178" i="49"/>
  <c r="AL178" i="49"/>
  <c r="AK178" i="49"/>
  <c r="AJ178" i="49"/>
  <c r="AI178" i="49"/>
  <c r="AH178" i="49"/>
  <c r="AG178" i="49"/>
  <c r="AF178" i="49"/>
  <c r="AE178" i="49"/>
  <c r="AD178" i="49"/>
  <c r="AC178" i="49"/>
  <c r="AB178" i="49"/>
  <c r="AA178" i="49"/>
  <c r="Z178" i="49"/>
  <c r="Y178" i="49"/>
  <c r="X178" i="49"/>
  <c r="W178" i="49"/>
  <c r="V178" i="49"/>
  <c r="AO177" i="49"/>
  <c r="AN177" i="49"/>
  <c r="AM177" i="49"/>
  <c r="AL177" i="49"/>
  <c r="AK177" i="49"/>
  <c r="AJ177" i="49"/>
  <c r="AI177" i="49"/>
  <c r="AH177" i="49"/>
  <c r="AG177" i="49"/>
  <c r="AF177" i="49"/>
  <c r="AE177" i="49"/>
  <c r="AD177" i="49"/>
  <c r="AC177" i="49"/>
  <c r="AB177" i="49"/>
  <c r="AA177" i="49"/>
  <c r="Z177" i="49"/>
  <c r="Y177" i="49"/>
  <c r="X177" i="49"/>
  <c r="W177" i="49"/>
  <c r="V177" i="49"/>
  <c r="AO176" i="49"/>
  <c r="AN176" i="49"/>
  <c r="AM176" i="49"/>
  <c r="AL176" i="49"/>
  <c r="AK176" i="49"/>
  <c r="AJ176" i="49"/>
  <c r="AI176" i="49"/>
  <c r="AH176" i="49"/>
  <c r="AG176" i="49"/>
  <c r="AF176" i="49"/>
  <c r="AE176" i="49"/>
  <c r="AD176" i="49"/>
  <c r="AC176" i="49"/>
  <c r="AB176" i="49"/>
  <c r="AA176" i="49"/>
  <c r="Z176" i="49"/>
  <c r="Y176" i="49"/>
  <c r="X176" i="49"/>
  <c r="W176" i="49"/>
  <c r="V176" i="49"/>
  <c r="AO175" i="49"/>
  <c r="AN175" i="49"/>
  <c r="AM175" i="49"/>
  <c r="AL175" i="49"/>
  <c r="AK175" i="49"/>
  <c r="AJ175" i="49"/>
  <c r="AI175" i="49"/>
  <c r="AH175" i="49"/>
  <c r="AG175" i="49"/>
  <c r="AF175" i="49"/>
  <c r="AE175" i="49"/>
  <c r="AD175" i="49"/>
  <c r="AC175" i="49"/>
  <c r="AB175" i="49"/>
  <c r="AA175" i="49"/>
  <c r="Z175" i="49"/>
  <c r="Y175" i="49"/>
  <c r="X175" i="49"/>
  <c r="W175" i="49"/>
  <c r="V175" i="49"/>
  <c r="AO174" i="49"/>
  <c r="AN174" i="49"/>
  <c r="AM174" i="49"/>
  <c r="AL174" i="49"/>
  <c r="AK174" i="49"/>
  <c r="AJ174" i="49"/>
  <c r="AI174" i="49"/>
  <c r="AH174" i="49"/>
  <c r="AG174" i="49"/>
  <c r="AF174" i="49"/>
  <c r="AE174" i="49"/>
  <c r="AD174" i="49"/>
  <c r="AC174" i="49"/>
  <c r="AB174" i="49"/>
  <c r="AA174" i="49"/>
  <c r="Z174" i="49"/>
  <c r="Y174" i="49"/>
  <c r="X174" i="49"/>
  <c r="W174" i="49"/>
  <c r="V174" i="49"/>
  <c r="AO173" i="49"/>
  <c r="AN173" i="49"/>
  <c r="AM173" i="49"/>
  <c r="AL173" i="49"/>
  <c r="AK173" i="49"/>
  <c r="AJ173" i="49"/>
  <c r="AI173" i="49"/>
  <c r="AH173" i="49"/>
  <c r="AG173" i="49"/>
  <c r="AF173" i="49"/>
  <c r="AE173" i="49"/>
  <c r="AD173" i="49"/>
  <c r="AC173" i="49"/>
  <c r="AB173" i="49"/>
  <c r="AA173" i="49"/>
  <c r="Z173" i="49"/>
  <c r="Y173" i="49"/>
  <c r="X173" i="49"/>
  <c r="W173" i="49"/>
  <c r="V173" i="49"/>
  <c r="AO172" i="49"/>
  <c r="AN172" i="49"/>
  <c r="AM172" i="49"/>
  <c r="AL172" i="49"/>
  <c r="AK172" i="49"/>
  <c r="AJ172" i="49"/>
  <c r="AI172" i="49"/>
  <c r="AH172" i="49"/>
  <c r="AG172" i="49"/>
  <c r="AF172" i="49"/>
  <c r="AE172" i="49"/>
  <c r="AD172" i="49"/>
  <c r="AC172" i="49"/>
  <c r="AB172" i="49"/>
  <c r="AA172" i="49"/>
  <c r="Z172" i="49"/>
  <c r="Y172" i="49"/>
  <c r="X172" i="49"/>
  <c r="W172" i="49"/>
  <c r="V172" i="49"/>
  <c r="AO171" i="49"/>
  <c r="AN171" i="49"/>
  <c r="AM171" i="49"/>
  <c r="AL171" i="49"/>
  <c r="AK171" i="49"/>
  <c r="AJ171" i="49"/>
  <c r="AI171" i="49"/>
  <c r="AH171" i="49"/>
  <c r="AG171" i="49"/>
  <c r="AF171" i="49"/>
  <c r="AE171" i="49"/>
  <c r="AD171" i="49"/>
  <c r="AC171" i="49"/>
  <c r="AB171" i="49"/>
  <c r="AA171" i="49"/>
  <c r="Z171" i="49"/>
  <c r="Y171" i="49"/>
  <c r="X171" i="49"/>
  <c r="W171" i="49"/>
  <c r="V171" i="49"/>
  <c r="AO170" i="49"/>
  <c r="AN170" i="49"/>
  <c r="AM170" i="49"/>
  <c r="AL170" i="49"/>
  <c r="AK170" i="49"/>
  <c r="AJ170" i="49"/>
  <c r="AI170" i="49"/>
  <c r="AH170" i="49"/>
  <c r="AG170" i="49"/>
  <c r="AF170" i="49"/>
  <c r="AE170" i="49"/>
  <c r="AD170" i="49"/>
  <c r="AC170" i="49"/>
  <c r="AB170" i="49"/>
  <c r="AA170" i="49"/>
  <c r="Z170" i="49"/>
  <c r="Y170" i="49"/>
  <c r="X170" i="49"/>
  <c r="W170" i="49"/>
  <c r="V170" i="49"/>
  <c r="AO169" i="49"/>
  <c r="AN169" i="49"/>
  <c r="AM169" i="49"/>
  <c r="AL169" i="49"/>
  <c r="AK169" i="49"/>
  <c r="AJ169" i="49"/>
  <c r="AI169" i="49"/>
  <c r="AH169" i="49"/>
  <c r="AG169" i="49"/>
  <c r="AF169" i="49"/>
  <c r="AE169" i="49"/>
  <c r="AD169" i="49"/>
  <c r="AC169" i="49"/>
  <c r="AB169" i="49"/>
  <c r="AA169" i="49"/>
  <c r="Z169" i="49"/>
  <c r="Y169" i="49"/>
  <c r="X169" i="49"/>
  <c r="W169" i="49"/>
  <c r="V169" i="49"/>
  <c r="AO168" i="49"/>
  <c r="AN168" i="49"/>
  <c r="AM168" i="49"/>
  <c r="AL168" i="49"/>
  <c r="AK168" i="49"/>
  <c r="AJ168" i="49"/>
  <c r="AI168" i="49"/>
  <c r="AH168" i="49"/>
  <c r="AG168" i="49"/>
  <c r="AF168" i="49"/>
  <c r="AE168" i="49"/>
  <c r="AD168" i="49"/>
  <c r="AC168" i="49"/>
  <c r="AB168" i="49"/>
  <c r="AB95" i="49" s="1"/>
  <c r="AE95" i="49" s="1"/>
  <c r="AA168" i="49"/>
  <c r="Z168" i="49"/>
  <c r="Y168" i="49"/>
  <c r="X168" i="49"/>
  <c r="W168" i="49"/>
  <c r="V168" i="49"/>
  <c r="V95" i="49" s="1"/>
  <c r="AO167" i="49"/>
  <c r="AN167" i="49"/>
  <c r="AM167" i="49"/>
  <c r="AL167" i="49"/>
  <c r="AK167" i="49"/>
  <c r="AJ167" i="49"/>
  <c r="AI167" i="49"/>
  <c r="AH167" i="49"/>
  <c r="AG167" i="49"/>
  <c r="AF167" i="49"/>
  <c r="AE167" i="49"/>
  <c r="AD167" i="49"/>
  <c r="AD94" i="49" s="1"/>
  <c r="AC167" i="49"/>
  <c r="AB167" i="49"/>
  <c r="AA167" i="49"/>
  <c r="Z167" i="49"/>
  <c r="Y167" i="49"/>
  <c r="X167" i="49"/>
  <c r="W167" i="49"/>
  <c r="V167" i="49"/>
  <c r="AO166" i="49"/>
  <c r="AN166" i="49"/>
  <c r="AM166" i="49"/>
  <c r="AL166" i="49"/>
  <c r="X93" i="49" s="1"/>
  <c r="AK166" i="49"/>
  <c r="AJ166" i="49"/>
  <c r="AI166" i="49"/>
  <c r="AH166" i="49"/>
  <c r="AG166" i="49"/>
  <c r="AF166" i="49"/>
  <c r="AE166" i="49"/>
  <c r="AD166" i="49"/>
  <c r="AC166" i="49"/>
  <c r="AB166" i="49"/>
  <c r="AA166" i="49"/>
  <c r="Z166" i="49"/>
  <c r="Z93" i="49" s="1"/>
  <c r="Y166" i="49"/>
  <c r="X166" i="49"/>
  <c r="W166" i="49"/>
  <c r="V166" i="49"/>
  <c r="AO165" i="49"/>
  <c r="AN165" i="49"/>
  <c r="AM165" i="49"/>
  <c r="AL165" i="49"/>
  <c r="AK165" i="49"/>
  <c r="AJ165" i="49"/>
  <c r="AI165" i="49"/>
  <c r="AH165" i="49"/>
  <c r="AG165" i="49"/>
  <c r="AF165" i="49"/>
  <c r="AE165" i="49"/>
  <c r="AD165" i="49"/>
  <c r="AC165" i="49"/>
  <c r="AB165" i="49"/>
  <c r="AB92" i="49" s="1"/>
  <c r="AE92" i="49" s="1"/>
  <c r="AA165" i="49"/>
  <c r="Z165" i="49"/>
  <c r="Y165" i="49"/>
  <c r="X165" i="49"/>
  <c r="W165" i="49"/>
  <c r="V165" i="49"/>
  <c r="V92" i="49" s="1"/>
  <c r="AO164" i="49"/>
  <c r="AN164" i="49"/>
  <c r="AM164" i="49"/>
  <c r="AL164" i="49"/>
  <c r="AK164" i="49"/>
  <c r="AJ164" i="49"/>
  <c r="AI164" i="49"/>
  <c r="AH164" i="49"/>
  <c r="AG164" i="49"/>
  <c r="AF164" i="49"/>
  <c r="AE164" i="49"/>
  <c r="AD164" i="49"/>
  <c r="AD91" i="49" s="1"/>
  <c r="AC164" i="49"/>
  <c r="AB164" i="49"/>
  <c r="AA164" i="49"/>
  <c r="Z164" i="49"/>
  <c r="Y164" i="49"/>
  <c r="X164" i="49"/>
  <c r="W164" i="49"/>
  <c r="V164" i="49"/>
  <c r="AO163" i="49"/>
  <c r="AN163" i="49"/>
  <c r="AM163" i="49"/>
  <c r="AL163" i="49"/>
  <c r="X90" i="49" s="1"/>
  <c r="AK163" i="49"/>
  <c r="AJ163" i="49"/>
  <c r="AI163" i="49"/>
  <c r="AH163" i="49"/>
  <c r="AG163" i="49"/>
  <c r="AF163" i="49"/>
  <c r="AE163" i="49"/>
  <c r="AD163" i="49"/>
  <c r="AC163" i="49"/>
  <c r="AB163" i="49"/>
  <c r="AA163" i="49"/>
  <c r="Z163" i="49"/>
  <c r="Y163" i="49"/>
  <c r="X163" i="49"/>
  <c r="W163" i="49"/>
  <c r="V163" i="49"/>
  <c r="AO162" i="49"/>
  <c r="AN162" i="49"/>
  <c r="AM162" i="49"/>
  <c r="AL162" i="49"/>
  <c r="AK162" i="49"/>
  <c r="AJ162" i="49"/>
  <c r="AI162" i="49"/>
  <c r="AH162" i="49"/>
  <c r="AG162" i="49"/>
  <c r="AF162" i="49"/>
  <c r="AE162" i="49"/>
  <c r="AD162" i="49"/>
  <c r="AC162" i="49"/>
  <c r="AB162" i="49"/>
  <c r="AB89" i="49" s="1"/>
  <c r="AE89" i="49" s="1"/>
  <c r="AA162" i="49"/>
  <c r="Z162" i="49"/>
  <c r="Y162" i="49"/>
  <c r="X162" i="49"/>
  <c r="W162" i="49"/>
  <c r="V162" i="49"/>
  <c r="V89" i="49" s="1"/>
  <c r="AO161" i="49"/>
  <c r="AN161" i="49"/>
  <c r="AM161" i="49"/>
  <c r="AL161" i="49"/>
  <c r="AK161" i="49"/>
  <c r="AJ161" i="49"/>
  <c r="AI161" i="49"/>
  <c r="AH161" i="49"/>
  <c r="AG161" i="49"/>
  <c r="AF161" i="49"/>
  <c r="AE161" i="49"/>
  <c r="AD161" i="49"/>
  <c r="AC161" i="49"/>
  <c r="AB161" i="49"/>
  <c r="AA161" i="49"/>
  <c r="Z161" i="49"/>
  <c r="Y161" i="49"/>
  <c r="X161" i="49"/>
  <c r="W161" i="49"/>
  <c r="V161" i="49"/>
  <c r="AO160" i="49"/>
  <c r="AN160" i="49"/>
  <c r="AM160" i="49"/>
  <c r="AL160" i="49"/>
  <c r="X87" i="49" s="1"/>
  <c r="AK160" i="49"/>
  <c r="AJ160" i="49"/>
  <c r="AI160" i="49"/>
  <c r="AH160" i="49"/>
  <c r="AG160" i="49"/>
  <c r="AF160" i="49"/>
  <c r="AE160" i="49"/>
  <c r="AD160" i="49"/>
  <c r="AC160" i="49"/>
  <c r="AB160" i="49"/>
  <c r="AA160" i="49"/>
  <c r="Z160" i="49"/>
  <c r="Z87" i="49" s="1"/>
  <c r="Y160" i="49"/>
  <c r="X160" i="49"/>
  <c r="W160" i="49"/>
  <c r="V160" i="49"/>
  <c r="AO159" i="49"/>
  <c r="AN159" i="49"/>
  <c r="AM159" i="49"/>
  <c r="AL159" i="49"/>
  <c r="AK159" i="49"/>
  <c r="AJ159" i="49"/>
  <c r="AI159" i="49"/>
  <c r="AH159" i="49"/>
  <c r="AG159" i="49"/>
  <c r="AF159" i="49"/>
  <c r="AE159" i="49"/>
  <c r="AD159" i="49"/>
  <c r="AC159" i="49"/>
  <c r="AB159" i="49"/>
  <c r="AA159" i="49"/>
  <c r="Z159" i="49"/>
  <c r="Y159" i="49"/>
  <c r="X159" i="49"/>
  <c r="W159" i="49"/>
  <c r="V159" i="49"/>
  <c r="AO158" i="49"/>
  <c r="AN158" i="49"/>
  <c r="AM158" i="49"/>
  <c r="AL158" i="49"/>
  <c r="AK158" i="49"/>
  <c r="AJ158" i="49"/>
  <c r="AI158" i="49"/>
  <c r="AH158" i="49"/>
  <c r="AG158" i="49"/>
  <c r="AF158" i="49"/>
  <c r="AE158" i="49"/>
  <c r="AD158" i="49"/>
  <c r="AC158" i="49"/>
  <c r="AB158" i="49"/>
  <c r="AA158" i="49"/>
  <c r="Z158" i="49"/>
  <c r="Y158" i="49"/>
  <c r="X158" i="49"/>
  <c r="W158" i="49"/>
  <c r="V158" i="49"/>
  <c r="AO157" i="49"/>
  <c r="AN157" i="49"/>
  <c r="AM157" i="49"/>
  <c r="AL157" i="49"/>
  <c r="AK157" i="49"/>
  <c r="AJ157" i="49"/>
  <c r="AI157" i="49"/>
  <c r="AH157" i="49"/>
  <c r="AG157" i="49"/>
  <c r="AF157" i="49"/>
  <c r="AE157" i="49"/>
  <c r="AD157" i="49"/>
  <c r="AC157" i="49"/>
  <c r="AB157" i="49"/>
  <c r="AA157" i="49"/>
  <c r="Z157" i="49"/>
  <c r="Y157" i="49"/>
  <c r="X157" i="49"/>
  <c r="W157" i="49"/>
  <c r="V157" i="49"/>
  <c r="AO156" i="49"/>
  <c r="AN156" i="49"/>
  <c r="AM156" i="49"/>
  <c r="AL156" i="49"/>
  <c r="AK156" i="49"/>
  <c r="AJ156" i="49"/>
  <c r="AI156" i="49"/>
  <c r="AH156" i="49"/>
  <c r="AG156" i="49"/>
  <c r="AF156" i="49"/>
  <c r="AE156" i="49"/>
  <c r="AD156" i="49"/>
  <c r="AC156" i="49"/>
  <c r="AB156" i="49"/>
  <c r="AA156" i="49"/>
  <c r="Z156" i="49"/>
  <c r="Y156" i="49"/>
  <c r="X156" i="49"/>
  <c r="W156" i="49"/>
  <c r="V156" i="49"/>
  <c r="AO155" i="49"/>
  <c r="AN155" i="49"/>
  <c r="AM155" i="49"/>
  <c r="AL155" i="49"/>
  <c r="AK155" i="49"/>
  <c r="AJ155" i="49"/>
  <c r="AI155" i="49"/>
  <c r="AH155" i="49"/>
  <c r="AG155" i="49"/>
  <c r="AF155" i="49"/>
  <c r="AE155" i="49"/>
  <c r="AD155" i="49"/>
  <c r="AC155" i="49"/>
  <c r="AB155" i="49"/>
  <c r="AA155" i="49"/>
  <c r="Z155" i="49"/>
  <c r="Y155" i="49"/>
  <c r="X155" i="49"/>
  <c r="W155" i="49"/>
  <c r="V155" i="49"/>
  <c r="AO154" i="49"/>
  <c r="AN154" i="49"/>
  <c r="AM154" i="49"/>
  <c r="AL154" i="49"/>
  <c r="AK154" i="49"/>
  <c r="AJ154" i="49"/>
  <c r="AI154" i="49"/>
  <c r="AH154" i="49"/>
  <c r="AG154" i="49"/>
  <c r="AF154" i="49"/>
  <c r="AE154" i="49"/>
  <c r="AD154" i="49"/>
  <c r="AC154" i="49"/>
  <c r="AB154" i="49"/>
  <c r="AA154" i="49"/>
  <c r="Z154" i="49"/>
  <c r="Y154" i="49"/>
  <c r="X154" i="49"/>
  <c r="W154" i="49"/>
  <c r="V154" i="49"/>
  <c r="AO153" i="49"/>
  <c r="AN153" i="49"/>
  <c r="AM153" i="49"/>
  <c r="AL153" i="49"/>
  <c r="AK153" i="49"/>
  <c r="AJ153" i="49"/>
  <c r="AI153" i="49"/>
  <c r="AH153" i="49"/>
  <c r="AG153" i="49"/>
  <c r="AF153" i="49"/>
  <c r="AE153" i="49"/>
  <c r="AD153" i="49"/>
  <c r="AC153" i="49"/>
  <c r="AB153" i="49"/>
  <c r="AA153" i="49"/>
  <c r="Z153" i="49"/>
  <c r="Y153" i="49"/>
  <c r="X153" i="49"/>
  <c r="W153" i="49"/>
  <c r="V153" i="49"/>
  <c r="AO152" i="49"/>
  <c r="AN152" i="49"/>
  <c r="AM152" i="49"/>
  <c r="AL152" i="49"/>
  <c r="AK152" i="49"/>
  <c r="AJ152" i="49"/>
  <c r="AI152" i="49"/>
  <c r="AH152" i="49"/>
  <c r="AG152" i="49"/>
  <c r="AF152" i="49"/>
  <c r="AE152" i="49"/>
  <c r="AD152" i="49"/>
  <c r="AC152" i="49"/>
  <c r="AB152" i="49"/>
  <c r="AA152" i="49"/>
  <c r="Z152" i="49"/>
  <c r="Y152" i="49"/>
  <c r="X152" i="49"/>
  <c r="W152" i="49"/>
  <c r="V152" i="49"/>
  <c r="AO151" i="49"/>
  <c r="AN151" i="49"/>
  <c r="AM151" i="49"/>
  <c r="AL151" i="49"/>
  <c r="AK151" i="49"/>
  <c r="AJ151" i="49"/>
  <c r="AI151" i="49"/>
  <c r="AH151" i="49"/>
  <c r="AG151" i="49"/>
  <c r="AF151" i="49"/>
  <c r="AE151" i="49"/>
  <c r="AD151" i="49"/>
  <c r="AC151" i="49"/>
  <c r="AB151" i="49"/>
  <c r="AA151" i="49"/>
  <c r="Z151" i="49"/>
  <c r="Y151" i="49"/>
  <c r="X151" i="49"/>
  <c r="W151" i="49"/>
  <c r="V151" i="49"/>
  <c r="AO150" i="49"/>
  <c r="AN150" i="49"/>
  <c r="AM150" i="49"/>
  <c r="AL150" i="49"/>
  <c r="AK150" i="49"/>
  <c r="AJ150" i="49"/>
  <c r="AI150" i="49"/>
  <c r="AH150" i="49"/>
  <c r="AG150" i="49"/>
  <c r="AF150" i="49"/>
  <c r="AE150" i="49"/>
  <c r="AD150" i="49"/>
  <c r="AC150" i="49"/>
  <c r="AB150" i="49"/>
  <c r="AA150" i="49"/>
  <c r="Z150" i="49"/>
  <c r="Y150" i="49"/>
  <c r="X150" i="49"/>
  <c r="W150" i="49"/>
  <c r="V150" i="49"/>
  <c r="AO149" i="49"/>
  <c r="AN149" i="49"/>
  <c r="AM149" i="49"/>
  <c r="AL149" i="49"/>
  <c r="AK149" i="49"/>
  <c r="AJ149" i="49"/>
  <c r="AI149" i="49"/>
  <c r="AH149" i="49"/>
  <c r="AG149" i="49"/>
  <c r="AF149" i="49"/>
  <c r="AE149" i="49"/>
  <c r="AD149" i="49"/>
  <c r="AC149" i="49"/>
  <c r="AB149" i="49"/>
  <c r="AA149" i="49"/>
  <c r="Z149" i="49"/>
  <c r="Y149" i="49"/>
  <c r="X149" i="49"/>
  <c r="W149" i="49"/>
  <c r="V149" i="49"/>
  <c r="AO148" i="49"/>
  <c r="AN148" i="49"/>
  <c r="AM148" i="49"/>
  <c r="AL148" i="49"/>
  <c r="AK148" i="49"/>
  <c r="AJ148" i="49"/>
  <c r="AI148" i="49"/>
  <c r="AH148" i="49"/>
  <c r="AG148" i="49"/>
  <c r="AF148" i="49"/>
  <c r="AE148" i="49"/>
  <c r="AD148" i="49"/>
  <c r="AC148" i="49"/>
  <c r="AB148" i="49"/>
  <c r="AA148" i="49"/>
  <c r="Z148" i="49"/>
  <c r="Y148" i="49"/>
  <c r="X148" i="49"/>
  <c r="W148" i="49"/>
  <c r="V148" i="49"/>
  <c r="AO147" i="49"/>
  <c r="AN147" i="49"/>
  <c r="AM147" i="49"/>
  <c r="AL147" i="49"/>
  <c r="AK147" i="49"/>
  <c r="AJ147" i="49"/>
  <c r="AI147" i="49"/>
  <c r="AH147" i="49"/>
  <c r="AG147" i="49"/>
  <c r="AF147" i="49"/>
  <c r="AE147" i="49"/>
  <c r="AD147" i="49"/>
  <c r="AC147" i="49"/>
  <c r="AB147" i="49"/>
  <c r="AA147" i="49"/>
  <c r="Z147" i="49"/>
  <c r="Y147" i="49"/>
  <c r="X147" i="49"/>
  <c r="W147" i="49"/>
  <c r="V147" i="49"/>
  <c r="AO146" i="49"/>
  <c r="AN146" i="49"/>
  <c r="AM146" i="49"/>
  <c r="AL146" i="49"/>
  <c r="AK146" i="49"/>
  <c r="AJ146" i="49"/>
  <c r="AI146" i="49"/>
  <c r="AH146" i="49"/>
  <c r="AG146" i="49"/>
  <c r="AF146" i="49"/>
  <c r="AE146" i="49"/>
  <c r="AD146" i="49"/>
  <c r="AC146" i="49"/>
  <c r="AB146" i="49"/>
  <c r="AA146" i="49"/>
  <c r="Z146" i="49"/>
  <c r="Y146" i="49"/>
  <c r="X146" i="49"/>
  <c r="W146" i="49"/>
  <c r="V146" i="49"/>
  <c r="AO145" i="49"/>
  <c r="AN145" i="49"/>
  <c r="AM145" i="49"/>
  <c r="AL145" i="49"/>
  <c r="AK145" i="49"/>
  <c r="AJ145" i="49"/>
  <c r="AI145" i="49"/>
  <c r="AH145" i="49"/>
  <c r="AG145" i="49"/>
  <c r="AF145" i="49"/>
  <c r="AE145" i="49"/>
  <c r="AD145" i="49"/>
  <c r="AC145" i="49"/>
  <c r="AB145" i="49"/>
  <c r="AA145" i="49"/>
  <c r="Z145" i="49"/>
  <c r="Y145" i="49"/>
  <c r="X145" i="49"/>
  <c r="W145" i="49"/>
  <c r="V145" i="49"/>
  <c r="AO144" i="49"/>
  <c r="AN144" i="49"/>
  <c r="AM144" i="49"/>
  <c r="AL144" i="49"/>
  <c r="AK144" i="49"/>
  <c r="AJ144" i="49"/>
  <c r="AI144" i="49"/>
  <c r="AH144" i="49"/>
  <c r="AG144" i="49"/>
  <c r="AF144" i="49"/>
  <c r="AE144" i="49"/>
  <c r="AD144" i="49"/>
  <c r="AC144" i="49"/>
  <c r="AB144" i="49"/>
  <c r="AA144" i="49"/>
  <c r="Z144" i="49"/>
  <c r="Y144" i="49"/>
  <c r="X144" i="49"/>
  <c r="W144" i="49"/>
  <c r="V144" i="49"/>
  <c r="AO143" i="49"/>
  <c r="AN143" i="49"/>
  <c r="AM143" i="49"/>
  <c r="AL143" i="49"/>
  <c r="AK143" i="49"/>
  <c r="AJ143" i="49"/>
  <c r="AI143" i="49"/>
  <c r="AH143" i="49"/>
  <c r="AG143" i="49"/>
  <c r="AF143" i="49"/>
  <c r="AE143" i="49"/>
  <c r="AD143" i="49"/>
  <c r="AC143" i="49"/>
  <c r="AB143" i="49"/>
  <c r="AA143" i="49"/>
  <c r="Z143" i="49"/>
  <c r="Y143" i="49"/>
  <c r="X143" i="49"/>
  <c r="W143" i="49"/>
  <c r="V143" i="49"/>
  <c r="AO142" i="49"/>
  <c r="AN142" i="49"/>
  <c r="AM142" i="49"/>
  <c r="AL142" i="49"/>
  <c r="AK142" i="49"/>
  <c r="AJ142" i="49"/>
  <c r="AI142" i="49"/>
  <c r="AH142" i="49"/>
  <c r="AG142" i="49"/>
  <c r="AF142" i="49"/>
  <c r="AE142" i="49"/>
  <c r="AD142" i="49"/>
  <c r="AC142" i="49"/>
  <c r="AB142" i="49"/>
  <c r="AA142" i="49"/>
  <c r="Z142" i="49"/>
  <c r="Y142" i="49"/>
  <c r="X142" i="49"/>
  <c r="W142" i="49"/>
  <c r="V142" i="49"/>
  <c r="AO141" i="49"/>
  <c r="AN141" i="49"/>
  <c r="AM141" i="49"/>
  <c r="AL141" i="49"/>
  <c r="AK141" i="49"/>
  <c r="AJ141" i="49"/>
  <c r="AI141" i="49"/>
  <c r="AH141" i="49"/>
  <c r="AG141" i="49"/>
  <c r="AF141" i="49"/>
  <c r="AE141" i="49"/>
  <c r="AD141" i="49"/>
  <c r="AC141" i="49"/>
  <c r="AB141" i="49"/>
  <c r="AA141" i="49"/>
  <c r="Z141" i="49"/>
  <c r="Y141" i="49"/>
  <c r="X141" i="49"/>
  <c r="W141" i="49"/>
  <c r="V141" i="49"/>
  <c r="AO140" i="49"/>
  <c r="AN140" i="49"/>
  <c r="AM140" i="49"/>
  <c r="AL140" i="49"/>
  <c r="AK140" i="49"/>
  <c r="AJ140" i="49"/>
  <c r="AI140" i="49"/>
  <c r="AH140" i="49"/>
  <c r="AG140" i="49"/>
  <c r="AF140" i="49"/>
  <c r="AE140" i="49"/>
  <c r="AD140" i="49"/>
  <c r="AC140" i="49"/>
  <c r="AB140" i="49"/>
  <c r="AA140" i="49"/>
  <c r="Z140" i="49"/>
  <c r="Y140" i="49"/>
  <c r="X140" i="49"/>
  <c r="W140" i="49"/>
  <c r="V140" i="49"/>
  <c r="AO139" i="49"/>
  <c r="AN139" i="49"/>
  <c r="AM139" i="49"/>
  <c r="AL139" i="49"/>
  <c r="AK139" i="49"/>
  <c r="AJ139" i="49"/>
  <c r="AI139" i="49"/>
  <c r="AH139" i="49"/>
  <c r="AG139" i="49"/>
  <c r="AF139" i="49"/>
  <c r="AE139" i="49"/>
  <c r="AD139" i="49"/>
  <c r="AC139" i="49"/>
  <c r="AB139" i="49"/>
  <c r="AA139" i="49"/>
  <c r="Z139" i="49"/>
  <c r="Y139" i="49"/>
  <c r="X139" i="49"/>
  <c r="W139" i="49"/>
  <c r="V139" i="49"/>
  <c r="AO138" i="49"/>
  <c r="AN138" i="49"/>
  <c r="AM138" i="49"/>
  <c r="AL138" i="49"/>
  <c r="AK138" i="49"/>
  <c r="AJ138" i="49"/>
  <c r="AI138" i="49"/>
  <c r="AH138" i="49"/>
  <c r="AG138" i="49"/>
  <c r="AF138" i="49"/>
  <c r="AE138" i="49"/>
  <c r="AD138" i="49"/>
  <c r="AC138" i="49"/>
  <c r="AB138" i="49"/>
  <c r="AA138" i="49"/>
  <c r="Z138" i="49"/>
  <c r="Y138" i="49"/>
  <c r="X138" i="49"/>
  <c r="W138" i="49"/>
  <c r="V138" i="49"/>
  <c r="AO137" i="49"/>
  <c r="AN137" i="49"/>
  <c r="AM137" i="49"/>
  <c r="AL137" i="49"/>
  <c r="AK137" i="49"/>
  <c r="AJ137" i="49"/>
  <c r="AI137" i="49"/>
  <c r="AH137" i="49"/>
  <c r="AG137" i="49"/>
  <c r="AF137" i="49"/>
  <c r="AE137" i="49"/>
  <c r="AD137" i="49"/>
  <c r="AC137" i="49"/>
  <c r="AB137" i="49"/>
  <c r="AA137" i="49"/>
  <c r="Z137" i="49"/>
  <c r="Y137" i="49"/>
  <c r="X137" i="49"/>
  <c r="W137" i="49"/>
  <c r="V137" i="49"/>
  <c r="AO136" i="49"/>
  <c r="AN136" i="49"/>
  <c r="AM136" i="49"/>
  <c r="AL136" i="49"/>
  <c r="AK136" i="49"/>
  <c r="AJ136" i="49"/>
  <c r="AI136" i="49"/>
  <c r="AH136" i="49"/>
  <c r="AG136" i="49"/>
  <c r="AF136" i="49"/>
  <c r="AE136" i="49"/>
  <c r="AD136" i="49"/>
  <c r="AC136" i="49"/>
  <c r="AB136" i="49"/>
  <c r="AA136" i="49"/>
  <c r="Z136" i="49"/>
  <c r="Y136" i="49"/>
  <c r="X136" i="49"/>
  <c r="W136" i="49"/>
  <c r="V136" i="49"/>
  <c r="AO135" i="49"/>
  <c r="AN135" i="49"/>
  <c r="AM135" i="49"/>
  <c r="AL135" i="49"/>
  <c r="AK135" i="49"/>
  <c r="AJ135" i="49"/>
  <c r="AI135" i="49"/>
  <c r="AH135" i="49"/>
  <c r="AG135" i="49"/>
  <c r="AF135" i="49"/>
  <c r="AE135" i="49"/>
  <c r="AD135" i="49"/>
  <c r="AC135" i="49"/>
  <c r="AB135" i="49"/>
  <c r="AA135" i="49"/>
  <c r="Z135" i="49"/>
  <c r="Y135" i="49"/>
  <c r="X135" i="49"/>
  <c r="W135" i="49"/>
  <c r="V135" i="49"/>
  <c r="AO134" i="49"/>
  <c r="AN134" i="49"/>
  <c r="AM134" i="49"/>
  <c r="AL134" i="49"/>
  <c r="AK134" i="49"/>
  <c r="AJ134" i="49"/>
  <c r="AI134" i="49"/>
  <c r="AH134" i="49"/>
  <c r="AG134" i="49"/>
  <c r="AF134" i="49"/>
  <c r="AE134" i="49"/>
  <c r="AD134" i="49"/>
  <c r="AC134" i="49"/>
  <c r="AB134" i="49"/>
  <c r="AA134" i="49"/>
  <c r="Z134" i="49"/>
  <c r="Y134" i="49"/>
  <c r="X134" i="49"/>
  <c r="W134" i="49"/>
  <c r="V134" i="49"/>
  <c r="AO133" i="49"/>
  <c r="AN133" i="49"/>
  <c r="AM133" i="49"/>
  <c r="AL133" i="49"/>
  <c r="AK133" i="49"/>
  <c r="AJ133" i="49"/>
  <c r="AI133" i="49"/>
  <c r="AH133" i="49"/>
  <c r="AG133" i="49"/>
  <c r="AF133" i="49"/>
  <c r="AE133" i="49"/>
  <c r="AD133" i="49"/>
  <c r="AC133" i="49"/>
  <c r="AB133" i="49"/>
  <c r="AA133" i="49"/>
  <c r="Z133" i="49"/>
  <c r="Y133" i="49"/>
  <c r="X133" i="49"/>
  <c r="W133" i="49"/>
  <c r="V133" i="49"/>
  <c r="AO132" i="49"/>
  <c r="AN132" i="49"/>
  <c r="AM132" i="49"/>
  <c r="AL132" i="49"/>
  <c r="AK132" i="49"/>
  <c r="AJ132" i="49"/>
  <c r="AI132" i="49"/>
  <c r="AH132" i="49"/>
  <c r="AG132" i="49"/>
  <c r="AF132" i="49"/>
  <c r="AE132" i="49"/>
  <c r="AD132" i="49"/>
  <c r="AC132" i="49"/>
  <c r="AB132" i="49"/>
  <c r="AA132" i="49"/>
  <c r="Z132" i="49"/>
  <c r="Y132" i="49"/>
  <c r="X132" i="49"/>
  <c r="W132" i="49"/>
  <c r="V132" i="49"/>
  <c r="AO131" i="49"/>
  <c r="AN131" i="49"/>
  <c r="AM131" i="49"/>
  <c r="AL131" i="49"/>
  <c r="AK131" i="49"/>
  <c r="AJ131" i="49"/>
  <c r="AI131" i="49"/>
  <c r="AH131" i="49"/>
  <c r="AG131" i="49"/>
  <c r="AF131" i="49"/>
  <c r="AE131" i="49"/>
  <c r="AD131" i="49"/>
  <c r="AC131" i="49"/>
  <c r="AB131" i="49"/>
  <c r="AA131" i="49"/>
  <c r="Z131" i="49"/>
  <c r="Y131" i="49"/>
  <c r="X131" i="49"/>
  <c r="W131" i="49"/>
  <c r="V131" i="49"/>
  <c r="AO130" i="49"/>
  <c r="AN130" i="49"/>
  <c r="AM130" i="49"/>
  <c r="AL130" i="49"/>
  <c r="AK130" i="49"/>
  <c r="AJ130" i="49"/>
  <c r="AI130" i="49"/>
  <c r="AH130" i="49"/>
  <c r="AG130" i="49"/>
  <c r="AF130" i="49"/>
  <c r="AE130" i="49"/>
  <c r="AD130" i="49"/>
  <c r="AC130" i="49"/>
  <c r="AB130" i="49"/>
  <c r="AA130" i="49"/>
  <c r="Z130" i="49"/>
  <c r="Y130" i="49"/>
  <c r="X130" i="49"/>
  <c r="W130" i="49"/>
  <c r="V130" i="49"/>
  <c r="AO129" i="49"/>
  <c r="AN129" i="49"/>
  <c r="AM129" i="49"/>
  <c r="AL129" i="49"/>
  <c r="AK129" i="49"/>
  <c r="AJ129" i="49"/>
  <c r="AI129" i="49"/>
  <c r="AH129" i="49"/>
  <c r="AG129" i="49"/>
  <c r="AF129" i="49"/>
  <c r="AE129" i="49"/>
  <c r="AD129" i="49"/>
  <c r="AC129" i="49"/>
  <c r="AB129" i="49"/>
  <c r="AA129" i="49"/>
  <c r="Z129" i="49"/>
  <c r="Y129" i="49"/>
  <c r="X129" i="49"/>
  <c r="W129" i="49"/>
  <c r="V129" i="49"/>
  <c r="AO128" i="49"/>
  <c r="AN128" i="49"/>
  <c r="AM128" i="49"/>
  <c r="AL128" i="49"/>
  <c r="AK128" i="49"/>
  <c r="AJ128" i="49"/>
  <c r="AI128" i="49"/>
  <c r="AH128" i="49"/>
  <c r="AG128" i="49"/>
  <c r="AF128" i="49"/>
  <c r="AE128" i="49"/>
  <c r="AD128" i="49"/>
  <c r="AC128" i="49"/>
  <c r="AB128" i="49"/>
  <c r="AA128" i="49"/>
  <c r="Z128" i="49"/>
  <c r="Y128" i="49"/>
  <c r="X128" i="49"/>
  <c r="W128" i="49"/>
  <c r="V128" i="49"/>
  <c r="AO127" i="49"/>
  <c r="AN127" i="49"/>
  <c r="AM127" i="49"/>
  <c r="AL127" i="49"/>
  <c r="AK127" i="49"/>
  <c r="AJ127" i="49"/>
  <c r="AI127" i="49"/>
  <c r="AH127" i="49"/>
  <c r="AG127" i="49"/>
  <c r="AF127" i="49"/>
  <c r="AE127" i="49"/>
  <c r="AD127" i="49"/>
  <c r="AC127" i="49"/>
  <c r="AB127" i="49"/>
  <c r="AA127" i="49"/>
  <c r="Z127" i="49"/>
  <c r="Y127" i="49"/>
  <c r="X127" i="49"/>
  <c r="W127" i="49"/>
  <c r="V127" i="49"/>
  <c r="AO126" i="49"/>
  <c r="AN126" i="49"/>
  <c r="AM126" i="49"/>
  <c r="AL126" i="49"/>
  <c r="AK126" i="49"/>
  <c r="AJ126" i="49"/>
  <c r="AI126" i="49"/>
  <c r="AH126" i="49"/>
  <c r="AG126" i="49"/>
  <c r="AF126" i="49"/>
  <c r="AE126" i="49"/>
  <c r="AD126" i="49"/>
  <c r="AC126" i="49"/>
  <c r="AB126" i="49"/>
  <c r="AA126" i="49"/>
  <c r="Z126" i="49"/>
  <c r="Y126" i="49"/>
  <c r="X126" i="49"/>
  <c r="W126" i="49"/>
  <c r="V126" i="49"/>
  <c r="AO125" i="49"/>
  <c r="AN125" i="49"/>
  <c r="AM125" i="49"/>
  <c r="AL125" i="49"/>
  <c r="AK125" i="49"/>
  <c r="AJ125" i="49"/>
  <c r="AI125" i="49"/>
  <c r="AH125" i="49"/>
  <c r="AG125" i="49"/>
  <c r="AF125" i="49"/>
  <c r="AE125" i="49"/>
  <c r="AD125" i="49"/>
  <c r="AC125" i="49"/>
  <c r="AB125" i="49"/>
  <c r="AA125" i="49"/>
  <c r="Z125" i="49"/>
  <c r="Y125" i="49"/>
  <c r="X125" i="49"/>
  <c r="W125" i="49"/>
  <c r="V125" i="49"/>
  <c r="AO124" i="49"/>
  <c r="AN124" i="49"/>
  <c r="AM124" i="49"/>
  <c r="AL124" i="49"/>
  <c r="AK124" i="49"/>
  <c r="AJ124" i="49"/>
  <c r="AI124" i="49"/>
  <c r="AH124" i="49"/>
  <c r="AG124" i="49"/>
  <c r="AF124" i="49"/>
  <c r="AE124" i="49"/>
  <c r="AD124" i="49"/>
  <c r="AC124" i="49"/>
  <c r="AB124" i="49"/>
  <c r="AA124" i="49"/>
  <c r="Z124" i="49"/>
  <c r="Y124" i="49"/>
  <c r="X124" i="49"/>
  <c r="W124" i="49"/>
  <c r="V124" i="49"/>
  <c r="AO123" i="49"/>
  <c r="AN123" i="49"/>
  <c r="AM123" i="49"/>
  <c r="AL123" i="49"/>
  <c r="AK123" i="49"/>
  <c r="AJ123" i="49"/>
  <c r="AI123" i="49"/>
  <c r="AH123" i="49"/>
  <c r="AG123" i="49"/>
  <c r="AF123" i="49"/>
  <c r="AE123" i="49"/>
  <c r="AD123" i="49"/>
  <c r="AC123" i="49"/>
  <c r="AB123" i="49"/>
  <c r="AA123" i="49"/>
  <c r="Z123" i="49"/>
  <c r="Y123" i="49"/>
  <c r="X123" i="49"/>
  <c r="W123" i="49"/>
  <c r="V123" i="49"/>
  <c r="AO122" i="49"/>
  <c r="AN122" i="49"/>
  <c r="AM122" i="49"/>
  <c r="AL122" i="49"/>
  <c r="AK122" i="49"/>
  <c r="AJ122" i="49"/>
  <c r="AI122" i="49"/>
  <c r="AH122" i="49"/>
  <c r="AG122" i="49"/>
  <c r="AF122" i="49"/>
  <c r="AE122" i="49"/>
  <c r="AD122" i="49"/>
  <c r="AC122" i="49"/>
  <c r="AB122" i="49"/>
  <c r="AA122" i="49"/>
  <c r="Z122" i="49"/>
  <c r="Y122" i="49"/>
  <c r="X122" i="49"/>
  <c r="W122" i="49"/>
  <c r="V122" i="49"/>
  <c r="AO121" i="49"/>
  <c r="AN121" i="49"/>
  <c r="AM121" i="49"/>
  <c r="AL121" i="49"/>
  <c r="AK121" i="49"/>
  <c r="AJ121" i="49"/>
  <c r="AI121" i="49"/>
  <c r="AH121" i="49"/>
  <c r="AG121" i="49"/>
  <c r="AF121" i="49"/>
  <c r="AE121" i="49"/>
  <c r="AD121" i="49"/>
  <c r="AC121" i="49"/>
  <c r="AB121" i="49"/>
  <c r="AA121" i="49"/>
  <c r="Z121" i="49"/>
  <c r="Y121" i="49"/>
  <c r="X121" i="49"/>
  <c r="W121" i="49"/>
  <c r="V121" i="49"/>
  <c r="AO120" i="49"/>
  <c r="AN120" i="49"/>
  <c r="AM120" i="49"/>
  <c r="AL120" i="49"/>
  <c r="AK120" i="49"/>
  <c r="AJ120" i="49"/>
  <c r="AI120" i="49"/>
  <c r="AH120" i="49"/>
  <c r="AG120" i="49"/>
  <c r="AF120" i="49"/>
  <c r="AE120" i="49"/>
  <c r="AD120" i="49"/>
  <c r="AC120" i="49"/>
  <c r="AB120" i="49"/>
  <c r="AA120" i="49"/>
  <c r="Z120" i="49"/>
  <c r="Y120" i="49"/>
  <c r="X120" i="49"/>
  <c r="W120" i="49"/>
  <c r="V120" i="49"/>
  <c r="AO119" i="49"/>
  <c r="AN119" i="49"/>
  <c r="AM119" i="49"/>
  <c r="AL119" i="49"/>
  <c r="AK119" i="49"/>
  <c r="AJ119" i="49"/>
  <c r="AI119" i="49"/>
  <c r="AH119" i="49"/>
  <c r="AG119" i="49"/>
  <c r="AF119" i="49"/>
  <c r="AE119" i="49"/>
  <c r="AD119" i="49"/>
  <c r="AC119" i="49"/>
  <c r="AB119" i="49"/>
  <c r="AA119" i="49"/>
  <c r="Z119" i="49"/>
  <c r="Y119" i="49"/>
  <c r="X119" i="49"/>
  <c r="W119" i="49"/>
  <c r="V119" i="49"/>
  <c r="AO118" i="49"/>
  <c r="AN118" i="49"/>
  <c r="AM118" i="49"/>
  <c r="AL118" i="49"/>
  <c r="AK118" i="49"/>
  <c r="AJ118" i="49"/>
  <c r="AI118" i="49"/>
  <c r="AH118" i="49"/>
  <c r="AG118" i="49"/>
  <c r="AF118" i="49"/>
  <c r="AE118" i="49"/>
  <c r="AD118" i="49"/>
  <c r="AC118" i="49"/>
  <c r="AB118" i="49"/>
  <c r="AA118" i="49"/>
  <c r="Z118" i="49"/>
  <c r="Y118" i="49"/>
  <c r="X118" i="49"/>
  <c r="W118" i="49"/>
  <c r="V118" i="49"/>
  <c r="AO117" i="49"/>
  <c r="AN117" i="49"/>
  <c r="AM117" i="49"/>
  <c r="AL117" i="49"/>
  <c r="AK117" i="49"/>
  <c r="AJ117" i="49"/>
  <c r="AI117" i="49"/>
  <c r="AH117" i="49"/>
  <c r="AG117" i="49"/>
  <c r="AF117" i="49"/>
  <c r="AE117" i="49"/>
  <c r="AD117" i="49"/>
  <c r="AC117" i="49"/>
  <c r="AB117" i="49"/>
  <c r="AA117" i="49"/>
  <c r="Z117" i="49"/>
  <c r="Y117" i="49"/>
  <c r="X117" i="49"/>
  <c r="W117" i="49"/>
  <c r="V117" i="49"/>
  <c r="AO116" i="49"/>
  <c r="AN116" i="49"/>
  <c r="AM116" i="49"/>
  <c r="AL116" i="49"/>
  <c r="AK116" i="49"/>
  <c r="AJ116" i="49"/>
  <c r="AI116" i="49"/>
  <c r="AH116" i="49"/>
  <c r="AG116" i="49"/>
  <c r="AF116" i="49"/>
  <c r="AE116" i="49"/>
  <c r="AD116" i="49"/>
  <c r="AC116" i="49"/>
  <c r="AB116" i="49"/>
  <c r="AA116" i="49"/>
  <c r="Z116" i="49"/>
  <c r="Y116" i="49"/>
  <c r="X116" i="49"/>
  <c r="W116" i="49"/>
  <c r="V116" i="49"/>
  <c r="AO115" i="49"/>
  <c r="AN115" i="49"/>
  <c r="AM115" i="49"/>
  <c r="AL115" i="49"/>
  <c r="AK115" i="49"/>
  <c r="AJ115" i="49"/>
  <c r="AI115" i="49"/>
  <c r="AH115" i="49"/>
  <c r="AG115" i="49"/>
  <c r="AF115" i="49"/>
  <c r="AE115" i="49"/>
  <c r="AD115" i="49"/>
  <c r="AC115" i="49"/>
  <c r="AB115" i="49"/>
  <c r="AA115" i="49"/>
  <c r="Z115" i="49"/>
  <c r="Y115" i="49"/>
  <c r="X115" i="49"/>
  <c r="W115" i="49"/>
  <c r="V115" i="49"/>
  <c r="AO114" i="49"/>
  <c r="AN114" i="49"/>
  <c r="AM114" i="49"/>
  <c r="AL114" i="49"/>
  <c r="AK114" i="49"/>
  <c r="AJ114" i="49"/>
  <c r="AI114" i="49"/>
  <c r="AH114" i="49"/>
  <c r="AG114" i="49"/>
  <c r="AF114" i="49"/>
  <c r="AE114" i="49"/>
  <c r="AD114" i="49"/>
  <c r="AC114" i="49"/>
  <c r="AB114" i="49"/>
  <c r="AA114" i="49"/>
  <c r="Z114" i="49"/>
  <c r="Y114" i="49"/>
  <c r="X114" i="49"/>
  <c r="W114" i="49"/>
  <c r="V114" i="49"/>
  <c r="AO113" i="49"/>
  <c r="AN113" i="49"/>
  <c r="AM113" i="49"/>
  <c r="AL113" i="49"/>
  <c r="AK113" i="49"/>
  <c r="AJ113" i="49"/>
  <c r="AI113" i="49"/>
  <c r="AH113" i="49"/>
  <c r="AG113" i="49"/>
  <c r="AF113" i="49"/>
  <c r="AE113" i="49"/>
  <c r="AD113" i="49"/>
  <c r="AC113" i="49"/>
  <c r="AB113" i="49"/>
  <c r="AA113" i="49"/>
  <c r="Z113" i="49"/>
  <c r="Y113" i="49"/>
  <c r="X113" i="49"/>
  <c r="W113" i="49"/>
  <c r="V113" i="49"/>
  <c r="AO112" i="49"/>
  <c r="AN112" i="49"/>
  <c r="AM112" i="49"/>
  <c r="AL112" i="49"/>
  <c r="AK112" i="49"/>
  <c r="AJ112" i="49"/>
  <c r="AI112" i="49"/>
  <c r="AH112" i="49"/>
  <c r="AG112" i="49"/>
  <c r="AF112" i="49"/>
  <c r="AE112" i="49"/>
  <c r="AD112" i="49"/>
  <c r="AC112" i="49"/>
  <c r="AB112" i="49"/>
  <c r="AA112" i="49"/>
  <c r="Z112" i="49"/>
  <c r="Y112" i="49"/>
  <c r="X112" i="49"/>
  <c r="W112" i="49"/>
  <c r="V112" i="49"/>
  <c r="AO111" i="49"/>
  <c r="AN111" i="49"/>
  <c r="AM111" i="49"/>
  <c r="AL111" i="49"/>
  <c r="AK111" i="49"/>
  <c r="AJ111" i="49"/>
  <c r="AI111" i="49"/>
  <c r="AH111" i="49"/>
  <c r="AG111" i="49"/>
  <c r="AF111" i="49"/>
  <c r="AE111" i="49"/>
  <c r="AD111" i="49"/>
  <c r="AC111" i="49"/>
  <c r="AB111" i="49"/>
  <c r="AA111" i="49"/>
  <c r="Z111" i="49"/>
  <c r="Y111" i="49"/>
  <c r="X111" i="49"/>
  <c r="W111" i="49"/>
  <c r="V111" i="49"/>
  <c r="AO110" i="49"/>
  <c r="AN110" i="49"/>
  <c r="AM110" i="49"/>
  <c r="AL110" i="49"/>
  <c r="AK110" i="49"/>
  <c r="AJ110" i="49"/>
  <c r="AI110" i="49"/>
  <c r="AH110" i="49"/>
  <c r="AG110" i="49"/>
  <c r="AF110" i="49"/>
  <c r="AE110" i="49"/>
  <c r="AD110" i="49"/>
  <c r="AC110" i="49"/>
  <c r="AB110" i="49"/>
  <c r="AA110" i="49"/>
  <c r="Z110" i="49"/>
  <c r="Y110" i="49"/>
  <c r="X110" i="49"/>
  <c r="W110" i="49"/>
  <c r="V110" i="49"/>
  <c r="AO109" i="49"/>
  <c r="AN109" i="49"/>
  <c r="AM109" i="49"/>
  <c r="AL109" i="49"/>
  <c r="AK109" i="49"/>
  <c r="AJ109" i="49"/>
  <c r="AI109" i="49"/>
  <c r="AH109" i="49"/>
  <c r="AG109" i="49"/>
  <c r="AF109" i="49"/>
  <c r="AE109" i="49"/>
  <c r="AD109" i="49"/>
  <c r="AC109" i="49"/>
  <c r="AB109" i="49"/>
  <c r="AA109" i="49"/>
  <c r="Z109" i="49"/>
  <c r="Y109" i="49"/>
  <c r="X109" i="49"/>
  <c r="W109" i="49"/>
  <c r="V109" i="49"/>
  <c r="AO108" i="49"/>
  <c r="AN108" i="49"/>
  <c r="AM108" i="49"/>
  <c r="AL108" i="49"/>
  <c r="AK108" i="49"/>
  <c r="AJ108" i="49"/>
  <c r="AI108" i="49"/>
  <c r="AH108" i="49"/>
  <c r="AG108" i="49"/>
  <c r="AF108" i="49"/>
  <c r="AE108" i="49"/>
  <c r="AD108" i="49"/>
  <c r="AC108" i="49"/>
  <c r="AB108" i="49"/>
  <c r="AA108" i="49"/>
  <c r="Z108" i="49"/>
  <c r="Y108" i="49"/>
  <c r="X108" i="49"/>
  <c r="W108" i="49"/>
  <c r="V108" i="49"/>
  <c r="AO107" i="49"/>
  <c r="AN107" i="49"/>
  <c r="AM107" i="49"/>
  <c r="AL107" i="49"/>
  <c r="AK107" i="49"/>
  <c r="AJ107" i="49"/>
  <c r="AI107" i="49"/>
  <c r="AH107" i="49"/>
  <c r="AG107" i="49"/>
  <c r="AF107" i="49"/>
  <c r="AE107" i="49"/>
  <c r="AD107" i="49"/>
  <c r="AC107" i="49"/>
  <c r="AB107" i="49"/>
  <c r="AA107" i="49"/>
  <c r="Z107" i="49"/>
  <c r="Y107" i="49"/>
  <c r="X107" i="49"/>
  <c r="W107" i="49"/>
  <c r="V107" i="49"/>
  <c r="AO106" i="49"/>
  <c r="AN106" i="49"/>
  <c r="AM106" i="49"/>
  <c r="AL106" i="49"/>
  <c r="AK106" i="49"/>
  <c r="AJ106" i="49"/>
  <c r="AI106" i="49"/>
  <c r="AH106" i="49"/>
  <c r="AG106" i="49"/>
  <c r="AF106" i="49"/>
  <c r="AE106" i="49"/>
  <c r="AD106" i="49"/>
  <c r="AC106" i="49"/>
  <c r="AB106" i="49"/>
  <c r="AA106" i="49"/>
  <c r="Z106" i="49"/>
  <c r="Y106" i="49"/>
  <c r="X106" i="49"/>
  <c r="W106" i="49"/>
  <c r="V106" i="49"/>
  <c r="AO105" i="49"/>
  <c r="AN105" i="49"/>
  <c r="AM105" i="49"/>
  <c r="AL105" i="49"/>
  <c r="AK105" i="49"/>
  <c r="AJ105" i="49"/>
  <c r="AI105" i="49"/>
  <c r="AH105" i="49"/>
  <c r="AG105" i="49"/>
  <c r="AF105" i="49"/>
  <c r="AE105" i="49"/>
  <c r="AD105" i="49"/>
  <c r="AC105" i="49"/>
  <c r="AB105" i="49"/>
  <c r="AA105" i="49"/>
  <c r="Z105" i="49"/>
  <c r="Y105" i="49"/>
  <c r="X105" i="49"/>
  <c r="W105" i="49"/>
  <c r="V105" i="49"/>
  <c r="AO104" i="49"/>
  <c r="AN104" i="49"/>
  <c r="AM104" i="49"/>
  <c r="AL104" i="49"/>
  <c r="AK104" i="49"/>
  <c r="AJ104" i="49"/>
  <c r="AI104" i="49"/>
  <c r="AH104" i="49"/>
  <c r="AG104" i="49"/>
  <c r="AF104" i="49"/>
  <c r="AE104" i="49"/>
  <c r="AD104" i="49"/>
  <c r="AC104" i="49"/>
  <c r="AB104" i="49"/>
  <c r="AA104" i="49"/>
  <c r="Z104" i="49"/>
  <c r="Y104" i="49"/>
  <c r="X104" i="49"/>
  <c r="W104" i="49"/>
  <c r="V104" i="49"/>
  <c r="AO103" i="49"/>
  <c r="AN103" i="49"/>
  <c r="AM103" i="49"/>
  <c r="AL103" i="49"/>
  <c r="AK103" i="49"/>
  <c r="AJ103" i="49"/>
  <c r="AI103" i="49"/>
  <c r="AH103" i="49"/>
  <c r="AG103" i="49"/>
  <c r="AF103" i="49"/>
  <c r="AE103" i="49"/>
  <c r="AD103" i="49"/>
  <c r="AC103" i="49"/>
  <c r="AB103" i="49"/>
  <c r="AA103" i="49"/>
  <c r="Z103" i="49"/>
  <c r="Y103" i="49"/>
  <c r="X103" i="49"/>
  <c r="W103" i="49"/>
  <c r="V103" i="49"/>
  <c r="AO102" i="49"/>
  <c r="AN102" i="49"/>
  <c r="AM102" i="49"/>
  <c r="AL102" i="49"/>
  <c r="AK102" i="49"/>
  <c r="AJ102" i="49"/>
  <c r="AI102" i="49"/>
  <c r="AH102" i="49"/>
  <c r="AG102" i="49"/>
  <c r="AF102" i="49"/>
  <c r="AE102" i="49"/>
  <c r="AD102" i="49"/>
  <c r="AC102" i="49"/>
  <c r="AB102" i="49"/>
  <c r="AA102" i="49"/>
  <c r="Z102" i="49"/>
  <c r="Y102" i="49"/>
  <c r="X102" i="49"/>
  <c r="W102" i="49"/>
  <c r="V102" i="49"/>
  <c r="AO101" i="49"/>
  <c r="AN101" i="49"/>
  <c r="AM101" i="49"/>
  <c r="AL101" i="49"/>
  <c r="AK101" i="49"/>
  <c r="AJ101" i="49"/>
  <c r="AI101" i="49"/>
  <c r="AH101" i="49"/>
  <c r="AG101" i="49"/>
  <c r="AF101" i="49"/>
  <c r="AE101" i="49"/>
  <c r="AD101" i="49"/>
  <c r="AC101" i="49"/>
  <c r="AB101" i="49"/>
  <c r="AA101" i="49"/>
  <c r="Z101" i="49"/>
  <c r="Y101" i="49"/>
  <c r="X101" i="49"/>
  <c r="W101" i="49"/>
  <c r="V101" i="49"/>
  <c r="AO100" i="49"/>
  <c r="AN100" i="49"/>
  <c r="AM100" i="49"/>
  <c r="AL100" i="49"/>
  <c r="AK100" i="49"/>
  <c r="AJ100" i="49"/>
  <c r="AI100" i="49"/>
  <c r="AH100" i="49"/>
  <c r="AG100" i="49"/>
  <c r="AF100" i="49"/>
  <c r="AE100" i="49"/>
  <c r="AD100" i="49"/>
  <c r="AC100" i="49"/>
  <c r="AB100" i="49"/>
  <c r="AA100" i="49"/>
  <c r="Z100" i="49"/>
  <c r="Y100" i="49"/>
  <c r="X100" i="49"/>
  <c r="W100" i="49"/>
  <c r="V100" i="49"/>
  <c r="AV95" i="49"/>
  <c r="AD95" i="49"/>
  <c r="AC95" i="49"/>
  <c r="AA95" i="49"/>
  <c r="Z95" i="49"/>
  <c r="Y95" i="49"/>
  <c r="X95" i="49"/>
  <c r="W95" i="49"/>
  <c r="AV94" i="49"/>
  <c r="AC94" i="49"/>
  <c r="AB94" i="49"/>
  <c r="AA94" i="49"/>
  <c r="Z94" i="49"/>
  <c r="Y94" i="49"/>
  <c r="X94" i="49"/>
  <c r="W94" i="49"/>
  <c r="V94" i="49"/>
  <c r="AV93" i="49"/>
  <c r="AE93" i="49"/>
  <c r="AD93" i="49"/>
  <c r="AC93" i="49"/>
  <c r="AB93" i="49"/>
  <c r="AA93" i="49"/>
  <c r="Y93" i="49"/>
  <c r="W93" i="49"/>
  <c r="V93" i="49"/>
  <c r="AV92" i="49"/>
  <c r="AD92" i="49"/>
  <c r="AC92" i="49"/>
  <c r="AA92" i="49"/>
  <c r="Z92" i="49"/>
  <c r="Y92" i="49"/>
  <c r="X92" i="49"/>
  <c r="W92" i="49"/>
  <c r="AV91" i="49"/>
  <c r="AC91" i="49"/>
  <c r="AB91" i="49"/>
  <c r="AA91" i="49"/>
  <c r="Z91" i="49"/>
  <c r="Y91" i="49"/>
  <c r="X91" i="49"/>
  <c r="W91" i="49"/>
  <c r="V91" i="49"/>
  <c r="AV90" i="49"/>
  <c r="AD90" i="49"/>
  <c r="AC90" i="49"/>
  <c r="AB90" i="49"/>
  <c r="AE90" i="49" s="1"/>
  <c r="AA90" i="49"/>
  <c r="Z90" i="49"/>
  <c r="Y90" i="49"/>
  <c r="W90" i="49"/>
  <c r="V90" i="49"/>
  <c r="AV89" i="49"/>
  <c r="AD89" i="49"/>
  <c r="AC89" i="49"/>
  <c r="AA89" i="49"/>
  <c r="Z89" i="49"/>
  <c r="Y89" i="49"/>
  <c r="X89" i="49"/>
  <c r="W89" i="49"/>
  <c r="AV88" i="49"/>
  <c r="AD88" i="49"/>
  <c r="AC88" i="49"/>
  <c r="AB88" i="49"/>
  <c r="AE88" i="49" s="1"/>
  <c r="AA88" i="49"/>
  <c r="Z88" i="49"/>
  <c r="Y88" i="49"/>
  <c r="X88" i="49"/>
  <c r="W88" i="49"/>
  <c r="V88" i="49"/>
  <c r="AV87" i="49"/>
  <c r="AE87" i="49"/>
  <c r="AD87" i="49"/>
  <c r="AC87" i="49"/>
  <c r="AB87" i="49"/>
  <c r="AA87" i="49"/>
  <c r="Y87" i="49"/>
  <c r="W87" i="49"/>
  <c r="V87" i="49"/>
  <c r="AV86" i="49"/>
  <c r="AV85" i="49"/>
  <c r="AV84" i="49"/>
  <c r="AV83" i="49"/>
  <c r="AV82" i="49"/>
  <c r="Z82" i="49"/>
  <c r="Y82" i="49"/>
  <c r="X82" i="49"/>
  <c r="W82" i="49"/>
  <c r="V82" i="49"/>
  <c r="AV81" i="49"/>
  <c r="Z81" i="49"/>
  <c r="Y81" i="49"/>
  <c r="X81" i="49"/>
  <c r="W81" i="49"/>
  <c r="V81" i="49"/>
  <c r="AV80" i="49"/>
  <c r="Z80" i="49"/>
  <c r="Y80" i="49"/>
  <c r="X80" i="49"/>
  <c r="W80" i="49"/>
  <c r="V80" i="49"/>
  <c r="AV79" i="49"/>
  <c r="Z79" i="49"/>
  <c r="Y79" i="49"/>
  <c r="X79" i="49"/>
  <c r="W79" i="49"/>
  <c r="V79" i="49"/>
  <c r="AV78" i="49"/>
  <c r="Z78" i="49"/>
  <c r="Y78" i="49"/>
  <c r="X78" i="49"/>
  <c r="W78" i="49"/>
  <c r="V78" i="49"/>
  <c r="AV77" i="49"/>
  <c r="Z77" i="49"/>
  <c r="Y77" i="49"/>
  <c r="X77" i="49"/>
  <c r="W77" i="49"/>
  <c r="V77" i="49"/>
  <c r="AV76" i="49"/>
  <c r="Z76" i="49"/>
  <c r="Y76" i="49"/>
  <c r="X76" i="49"/>
  <c r="W76" i="49"/>
  <c r="V76" i="49"/>
  <c r="AV75" i="49"/>
  <c r="Z75" i="49"/>
  <c r="Y75" i="49"/>
  <c r="X75" i="49"/>
  <c r="W75" i="49"/>
  <c r="V75" i="49"/>
  <c r="AV74" i="49"/>
  <c r="Z74" i="49"/>
  <c r="Y74" i="49"/>
  <c r="X74" i="49"/>
  <c r="W74" i="49"/>
  <c r="V74" i="49"/>
  <c r="AV73" i="49"/>
  <c r="Z73" i="49"/>
  <c r="Y73" i="49"/>
  <c r="X73" i="49"/>
  <c r="W73" i="49"/>
  <c r="V73" i="49"/>
  <c r="AV72" i="49"/>
  <c r="AV71" i="49"/>
  <c r="AV70" i="49"/>
  <c r="AV69" i="49"/>
  <c r="AV68" i="49"/>
  <c r="AA68" i="49"/>
  <c r="Z68" i="49"/>
  <c r="Y68" i="49"/>
  <c r="X68" i="49"/>
  <c r="W68" i="49"/>
  <c r="V68" i="49"/>
  <c r="AV67" i="49"/>
  <c r="AA67" i="49"/>
  <c r="Z67" i="49"/>
  <c r="Y67" i="49"/>
  <c r="X67" i="49"/>
  <c r="W67" i="49"/>
  <c r="V67" i="49"/>
  <c r="AV66" i="49"/>
  <c r="AA66" i="49"/>
  <c r="Z66" i="49"/>
  <c r="Y66" i="49"/>
  <c r="X66" i="49"/>
  <c r="W66" i="49"/>
  <c r="V66" i="49"/>
  <c r="AV65" i="49"/>
  <c r="AA65" i="49"/>
  <c r="Z65" i="49"/>
  <c r="Y65" i="49"/>
  <c r="X65" i="49"/>
  <c r="W65" i="49"/>
  <c r="V65" i="49"/>
  <c r="AV64" i="49"/>
  <c r="AA64" i="49"/>
  <c r="Z64" i="49"/>
  <c r="Y64" i="49"/>
  <c r="X64" i="49"/>
  <c r="W64" i="49"/>
  <c r="V64" i="49"/>
  <c r="AV63" i="49"/>
  <c r="AA63" i="49"/>
  <c r="Z63" i="49"/>
  <c r="Y63" i="49"/>
  <c r="X63" i="49"/>
  <c r="W63" i="49"/>
  <c r="V63" i="49"/>
  <c r="AV62" i="49"/>
  <c r="AA62" i="49"/>
  <c r="Z62" i="49"/>
  <c r="Y62" i="49"/>
  <c r="X62" i="49"/>
  <c r="W62" i="49"/>
  <c r="V62" i="49"/>
  <c r="AV61" i="49"/>
  <c r="AA61" i="49"/>
  <c r="Z61" i="49"/>
  <c r="Y61" i="49"/>
  <c r="X61" i="49"/>
  <c r="W61" i="49"/>
  <c r="V61" i="49"/>
  <c r="AV60" i="49"/>
  <c r="AA60" i="49"/>
  <c r="Z60" i="49"/>
  <c r="Y60" i="49"/>
  <c r="X60" i="49"/>
  <c r="W60" i="49"/>
  <c r="V60" i="49"/>
  <c r="AV59" i="49"/>
  <c r="AQ59" i="49"/>
  <c r="E40" i="49" s="1"/>
  <c r="AA59" i="49"/>
  <c r="Z59" i="49"/>
  <c r="Y59" i="49"/>
  <c r="X59" i="49"/>
  <c r="W59" i="49"/>
  <c r="V59" i="49"/>
  <c r="B59" i="49"/>
  <c r="AV58" i="49"/>
  <c r="AQ58" i="49"/>
  <c r="AA58" i="49"/>
  <c r="V50" i="49" s="1"/>
  <c r="Z58" i="49"/>
  <c r="Y58" i="49"/>
  <c r="X58" i="49"/>
  <c r="W58" i="49"/>
  <c r="V58" i="49"/>
  <c r="B58" i="49"/>
  <c r="AV57" i="49"/>
  <c r="AA57" i="49"/>
  <c r="Z57" i="49"/>
  <c r="Y57" i="49"/>
  <c r="X57" i="49"/>
  <c r="W57" i="49"/>
  <c r="V57" i="49"/>
  <c r="V49" i="49" s="1"/>
  <c r="B57" i="49"/>
  <c r="AV56" i="49"/>
  <c r="AA56" i="49"/>
  <c r="Z56" i="49"/>
  <c r="Y56" i="49"/>
  <c r="X56" i="49"/>
  <c r="W56" i="49"/>
  <c r="V56" i="49"/>
  <c r="B56" i="49"/>
  <c r="AV55" i="49"/>
  <c r="B55" i="49"/>
  <c r="AV54" i="49"/>
  <c r="AV53" i="49"/>
  <c r="AV52" i="49"/>
  <c r="AV51" i="49"/>
  <c r="B48" i="49"/>
  <c r="AQ35" i="49" s="1"/>
  <c r="B47" i="49"/>
  <c r="AP44" i="49"/>
  <c r="AP43" i="49"/>
  <c r="AP42" i="49"/>
  <c r="AP41" i="49"/>
  <c r="AP40" i="49"/>
  <c r="B40" i="49"/>
  <c r="AL35" i="49"/>
  <c r="AG35" i="49"/>
  <c r="Q35" i="49"/>
  <c r="P35" i="49"/>
  <c r="E18" i="49" s="1"/>
  <c r="D35" i="49"/>
  <c r="B35" i="49"/>
  <c r="AQ34" i="49"/>
  <c r="AL34" i="49"/>
  <c r="AG34" i="49"/>
  <c r="J34" i="49"/>
  <c r="J35" i="49" s="1"/>
  <c r="AL33" i="49"/>
  <c r="AG33" i="49"/>
  <c r="AL32" i="49"/>
  <c r="AG32" i="49"/>
  <c r="U32" i="49"/>
  <c r="AL31" i="49"/>
  <c r="AG31" i="49"/>
  <c r="AL30" i="49"/>
  <c r="AG30" i="49"/>
  <c r="AL29" i="49"/>
  <c r="AG29" i="49"/>
  <c r="B29" i="49"/>
  <c r="AL28" i="49"/>
  <c r="AG28" i="49"/>
  <c r="AQ27" i="49"/>
  <c r="AL27" i="49"/>
  <c r="AG27" i="49"/>
  <c r="B27" i="49"/>
  <c r="P25" i="49"/>
  <c r="P24" i="49"/>
  <c r="G20" i="49" s="1"/>
  <c r="I24" i="49"/>
  <c r="G24" i="49"/>
  <c r="E24" i="49"/>
  <c r="C24" i="49"/>
  <c r="I23" i="49"/>
  <c r="G23" i="49"/>
  <c r="E23" i="49"/>
  <c r="C23" i="49"/>
  <c r="I22" i="49"/>
  <c r="G22" i="49"/>
  <c r="E22" i="49"/>
  <c r="C22" i="49"/>
  <c r="I21" i="49"/>
  <c r="G21" i="49"/>
  <c r="E21" i="49"/>
  <c r="C21" i="49"/>
  <c r="AQ20" i="49"/>
  <c r="AI20" i="49"/>
  <c r="I20" i="49"/>
  <c r="AQ19" i="49"/>
  <c r="AI19" i="49"/>
  <c r="AQ18" i="49"/>
  <c r="AI18" i="49"/>
  <c r="AJ18" i="49" s="1"/>
  <c r="AK18" i="49" s="1"/>
  <c r="AV26" i="49" s="1"/>
  <c r="I18" i="49"/>
  <c r="AI17" i="49"/>
  <c r="V17" i="49"/>
  <c r="AI16" i="49"/>
  <c r="V16" i="49"/>
  <c r="AJ15" i="49"/>
  <c r="AK15" i="49" s="1"/>
  <c r="AU26" i="49" s="1"/>
  <c r="AI15" i="49"/>
  <c r="V15" i="49"/>
  <c r="W16" i="49" s="1"/>
  <c r="U35" i="49" s="1"/>
  <c r="AQ14" i="49"/>
  <c r="AI14" i="49"/>
  <c r="I14" i="49"/>
  <c r="AQ13" i="49"/>
  <c r="AI13" i="49"/>
  <c r="AQ12" i="49"/>
  <c r="B44" i="49" s="1"/>
  <c r="AQ31" i="49" s="1"/>
  <c r="AI12" i="49"/>
  <c r="AJ12" i="49" s="1"/>
  <c r="AK12" i="49" s="1"/>
  <c r="AT26" i="49" s="1"/>
  <c r="AI11" i="49"/>
  <c r="AI10" i="49"/>
  <c r="V10" i="49"/>
  <c r="AJ9" i="49"/>
  <c r="AI9" i="49"/>
  <c r="V9" i="49"/>
  <c r="AQ8" i="49"/>
  <c r="W8" i="49"/>
  <c r="V8" i="49"/>
  <c r="AQ7" i="49"/>
  <c r="Y7" i="49"/>
  <c r="AQ6" i="49"/>
  <c r="B41" i="49" s="1"/>
  <c r="AQ28" i="49" s="1"/>
  <c r="V26" i="48"/>
  <c r="V26" i="47"/>
  <c r="V27" i="47"/>
  <c r="V28" i="47"/>
  <c r="AO179" i="48"/>
  <c r="AN179" i="48"/>
  <c r="AM179" i="48"/>
  <c r="AL179" i="48"/>
  <c r="AK179" i="48"/>
  <c r="AJ179" i="48"/>
  <c r="AI179" i="48"/>
  <c r="AH179" i="48"/>
  <c r="AG179" i="48"/>
  <c r="AF179" i="48"/>
  <c r="AE179" i="48"/>
  <c r="AD179" i="48"/>
  <c r="AC179" i="48"/>
  <c r="AB179" i="48"/>
  <c r="AA179" i="48"/>
  <c r="Z179" i="48"/>
  <c r="Y179" i="48"/>
  <c r="X179" i="48"/>
  <c r="W179" i="48"/>
  <c r="V179" i="48"/>
  <c r="AO178" i="48"/>
  <c r="AN178" i="48"/>
  <c r="AM178" i="48"/>
  <c r="AL178" i="48"/>
  <c r="AK178" i="48"/>
  <c r="AJ178" i="48"/>
  <c r="AI178" i="48"/>
  <c r="AH178" i="48"/>
  <c r="AG178" i="48"/>
  <c r="AF178" i="48"/>
  <c r="AE178" i="48"/>
  <c r="AD178" i="48"/>
  <c r="AC178" i="48"/>
  <c r="AB178" i="48"/>
  <c r="AA178" i="48"/>
  <c r="Z178" i="48"/>
  <c r="Y178" i="48"/>
  <c r="X178" i="48"/>
  <c r="W178" i="48"/>
  <c r="V178" i="48"/>
  <c r="AO177" i="48"/>
  <c r="AN177" i="48"/>
  <c r="AM177" i="48"/>
  <c r="AL177" i="48"/>
  <c r="AK177" i="48"/>
  <c r="AJ177" i="48"/>
  <c r="AI177" i="48"/>
  <c r="AH177" i="48"/>
  <c r="AG177" i="48"/>
  <c r="AF177" i="48"/>
  <c r="AE177" i="48"/>
  <c r="AD177" i="48"/>
  <c r="AC177" i="48"/>
  <c r="AB177" i="48"/>
  <c r="AA177" i="48"/>
  <c r="Z177" i="48"/>
  <c r="Y177" i="48"/>
  <c r="X177" i="48"/>
  <c r="W177" i="48"/>
  <c r="V177" i="48"/>
  <c r="AO176" i="48"/>
  <c r="AN176" i="48"/>
  <c r="AM176" i="48"/>
  <c r="AL176" i="48"/>
  <c r="AK176" i="48"/>
  <c r="AJ176" i="48"/>
  <c r="AI176" i="48"/>
  <c r="AH176" i="48"/>
  <c r="AG176" i="48"/>
  <c r="AF176" i="48"/>
  <c r="AE176" i="48"/>
  <c r="AD176" i="48"/>
  <c r="AC176" i="48"/>
  <c r="AB176" i="48"/>
  <c r="AA176" i="48"/>
  <c r="Z176" i="48"/>
  <c r="Y176" i="48"/>
  <c r="X176" i="48"/>
  <c r="W176" i="48"/>
  <c r="V176" i="48"/>
  <c r="AO175" i="48"/>
  <c r="AN175" i="48"/>
  <c r="AM175" i="48"/>
  <c r="AL175" i="48"/>
  <c r="AK175" i="48"/>
  <c r="AJ175" i="48"/>
  <c r="AI175" i="48"/>
  <c r="AH175" i="48"/>
  <c r="AG175" i="48"/>
  <c r="AF175" i="48"/>
  <c r="AE175" i="48"/>
  <c r="AD175" i="48"/>
  <c r="AC175" i="48"/>
  <c r="AB175" i="48"/>
  <c r="AA175" i="48"/>
  <c r="Z175" i="48"/>
  <c r="Y175" i="48"/>
  <c r="X175" i="48"/>
  <c r="W175" i="48"/>
  <c r="V175" i="48"/>
  <c r="AO174" i="48"/>
  <c r="AN174" i="48"/>
  <c r="AM174" i="48"/>
  <c r="AL174" i="48"/>
  <c r="AK174" i="48"/>
  <c r="AJ174" i="48"/>
  <c r="AI174" i="48"/>
  <c r="AH174" i="48"/>
  <c r="AG174" i="48"/>
  <c r="AF174" i="48"/>
  <c r="AE174" i="48"/>
  <c r="AD174" i="48"/>
  <c r="AC174" i="48"/>
  <c r="AB174" i="48"/>
  <c r="AA174" i="48"/>
  <c r="Z174" i="48"/>
  <c r="Y174" i="48"/>
  <c r="X174" i="48"/>
  <c r="W174" i="48"/>
  <c r="V174" i="48"/>
  <c r="AO173" i="48"/>
  <c r="AN173" i="48"/>
  <c r="AM173" i="48"/>
  <c r="AL173" i="48"/>
  <c r="AK173" i="48"/>
  <c r="AJ173" i="48"/>
  <c r="AI173" i="48"/>
  <c r="AH173" i="48"/>
  <c r="AG173" i="48"/>
  <c r="AF173" i="48"/>
  <c r="AE173" i="48"/>
  <c r="AD173" i="48"/>
  <c r="AC173" i="48"/>
  <c r="AB173" i="48"/>
  <c r="AA173" i="48"/>
  <c r="Z173" i="48"/>
  <c r="Y173" i="48"/>
  <c r="X173" i="48"/>
  <c r="W173" i="48"/>
  <c r="V173" i="48"/>
  <c r="AO172" i="48"/>
  <c r="AN172" i="48"/>
  <c r="AM172" i="48"/>
  <c r="AL172" i="48"/>
  <c r="AK172" i="48"/>
  <c r="AJ172" i="48"/>
  <c r="AI172" i="48"/>
  <c r="AH172" i="48"/>
  <c r="AG172" i="48"/>
  <c r="AF172" i="48"/>
  <c r="AE172" i="48"/>
  <c r="AD172" i="48"/>
  <c r="AC172" i="48"/>
  <c r="AB172" i="48"/>
  <c r="AA172" i="48"/>
  <c r="Z172" i="48"/>
  <c r="Y172" i="48"/>
  <c r="X172" i="48"/>
  <c r="W172" i="48"/>
  <c r="V172" i="48"/>
  <c r="AO171" i="48"/>
  <c r="AN171" i="48"/>
  <c r="AM171" i="48"/>
  <c r="AL171" i="48"/>
  <c r="AK171" i="48"/>
  <c r="AJ171" i="48"/>
  <c r="AI171" i="48"/>
  <c r="AH171" i="48"/>
  <c r="AG171" i="48"/>
  <c r="AF171" i="48"/>
  <c r="AE171" i="48"/>
  <c r="AD171" i="48"/>
  <c r="AC171" i="48"/>
  <c r="AB171" i="48"/>
  <c r="AA171" i="48"/>
  <c r="Z171" i="48"/>
  <c r="Y171" i="48"/>
  <c r="X171" i="48"/>
  <c r="W171" i="48"/>
  <c r="V171" i="48"/>
  <c r="AO170" i="48"/>
  <c r="AN170" i="48"/>
  <c r="AM170" i="48"/>
  <c r="AL170" i="48"/>
  <c r="AK170" i="48"/>
  <c r="AJ170" i="48"/>
  <c r="AI170" i="48"/>
  <c r="AH170" i="48"/>
  <c r="AG170" i="48"/>
  <c r="AF170" i="48"/>
  <c r="AE170" i="48"/>
  <c r="AD170" i="48"/>
  <c r="AC170" i="48"/>
  <c r="AB170" i="48"/>
  <c r="AA170" i="48"/>
  <c r="Z170" i="48"/>
  <c r="Y170" i="48"/>
  <c r="X170" i="48"/>
  <c r="W170" i="48"/>
  <c r="V170" i="48"/>
  <c r="AO169" i="48"/>
  <c r="AN169" i="48"/>
  <c r="AM169" i="48"/>
  <c r="AL169" i="48"/>
  <c r="AK169" i="48"/>
  <c r="AJ169" i="48"/>
  <c r="AI169" i="48"/>
  <c r="AH169" i="48"/>
  <c r="AG169" i="48"/>
  <c r="AF169" i="48"/>
  <c r="AE169" i="48"/>
  <c r="AD169" i="48"/>
  <c r="AC169" i="48"/>
  <c r="AB169" i="48"/>
  <c r="AA169" i="48"/>
  <c r="Z169" i="48"/>
  <c r="Y169" i="48"/>
  <c r="X169" i="48"/>
  <c r="W169" i="48"/>
  <c r="V169" i="48"/>
  <c r="AO168" i="48"/>
  <c r="AN168" i="48"/>
  <c r="AM168" i="48"/>
  <c r="AL168" i="48"/>
  <c r="AK168" i="48"/>
  <c r="AJ168" i="48"/>
  <c r="AI168" i="48"/>
  <c r="AH168" i="48"/>
  <c r="AG168" i="48"/>
  <c r="AF168" i="48"/>
  <c r="AE168" i="48"/>
  <c r="AD168" i="48"/>
  <c r="AC168" i="48"/>
  <c r="AC95" i="48" s="1"/>
  <c r="AB168" i="48"/>
  <c r="AB95" i="48" s="1"/>
  <c r="AE95" i="48" s="1"/>
  <c r="AA168" i="48"/>
  <c r="Z168" i="48"/>
  <c r="Y168" i="48"/>
  <c r="X168" i="48"/>
  <c r="W168" i="48"/>
  <c r="W95" i="48" s="1"/>
  <c r="V168" i="48"/>
  <c r="V95" i="48" s="1"/>
  <c r="AO167" i="48"/>
  <c r="AN167" i="48"/>
  <c r="AM167" i="48"/>
  <c r="AL167" i="48"/>
  <c r="AK167" i="48"/>
  <c r="AJ167" i="48"/>
  <c r="AI167" i="48"/>
  <c r="AH167" i="48"/>
  <c r="AG167" i="48"/>
  <c r="AF167" i="48"/>
  <c r="AE167" i="48"/>
  <c r="AD167" i="48"/>
  <c r="AD94" i="48" s="1"/>
  <c r="AC167" i="48"/>
  <c r="AB167" i="48"/>
  <c r="AA167" i="48"/>
  <c r="Z167" i="48"/>
  <c r="Y167" i="48"/>
  <c r="Y94" i="48" s="1"/>
  <c r="X167" i="48"/>
  <c r="W167" i="48"/>
  <c r="V167" i="48"/>
  <c r="AO166" i="48"/>
  <c r="AN166" i="48"/>
  <c r="AM166" i="48"/>
  <c r="AL166" i="48"/>
  <c r="X93" i="48" s="1"/>
  <c r="AK166" i="48"/>
  <c r="AJ166" i="48"/>
  <c r="AI166" i="48"/>
  <c r="AH166" i="48"/>
  <c r="AG166" i="48"/>
  <c r="AF166" i="48"/>
  <c r="AE166" i="48"/>
  <c r="AD166" i="48"/>
  <c r="AC166" i="48"/>
  <c r="AB166" i="48"/>
  <c r="AA166" i="48"/>
  <c r="AA93" i="48" s="1"/>
  <c r="Z166" i="48"/>
  <c r="Z93" i="48" s="1"/>
  <c r="Y166" i="48"/>
  <c r="X166" i="48"/>
  <c r="W166" i="48"/>
  <c r="V166" i="48"/>
  <c r="AO165" i="48"/>
  <c r="AN165" i="48"/>
  <c r="AM165" i="48"/>
  <c r="AL165" i="48"/>
  <c r="AK165" i="48"/>
  <c r="AJ165" i="48"/>
  <c r="AI165" i="48"/>
  <c r="AH165" i="48"/>
  <c r="AG165" i="48"/>
  <c r="AF165" i="48"/>
  <c r="AE165" i="48"/>
  <c r="AD165" i="48"/>
  <c r="AC165" i="48"/>
  <c r="AC92" i="48" s="1"/>
  <c r="AB165" i="48"/>
  <c r="AB92" i="48" s="1"/>
  <c r="AE92" i="48" s="1"/>
  <c r="AA165" i="48"/>
  <c r="Z165" i="48"/>
  <c r="Y165" i="48"/>
  <c r="X165" i="48"/>
  <c r="W165" i="48"/>
  <c r="W92" i="48" s="1"/>
  <c r="V165" i="48"/>
  <c r="V92" i="48" s="1"/>
  <c r="AO164" i="48"/>
  <c r="AN164" i="48"/>
  <c r="AM164" i="48"/>
  <c r="AL164" i="48"/>
  <c r="AK164" i="48"/>
  <c r="AJ164" i="48"/>
  <c r="AI164" i="48"/>
  <c r="AH164" i="48"/>
  <c r="AG164" i="48"/>
  <c r="AF164" i="48"/>
  <c r="AE164" i="48"/>
  <c r="AD164" i="48"/>
  <c r="AD91" i="48" s="1"/>
  <c r="AC164" i="48"/>
  <c r="AB164" i="48"/>
  <c r="AA164" i="48"/>
  <c r="Z164" i="48"/>
  <c r="Y164" i="48"/>
  <c r="Y91" i="48" s="1"/>
  <c r="X164" i="48"/>
  <c r="W164" i="48"/>
  <c r="V164" i="48"/>
  <c r="AO163" i="48"/>
  <c r="AN163" i="48"/>
  <c r="AM163" i="48"/>
  <c r="AL163" i="48"/>
  <c r="X90" i="48" s="1"/>
  <c r="AK163" i="48"/>
  <c r="AJ163" i="48"/>
  <c r="AI163" i="48"/>
  <c r="AH163" i="48"/>
  <c r="AG163" i="48"/>
  <c r="AF163" i="48"/>
  <c r="AE163" i="48"/>
  <c r="AD163" i="48"/>
  <c r="AC163" i="48"/>
  <c r="AB163" i="48"/>
  <c r="AA163" i="48"/>
  <c r="AA90" i="48" s="1"/>
  <c r="Z163" i="48"/>
  <c r="Z90" i="48" s="1"/>
  <c r="Y163" i="48"/>
  <c r="X163" i="48"/>
  <c r="W163" i="48"/>
  <c r="V163" i="48"/>
  <c r="AO162" i="48"/>
  <c r="AN162" i="48"/>
  <c r="AM162" i="48"/>
  <c r="AL162" i="48"/>
  <c r="AK162" i="48"/>
  <c r="AJ162" i="48"/>
  <c r="AI162" i="48"/>
  <c r="AH162" i="48"/>
  <c r="AG162" i="48"/>
  <c r="AF162" i="48"/>
  <c r="AE162" i="48"/>
  <c r="AD162" i="48"/>
  <c r="AC162" i="48"/>
  <c r="AC89" i="48" s="1"/>
  <c r="AB162" i="48"/>
  <c r="AB89" i="48" s="1"/>
  <c r="AE89" i="48" s="1"/>
  <c r="AA162" i="48"/>
  <c r="Z162" i="48"/>
  <c r="Y162" i="48"/>
  <c r="X162" i="48"/>
  <c r="W162" i="48"/>
  <c r="W89" i="48" s="1"/>
  <c r="V162" i="48"/>
  <c r="V89" i="48" s="1"/>
  <c r="AO161" i="48"/>
  <c r="AN161" i="48"/>
  <c r="AM161" i="48"/>
  <c r="AL161" i="48"/>
  <c r="AK161" i="48"/>
  <c r="AJ161" i="48"/>
  <c r="AI161" i="48"/>
  <c r="AH161" i="48"/>
  <c r="AG161" i="48"/>
  <c r="AF161" i="48"/>
  <c r="AE161" i="48"/>
  <c r="AD161" i="48"/>
  <c r="AD88" i="48" s="1"/>
  <c r="AC161" i="48"/>
  <c r="AB161" i="48"/>
  <c r="AA161" i="48"/>
  <c r="Z161" i="48"/>
  <c r="Y161" i="48"/>
  <c r="Y88" i="48" s="1"/>
  <c r="X161" i="48"/>
  <c r="W161" i="48"/>
  <c r="V161" i="48"/>
  <c r="AO160" i="48"/>
  <c r="AN160" i="48"/>
  <c r="AM160" i="48"/>
  <c r="AL160" i="48"/>
  <c r="X87" i="48" s="1"/>
  <c r="AK160" i="48"/>
  <c r="AJ160" i="48"/>
  <c r="AI160" i="48"/>
  <c r="AH160" i="48"/>
  <c r="AG160" i="48"/>
  <c r="AF160" i="48"/>
  <c r="AE160" i="48"/>
  <c r="AD160" i="48"/>
  <c r="AC160" i="48"/>
  <c r="AB160" i="48"/>
  <c r="AA160" i="48"/>
  <c r="AA87" i="48" s="1"/>
  <c r="Z160" i="48"/>
  <c r="Z87" i="48" s="1"/>
  <c r="Y160" i="48"/>
  <c r="X160" i="48"/>
  <c r="W160" i="48"/>
  <c r="V160" i="48"/>
  <c r="AO159" i="48"/>
  <c r="AN159" i="48"/>
  <c r="AM159" i="48"/>
  <c r="AL159" i="48"/>
  <c r="AK159" i="48"/>
  <c r="AJ159" i="48"/>
  <c r="AI159" i="48"/>
  <c r="AH159" i="48"/>
  <c r="AG159" i="48"/>
  <c r="AF159" i="48"/>
  <c r="AE159" i="48"/>
  <c r="AD159" i="48"/>
  <c r="AC159" i="48"/>
  <c r="AB159" i="48"/>
  <c r="AA159" i="48"/>
  <c r="Z159" i="48"/>
  <c r="Y159" i="48"/>
  <c r="X159" i="48"/>
  <c r="W159" i="48"/>
  <c r="V159" i="48"/>
  <c r="AO158" i="48"/>
  <c r="AN158" i="48"/>
  <c r="AM158" i="48"/>
  <c r="AL158" i="48"/>
  <c r="AK158" i="48"/>
  <c r="AJ158" i="48"/>
  <c r="AI158" i="48"/>
  <c r="AH158" i="48"/>
  <c r="AG158" i="48"/>
  <c r="AF158" i="48"/>
  <c r="AE158" i="48"/>
  <c r="AD158" i="48"/>
  <c r="AC158" i="48"/>
  <c r="AB158" i="48"/>
  <c r="AA158" i="48"/>
  <c r="Z158" i="48"/>
  <c r="Y158" i="48"/>
  <c r="X158" i="48"/>
  <c r="W158" i="48"/>
  <c r="V158" i="48"/>
  <c r="AO157" i="48"/>
  <c r="AN157" i="48"/>
  <c r="AM157" i="48"/>
  <c r="AL157" i="48"/>
  <c r="AK157" i="48"/>
  <c r="AJ157" i="48"/>
  <c r="AI157" i="48"/>
  <c r="AH157" i="48"/>
  <c r="AG157" i="48"/>
  <c r="AF157" i="48"/>
  <c r="AE157" i="48"/>
  <c r="AD157" i="48"/>
  <c r="AC157" i="48"/>
  <c r="AB157" i="48"/>
  <c r="AA157" i="48"/>
  <c r="Z157" i="48"/>
  <c r="Y157" i="48"/>
  <c r="X157" i="48"/>
  <c r="W157" i="48"/>
  <c r="V157" i="48"/>
  <c r="AO156" i="48"/>
  <c r="AN156" i="48"/>
  <c r="AM156" i="48"/>
  <c r="AL156" i="48"/>
  <c r="AK156" i="48"/>
  <c r="AJ156" i="48"/>
  <c r="AI156" i="48"/>
  <c r="AH156" i="48"/>
  <c r="AG156" i="48"/>
  <c r="AF156" i="48"/>
  <c r="AE156" i="48"/>
  <c r="AD156" i="48"/>
  <c r="AC156" i="48"/>
  <c r="AB156" i="48"/>
  <c r="AA156" i="48"/>
  <c r="Z156" i="48"/>
  <c r="Y156" i="48"/>
  <c r="X156" i="48"/>
  <c r="W156" i="48"/>
  <c r="V156" i="48"/>
  <c r="AO155" i="48"/>
  <c r="AN155" i="48"/>
  <c r="AM155" i="48"/>
  <c r="AL155" i="48"/>
  <c r="AK155" i="48"/>
  <c r="AJ155" i="48"/>
  <c r="AI155" i="48"/>
  <c r="AH155" i="48"/>
  <c r="AG155" i="48"/>
  <c r="AF155" i="48"/>
  <c r="AE155" i="48"/>
  <c r="AD155" i="48"/>
  <c r="AC155" i="48"/>
  <c r="AB155" i="48"/>
  <c r="AA155" i="48"/>
  <c r="Z155" i="48"/>
  <c r="Y155" i="48"/>
  <c r="X155" i="48"/>
  <c r="W155" i="48"/>
  <c r="V155" i="48"/>
  <c r="AO154" i="48"/>
  <c r="AN154" i="48"/>
  <c r="AM154" i="48"/>
  <c r="AL154" i="48"/>
  <c r="AK154" i="48"/>
  <c r="AJ154" i="48"/>
  <c r="AI154" i="48"/>
  <c r="AH154" i="48"/>
  <c r="AG154" i="48"/>
  <c r="AF154" i="48"/>
  <c r="AE154" i="48"/>
  <c r="AD154" i="48"/>
  <c r="AC154" i="48"/>
  <c r="AB154" i="48"/>
  <c r="AA154" i="48"/>
  <c r="Z154" i="48"/>
  <c r="Y154" i="48"/>
  <c r="X154" i="48"/>
  <c r="W154" i="48"/>
  <c r="V154" i="48"/>
  <c r="AO153" i="48"/>
  <c r="AN153" i="48"/>
  <c r="AM153" i="48"/>
  <c r="AL153" i="48"/>
  <c r="AK153" i="48"/>
  <c r="AJ153" i="48"/>
  <c r="AI153" i="48"/>
  <c r="AH153" i="48"/>
  <c r="AG153" i="48"/>
  <c r="AF153" i="48"/>
  <c r="AE153" i="48"/>
  <c r="AD153" i="48"/>
  <c r="AC153" i="48"/>
  <c r="AB153" i="48"/>
  <c r="AA153" i="48"/>
  <c r="Z153" i="48"/>
  <c r="Y153" i="48"/>
  <c r="X153" i="48"/>
  <c r="W153" i="48"/>
  <c r="V153" i="48"/>
  <c r="AO152" i="48"/>
  <c r="AN152" i="48"/>
  <c r="AM152" i="48"/>
  <c r="AL152" i="48"/>
  <c r="AK152" i="48"/>
  <c r="AJ152" i="48"/>
  <c r="AI152" i="48"/>
  <c r="AH152" i="48"/>
  <c r="AG152" i="48"/>
  <c r="AF152" i="48"/>
  <c r="AE152" i="48"/>
  <c r="AD152" i="48"/>
  <c r="AC152" i="48"/>
  <c r="AB152" i="48"/>
  <c r="AA152" i="48"/>
  <c r="Z152" i="48"/>
  <c r="Y152" i="48"/>
  <c r="X152" i="48"/>
  <c r="W152" i="48"/>
  <c r="V152" i="48"/>
  <c r="AO151" i="48"/>
  <c r="AN151" i="48"/>
  <c r="AM151" i="48"/>
  <c r="AL151" i="48"/>
  <c r="AK151" i="48"/>
  <c r="AJ151" i="48"/>
  <c r="AI151" i="48"/>
  <c r="AH151" i="48"/>
  <c r="AG151" i="48"/>
  <c r="AF151" i="48"/>
  <c r="AE151" i="48"/>
  <c r="AD151" i="48"/>
  <c r="AC151" i="48"/>
  <c r="AB151" i="48"/>
  <c r="AA151" i="48"/>
  <c r="Z151" i="48"/>
  <c r="Y151" i="48"/>
  <c r="X151" i="48"/>
  <c r="W151" i="48"/>
  <c r="V151" i="48"/>
  <c r="AO150" i="48"/>
  <c r="AN150" i="48"/>
  <c r="AM150" i="48"/>
  <c r="AL150" i="48"/>
  <c r="AK150" i="48"/>
  <c r="AJ150" i="48"/>
  <c r="AI150" i="48"/>
  <c r="AH150" i="48"/>
  <c r="AG150" i="48"/>
  <c r="AF150" i="48"/>
  <c r="AE150" i="48"/>
  <c r="AD150" i="48"/>
  <c r="AC150" i="48"/>
  <c r="AB150" i="48"/>
  <c r="AA150" i="48"/>
  <c r="Z150" i="48"/>
  <c r="Y150" i="48"/>
  <c r="X150" i="48"/>
  <c r="W150" i="48"/>
  <c r="V150" i="48"/>
  <c r="AO149" i="48"/>
  <c r="AN149" i="48"/>
  <c r="AM149" i="48"/>
  <c r="AL149" i="48"/>
  <c r="AK149" i="48"/>
  <c r="AJ149" i="48"/>
  <c r="AI149" i="48"/>
  <c r="AH149" i="48"/>
  <c r="AG149" i="48"/>
  <c r="AF149" i="48"/>
  <c r="AE149" i="48"/>
  <c r="AD149" i="48"/>
  <c r="AC149" i="48"/>
  <c r="AB149" i="48"/>
  <c r="AA149" i="48"/>
  <c r="Z149" i="48"/>
  <c r="Y149" i="48"/>
  <c r="X149" i="48"/>
  <c r="W149" i="48"/>
  <c r="V149" i="48"/>
  <c r="AO148" i="48"/>
  <c r="AN148" i="48"/>
  <c r="AM148" i="48"/>
  <c r="AL148" i="48"/>
  <c r="AK148" i="48"/>
  <c r="AJ148" i="48"/>
  <c r="AI148" i="48"/>
  <c r="AH148" i="48"/>
  <c r="AG148" i="48"/>
  <c r="AF148" i="48"/>
  <c r="AE148" i="48"/>
  <c r="AD148" i="48"/>
  <c r="AC148" i="48"/>
  <c r="AB148" i="48"/>
  <c r="AA148" i="48"/>
  <c r="Z148" i="48"/>
  <c r="Y148" i="48"/>
  <c r="X148" i="48"/>
  <c r="W148" i="48"/>
  <c r="V148" i="48"/>
  <c r="AO147" i="48"/>
  <c r="AN147" i="48"/>
  <c r="AM147" i="48"/>
  <c r="AL147" i="48"/>
  <c r="AK147" i="48"/>
  <c r="AJ147" i="48"/>
  <c r="AI147" i="48"/>
  <c r="AH147" i="48"/>
  <c r="AG147" i="48"/>
  <c r="AF147" i="48"/>
  <c r="AE147" i="48"/>
  <c r="AD147" i="48"/>
  <c r="AC147" i="48"/>
  <c r="AB147" i="48"/>
  <c r="AA147" i="48"/>
  <c r="Z147" i="48"/>
  <c r="Y147" i="48"/>
  <c r="X147" i="48"/>
  <c r="W147" i="48"/>
  <c r="V147" i="48"/>
  <c r="AO146" i="48"/>
  <c r="AN146" i="48"/>
  <c r="AM146" i="48"/>
  <c r="AL146" i="48"/>
  <c r="AK146" i="48"/>
  <c r="AJ146" i="48"/>
  <c r="AI146" i="48"/>
  <c r="AH146" i="48"/>
  <c r="AG146" i="48"/>
  <c r="AF146" i="48"/>
  <c r="AE146" i="48"/>
  <c r="AD146" i="48"/>
  <c r="AC146" i="48"/>
  <c r="AB146" i="48"/>
  <c r="AA146" i="48"/>
  <c r="Z146" i="48"/>
  <c r="Y146" i="48"/>
  <c r="X146" i="48"/>
  <c r="W146" i="48"/>
  <c r="V146" i="48"/>
  <c r="AO145" i="48"/>
  <c r="AN145" i="48"/>
  <c r="AM145" i="48"/>
  <c r="AL145" i="48"/>
  <c r="AK145" i="48"/>
  <c r="AJ145" i="48"/>
  <c r="AI145" i="48"/>
  <c r="AH145" i="48"/>
  <c r="AG145" i="48"/>
  <c r="AF145" i="48"/>
  <c r="AE145" i="48"/>
  <c r="AD145" i="48"/>
  <c r="AC145" i="48"/>
  <c r="AB145" i="48"/>
  <c r="AA145" i="48"/>
  <c r="Z145" i="48"/>
  <c r="Y145" i="48"/>
  <c r="X145" i="48"/>
  <c r="W145" i="48"/>
  <c r="V145" i="48"/>
  <c r="AO144" i="48"/>
  <c r="AN144" i="48"/>
  <c r="AM144" i="48"/>
  <c r="AL144" i="48"/>
  <c r="AK144" i="48"/>
  <c r="AJ144" i="48"/>
  <c r="AI144" i="48"/>
  <c r="AH144" i="48"/>
  <c r="AG144" i="48"/>
  <c r="AF144" i="48"/>
  <c r="AE144" i="48"/>
  <c r="AD144" i="48"/>
  <c r="AC144" i="48"/>
  <c r="AB144" i="48"/>
  <c r="AA144" i="48"/>
  <c r="Z144" i="48"/>
  <c r="Y144" i="48"/>
  <c r="X144" i="48"/>
  <c r="W144" i="48"/>
  <c r="V144" i="48"/>
  <c r="AO143" i="48"/>
  <c r="AN143" i="48"/>
  <c r="AM143" i="48"/>
  <c r="AL143" i="48"/>
  <c r="AK143" i="48"/>
  <c r="AJ143" i="48"/>
  <c r="AI143" i="48"/>
  <c r="AH143" i="48"/>
  <c r="AG143" i="48"/>
  <c r="AF143" i="48"/>
  <c r="AE143" i="48"/>
  <c r="AD143" i="48"/>
  <c r="AC143" i="48"/>
  <c r="AB143" i="48"/>
  <c r="AA143" i="48"/>
  <c r="Z143" i="48"/>
  <c r="Y143" i="48"/>
  <c r="X143" i="48"/>
  <c r="W143" i="48"/>
  <c r="V143" i="48"/>
  <c r="AO142" i="48"/>
  <c r="AN142" i="48"/>
  <c r="AM142" i="48"/>
  <c r="AL142" i="48"/>
  <c r="AK142" i="48"/>
  <c r="AJ142" i="48"/>
  <c r="AI142" i="48"/>
  <c r="AH142" i="48"/>
  <c r="AG142" i="48"/>
  <c r="AF142" i="48"/>
  <c r="AE142" i="48"/>
  <c r="AD142" i="48"/>
  <c r="AC142" i="48"/>
  <c r="AB142" i="48"/>
  <c r="AA142" i="48"/>
  <c r="Z142" i="48"/>
  <c r="Y142" i="48"/>
  <c r="X142" i="48"/>
  <c r="W142" i="48"/>
  <c r="V142" i="48"/>
  <c r="AO141" i="48"/>
  <c r="AN141" i="48"/>
  <c r="AM141" i="48"/>
  <c r="AL141" i="48"/>
  <c r="AK141" i="48"/>
  <c r="AJ141" i="48"/>
  <c r="AI141" i="48"/>
  <c r="AH141" i="48"/>
  <c r="AG141" i="48"/>
  <c r="AF141" i="48"/>
  <c r="AE141" i="48"/>
  <c r="AD141" i="48"/>
  <c r="AC141" i="48"/>
  <c r="AB141" i="48"/>
  <c r="AA141" i="48"/>
  <c r="Z141" i="48"/>
  <c r="Y141" i="48"/>
  <c r="X141" i="48"/>
  <c r="W141" i="48"/>
  <c r="V141" i="48"/>
  <c r="AO140" i="48"/>
  <c r="AN140" i="48"/>
  <c r="AM140" i="48"/>
  <c r="AL140" i="48"/>
  <c r="AK140" i="48"/>
  <c r="AJ140" i="48"/>
  <c r="AI140" i="48"/>
  <c r="AH140" i="48"/>
  <c r="AG140" i="48"/>
  <c r="AF140" i="48"/>
  <c r="AE140" i="48"/>
  <c r="AD140" i="48"/>
  <c r="AC140" i="48"/>
  <c r="AB140" i="48"/>
  <c r="AA140" i="48"/>
  <c r="Z140" i="48"/>
  <c r="Y140" i="48"/>
  <c r="X140" i="48"/>
  <c r="W140" i="48"/>
  <c r="V140" i="48"/>
  <c r="AO139" i="48"/>
  <c r="AN139" i="48"/>
  <c r="AM139" i="48"/>
  <c r="AL139" i="48"/>
  <c r="AK139" i="48"/>
  <c r="AJ139" i="48"/>
  <c r="AI139" i="48"/>
  <c r="AH139" i="48"/>
  <c r="AG139" i="48"/>
  <c r="AF139" i="48"/>
  <c r="AE139" i="48"/>
  <c r="AD139" i="48"/>
  <c r="AC139" i="48"/>
  <c r="AB139" i="48"/>
  <c r="AA139" i="48"/>
  <c r="Z139" i="48"/>
  <c r="Y139" i="48"/>
  <c r="X139" i="48"/>
  <c r="W139" i="48"/>
  <c r="V139" i="48"/>
  <c r="AO138" i="48"/>
  <c r="AN138" i="48"/>
  <c r="AM138" i="48"/>
  <c r="AL138" i="48"/>
  <c r="AK138" i="48"/>
  <c r="AJ138" i="48"/>
  <c r="AI138" i="48"/>
  <c r="AH138" i="48"/>
  <c r="AG138" i="48"/>
  <c r="AF138" i="48"/>
  <c r="AE138" i="48"/>
  <c r="AD138" i="48"/>
  <c r="AC138" i="48"/>
  <c r="AB138" i="48"/>
  <c r="AA138" i="48"/>
  <c r="Z138" i="48"/>
  <c r="Y138" i="48"/>
  <c r="X138" i="48"/>
  <c r="W138" i="48"/>
  <c r="V138" i="48"/>
  <c r="AO137" i="48"/>
  <c r="AN137" i="48"/>
  <c r="AM137" i="48"/>
  <c r="AL137" i="48"/>
  <c r="AK137" i="48"/>
  <c r="AJ137" i="48"/>
  <c r="AI137" i="48"/>
  <c r="AH137" i="48"/>
  <c r="AG137" i="48"/>
  <c r="AF137" i="48"/>
  <c r="AE137" i="48"/>
  <c r="AD137" i="48"/>
  <c r="AC137" i="48"/>
  <c r="AB137" i="48"/>
  <c r="AA137" i="48"/>
  <c r="Z137" i="48"/>
  <c r="Y137" i="48"/>
  <c r="X137" i="48"/>
  <c r="W137" i="48"/>
  <c r="V137" i="48"/>
  <c r="AO136" i="48"/>
  <c r="AN136" i="48"/>
  <c r="AM136" i="48"/>
  <c r="AL136" i="48"/>
  <c r="AK136" i="48"/>
  <c r="AJ136" i="48"/>
  <c r="AI136" i="48"/>
  <c r="AH136" i="48"/>
  <c r="AG136" i="48"/>
  <c r="AF136" i="48"/>
  <c r="AE136" i="48"/>
  <c r="AD136" i="48"/>
  <c r="AC136" i="48"/>
  <c r="AB136" i="48"/>
  <c r="AA136" i="48"/>
  <c r="Z136" i="48"/>
  <c r="Y136" i="48"/>
  <c r="X136" i="48"/>
  <c r="W136" i="48"/>
  <c r="V136" i="48"/>
  <c r="AO135" i="48"/>
  <c r="AN135" i="48"/>
  <c r="AM135" i="48"/>
  <c r="AL135" i="48"/>
  <c r="AK135" i="48"/>
  <c r="AJ135" i="48"/>
  <c r="AI135" i="48"/>
  <c r="AH135" i="48"/>
  <c r="AG135" i="48"/>
  <c r="AF135" i="48"/>
  <c r="AE135" i="48"/>
  <c r="AD135" i="48"/>
  <c r="AC135" i="48"/>
  <c r="AB135" i="48"/>
  <c r="AA135" i="48"/>
  <c r="Z135" i="48"/>
  <c r="Y135" i="48"/>
  <c r="X135" i="48"/>
  <c r="W135" i="48"/>
  <c r="V135" i="48"/>
  <c r="AO134" i="48"/>
  <c r="AN134" i="48"/>
  <c r="AM134" i="48"/>
  <c r="AL134" i="48"/>
  <c r="AK134" i="48"/>
  <c r="AJ134" i="48"/>
  <c r="AI134" i="48"/>
  <c r="AH134" i="48"/>
  <c r="AG134" i="48"/>
  <c r="AF134" i="48"/>
  <c r="AE134" i="48"/>
  <c r="AD134" i="48"/>
  <c r="AC134" i="48"/>
  <c r="AB134" i="48"/>
  <c r="AA134" i="48"/>
  <c r="Z134" i="48"/>
  <c r="Y134" i="48"/>
  <c r="X134" i="48"/>
  <c r="W134" i="48"/>
  <c r="V134" i="48"/>
  <c r="AO133" i="48"/>
  <c r="AN133" i="48"/>
  <c r="AM133" i="48"/>
  <c r="AL133" i="48"/>
  <c r="AK133" i="48"/>
  <c r="AJ133" i="48"/>
  <c r="AI133" i="48"/>
  <c r="AH133" i="48"/>
  <c r="AG133" i="48"/>
  <c r="AF133" i="48"/>
  <c r="AE133" i="48"/>
  <c r="AD133" i="48"/>
  <c r="AC133" i="48"/>
  <c r="AB133" i="48"/>
  <c r="AA133" i="48"/>
  <c r="Z133" i="48"/>
  <c r="Y133" i="48"/>
  <c r="X133" i="48"/>
  <c r="W133" i="48"/>
  <c r="V133" i="48"/>
  <c r="AO132" i="48"/>
  <c r="AN132" i="48"/>
  <c r="AM132" i="48"/>
  <c r="AL132" i="48"/>
  <c r="AK132" i="48"/>
  <c r="AJ132" i="48"/>
  <c r="AI132" i="48"/>
  <c r="AH132" i="48"/>
  <c r="AG132" i="48"/>
  <c r="AF132" i="48"/>
  <c r="AE132" i="48"/>
  <c r="AD132" i="48"/>
  <c r="AC132" i="48"/>
  <c r="AB132" i="48"/>
  <c r="AA132" i="48"/>
  <c r="Z132" i="48"/>
  <c r="Y132" i="48"/>
  <c r="X132" i="48"/>
  <c r="W132" i="48"/>
  <c r="V132" i="48"/>
  <c r="AO131" i="48"/>
  <c r="AN131" i="48"/>
  <c r="AM131" i="48"/>
  <c r="AL131" i="48"/>
  <c r="AK131" i="48"/>
  <c r="AJ131" i="48"/>
  <c r="AI131" i="48"/>
  <c r="AH131" i="48"/>
  <c r="AG131" i="48"/>
  <c r="AF131" i="48"/>
  <c r="AE131" i="48"/>
  <c r="AD131" i="48"/>
  <c r="AC131" i="48"/>
  <c r="AB131" i="48"/>
  <c r="AA131" i="48"/>
  <c r="Z131" i="48"/>
  <c r="Y131" i="48"/>
  <c r="X131" i="48"/>
  <c r="W131" i="48"/>
  <c r="V131" i="48"/>
  <c r="AO130" i="48"/>
  <c r="AN130" i="48"/>
  <c r="AM130" i="48"/>
  <c r="AL130" i="48"/>
  <c r="AK130" i="48"/>
  <c r="AJ130" i="48"/>
  <c r="AI130" i="48"/>
  <c r="AH130" i="48"/>
  <c r="AG130" i="48"/>
  <c r="AF130" i="48"/>
  <c r="AE130" i="48"/>
  <c r="AD130" i="48"/>
  <c r="AC130" i="48"/>
  <c r="AB130" i="48"/>
  <c r="AA130" i="48"/>
  <c r="Z130" i="48"/>
  <c r="Y130" i="48"/>
  <c r="X130" i="48"/>
  <c r="W130" i="48"/>
  <c r="V130" i="48"/>
  <c r="AO129" i="48"/>
  <c r="AN129" i="48"/>
  <c r="AM129" i="48"/>
  <c r="AL129" i="48"/>
  <c r="AK129" i="48"/>
  <c r="AJ129" i="48"/>
  <c r="AI129" i="48"/>
  <c r="AH129" i="48"/>
  <c r="AG129" i="48"/>
  <c r="AF129" i="48"/>
  <c r="AE129" i="48"/>
  <c r="AD129" i="48"/>
  <c r="AC129" i="48"/>
  <c r="AB129" i="48"/>
  <c r="AA129" i="48"/>
  <c r="Z129" i="48"/>
  <c r="Y129" i="48"/>
  <c r="X129" i="48"/>
  <c r="W129" i="48"/>
  <c r="V129" i="48"/>
  <c r="AO128" i="48"/>
  <c r="AN128" i="48"/>
  <c r="AM128" i="48"/>
  <c r="AL128" i="48"/>
  <c r="AK128" i="48"/>
  <c r="AJ128" i="48"/>
  <c r="AI128" i="48"/>
  <c r="AH128" i="48"/>
  <c r="AG128" i="48"/>
  <c r="AF128" i="48"/>
  <c r="AE128" i="48"/>
  <c r="AD128" i="48"/>
  <c r="AC128" i="48"/>
  <c r="AB128" i="48"/>
  <c r="AA128" i="48"/>
  <c r="Z128" i="48"/>
  <c r="Y128" i="48"/>
  <c r="X128" i="48"/>
  <c r="W128" i="48"/>
  <c r="V128" i="48"/>
  <c r="AO127" i="48"/>
  <c r="AN127" i="48"/>
  <c r="AM127" i="48"/>
  <c r="AL127" i="48"/>
  <c r="AK127" i="48"/>
  <c r="AJ127" i="48"/>
  <c r="AI127" i="48"/>
  <c r="AH127" i="48"/>
  <c r="AG127" i="48"/>
  <c r="AF127" i="48"/>
  <c r="AE127" i="48"/>
  <c r="AD127" i="48"/>
  <c r="AC127" i="48"/>
  <c r="AB127" i="48"/>
  <c r="AA127" i="48"/>
  <c r="Z127" i="48"/>
  <c r="Y127" i="48"/>
  <c r="X127" i="48"/>
  <c r="W127" i="48"/>
  <c r="V127" i="48"/>
  <c r="AO126" i="48"/>
  <c r="AN126" i="48"/>
  <c r="AM126" i="48"/>
  <c r="AL126" i="48"/>
  <c r="AK126" i="48"/>
  <c r="AJ126" i="48"/>
  <c r="AI126" i="48"/>
  <c r="AH126" i="48"/>
  <c r="AG126" i="48"/>
  <c r="AF126" i="48"/>
  <c r="AE126" i="48"/>
  <c r="AD126" i="48"/>
  <c r="AC126" i="48"/>
  <c r="AB126" i="48"/>
  <c r="AA126" i="48"/>
  <c r="Z126" i="48"/>
  <c r="Y126" i="48"/>
  <c r="X126" i="48"/>
  <c r="W126" i="48"/>
  <c r="V126" i="48"/>
  <c r="AO125" i="48"/>
  <c r="AN125" i="48"/>
  <c r="AM125" i="48"/>
  <c r="AL125" i="48"/>
  <c r="AK125" i="48"/>
  <c r="AJ125" i="48"/>
  <c r="AI125" i="48"/>
  <c r="AH125" i="48"/>
  <c r="AG125" i="48"/>
  <c r="AF125" i="48"/>
  <c r="AE125" i="48"/>
  <c r="AD125" i="48"/>
  <c r="AC125" i="48"/>
  <c r="AB125" i="48"/>
  <c r="AA125" i="48"/>
  <c r="Z125" i="48"/>
  <c r="Y125" i="48"/>
  <c r="X125" i="48"/>
  <c r="W125" i="48"/>
  <c r="V125" i="48"/>
  <c r="AO124" i="48"/>
  <c r="AN124" i="48"/>
  <c r="AM124" i="48"/>
  <c r="AL124" i="48"/>
  <c r="AK124" i="48"/>
  <c r="AJ124" i="48"/>
  <c r="AI124" i="48"/>
  <c r="AH124" i="48"/>
  <c r="AG124" i="48"/>
  <c r="AF124" i="48"/>
  <c r="AE124" i="48"/>
  <c r="AD124" i="48"/>
  <c r="AC124" i="48"/>
  <c r="AB124" i="48"/>
  <c r="AA124" i="48"/>
  <c r="Z124" i="48"/>
  <c r="Y124" i="48"/>
  <c r="X124" i="48"/>
  <c r="W124" i="48"/>
  <c r="V124" i="48"/>
  <c r="AO123" i="48"/>
  <c r="AN123" i="48"/>
  <c r="AM123" i="48"/>
  <c r="AL123" i="48"/>
  <c r="AK123" i="48"/>
  <c r="AJ123" i="48"/>
  <c r="AI123" i="48"/>
  <c r="AH123" i="48"/>
  <c r="AG123" i="48"/>
  <c r="AF123" i="48"/>
  <c r="AE123" i="48"/>
  <c r="AD123" i="48"/>
  <c r="AC123" i="48"/>
  <c r="AB123" i="48"/>
  <c r="AA123" i="48"/>
  <c r="Z123" i="48"/>
  <c r="Y123" i="48"/>
  <c r="X123" i="48"/>
  <c r="W123" i="48"/>
  <c r="V123" i="48"/>
  <c r="AO122" i="48"/>
  <c r="AN122" i="48"/>
  <c r="AM122" i="48"/>
  <c r="AL122" i="48"/>
  <c r="AK122" i="48"/>
  <c r="AJ122" i="48"/>
  <c r="AI122" i="48"/>
  <c r="AH122" i="48"/>
  <c r="AG122" i="48"/>
  <c r="AF122" i="48"/>
  <c r="AE122" i="48"/>
  <c r="AD122" i="48"/>
  <c r="AC122" i="48"/>
  <c r="AB122" i="48"/>
  <c r="AA122" i="48"/>
  <c r="Z122" i="48"/>
  <c r="Y122" i="48"/>
  <c r="X122" i="48"/>
  <c r="W122" i="48"/>
  <c r="V122" i="48"/>
  <c r="AO121" i="48"/>
  <c r="AN121" i="48"/>
  <c r="AM121" i="48"/>
  <c r="AL121" i="48"/>
  <c r="AK121" i="48"/>
  <c r="AJ121" i="48"/>
  <c r="AI121" i="48"/>
  <c r="AH121" i="48"/>
  <c r="AG121" i="48"/>
  <c r="AF121" i="48"/>
  <c r="AE121" i="48"/>
  <c r="AD121" i="48"/>
  <c r="AC121" i="48"/>
  <c r="AB121" i="48"/>
  <c r="AA121" i="48"/>
  <c r="Z121" i="48"/>
  <c r="Y121" i="48"/>
  <c r="X121" i="48"/>
  <c r="W121" i="48"/>
  <c r="V121" i="48"/>
  <c r="AO120" i="48"/>
  <c r="AN120" i="48"/>
  <c r="AM120" i="48"/>
  <c r="AL120" i="48"/>
  <c r="AK120" i="48"/>
  <c r="AJ120" i="48"/>
  <c r="AI120" i="48"/>
  <c r="AH120" i="48"/>
  <c r="AG120" i="48"/>
  <c r="AF120" i="48"/>
  <c r="AE120" i="48"/>
  <c r="AD120" i="48"/>
  <c r="AC120" i="48"/>
  <c r="AB120" i="48"/>
  <c r="AA120" i="48"/>
  <c r="Z120" i="48"/>
  <c r="Y120" i="48"/>
  <c r="X120" i="48"/>
  <c r="W120" i="48"/>
  <c r="V120" i="48"/>
  <c r="AO119" i="48"/>
  <c r="AN119" i="48"/>
  <c r="AM119" i="48"/>
  <c r="AL119" i="48"/>
  <c r="AK119" i="48"/>
  <c r="AJ119" i="48"/>
  <c r="AI119" i="48"/>
  <c r="AH119" i="48"/>
  <c r="AG119" i="48"/>
  <c r="AF119" i="48"/>
  <c r="AE119" i="48"/>
  <c r="AD119" i="48"/>
  <c r="AC119" i="48"/>
  <c r="AB119" i="48"/>
  <c r="AA119" i="48"/>
  <c r="Z119" i="48"/>
  <c r="Y119" i="48"/>
  <c r="X119" i="48"/>
  <c r="W119" i="48"/>
  <c r="V119" i="48"/>
  <c r="AO118" i="48"/>
  <c r="AN118" i="48"/>
  <c r="AM118" i="48"/>
  <c r="AL118" i="48"/>
  <c r="AK118" i="48"/>
  <c r="AJ118" i="48"/>
  <c r="AI118" i="48"/>
  <c r="AH118" i="48"/>
  <c r="AG118" i="48"/>
  <c r="AF118" i="48"/>
  <c r="AE118" i="48"/>
  <c r="AD118" i="48"/>
  <c r="AC118" i="48"/>
  <c r="AB118" i="48"/>
  <c r="AA118" i="48"/>
  <c r="Z118" i="48"/>
  <c r="Y118" i="48"/>
  <c r="X118" i="48"/>
  <c r="W118" i="48"/>
  <c r="V118" i="48"/>
  <c r="AO117" i="48"/>
  <c r="AN117" i="48"/>
  <c r="AM117" i="48"/>
  <c r="AL117" i="48"/>
  <c r="AK117" i="48"/>
  <c r="AJ117" i="48"/>
  <c r="AI117" i="48"/>
  <c r="AH117" i="48"/>
  <c r="AG117" i="48"/>
  <c r="AF117" i="48"/>
  <c r="AE117" i="48"/>
  <c r="AD117" i="48"/>
  <c r="AC117" i="48"/>
  <c r="AB117" i="48"/>
  <c r="AA117" i="48"/>
  <c r="Z117" i="48"/>
  <c r="Y117" i="48"/>
  <c r="X117" i="48"/>
  <c r="W117" i="48"/>
  <c r="V117" i="48"/>
  <c r="AO116" i="48"/>
  <c r="AN116" i="48"/>
  <c r="AM116" i="48"/>
  <c r="AL116" i="48"/>
  <c r="AK116" i="48"/>
  <c r="AJ116" i="48"/>
  <c r="AI116" i="48"/>
  <c r="AH116" i="48"/>
  <c r="AG116" i="48"/>
  <c r="AF116" i="48"/>
  <c r="AE116" i="48"/>
  <c r="AD116" i="48"/>
  <c r="AC116" i="48"/>
  <c r="AB116" i="48"/>
  <c r="AA116" i="48"/>
  <c r="Z116" i="48"/>
  <c r="Y116" i="48"/>
  <c r="X116" i="48"/>
  <c r="W116" i="48"/>
  <c r="V116" i="48"/>
  <c r="AO115" i="48"/>
  <c r="AN115" i="48"/>
  <c r="AM115" i="48"/>
  <c r="AL115" i="48"/>
  <c r="AK115" i="48"/>
  <c r="AJ115" i="48"/>
  <c r="AI115" i="48"/>
  <c r="AH115" i="48"/>
  <c r="AG115" i="48"/>
  <c r="AF115" i="48"/>
  <c r="AE115" i="48"/>
  <c r="AD115" i="48"/>
  <c r="AC115" i="48"/>
  <c r="AB115" i="48"/>
  <c r="AA115" i="48"/>
  <c r="Z115" i="48"/>
  <c r="Y115" i="48"/>
  <c r="X115" i="48"/>
  <c r="W115" i="48"/>
  <c r="V115" i="48"/>
  <c r="AO114" i="48"/>
  <c r="AN114" i="48"/>
  <c r="AM114" i="48"/>
  <c r="AL114" i="48"/>
  <c r="AK114" i="48"/>
  <c r="AJ114" i="48"/>
  <c r="AI114" i="48"/>
  <c r="AH114" i="48"/>
  <c r="AG114" i="48"/>
  <c r="AF114" i="48"/>
  <c r="AE114" i="48"/>
  <c r="AD114" i="48"/>
  <c r="AC114" i="48"/>
  <c r="AB114" i="48"/>
  <c r="AA114" i="48"/>
  <c r="Z114" i="48"/>
  <c r="Y114" i="48"/>
  <c r="X114" i="48"/>
  <c r="W114" i="48"/>
  <c r="V114" i="48"/>
  <c r="AO113" i="48"/>
  <c r="AN113" i="48"/>
  <c r="AM113" i="48"/>
  <c r="AL113" i="48"/>
  <c r="AK113" i="48"/>
  <c r="AJ113" i="48"/>
  <c r="AI113" i="48"/>
  <c r="AH113" i="48"/>
  <c r="AG113" i="48"/>
  <c r="AF113" i="48"/>
  <c r="AE113" i="48"/>
  <c r="AD113" i="48"/>
  <c r="AC113" i="48"/>
  <c r="AB113" i="48"/>
  <c r="AA113" i="48"/>
  <c r="Z113" i="48"/>
  <c r="Y113" i="48"/>
  <c r="X113" i="48"/>
  <c r="W113" i="48"/>
  <c r="V113" i="48"/>
  <c r="AO112" i="48"/>
  <c r="AN112" i="48"/>
  <c r="AM112" i="48"/>
  <c r="AL112" i="48"/>
  <c r="AK112" i="48"/>
  <c r="AJ112" i="48"/>
  <c r="AI112" i="48"/>
  <c r="AH112" i="48"/>
  <c r="AG112" i="48"/>
  <c r="AF112" i="48"/>
  <c r="AE112" i="48"/>
  <c r="AD112" i="48"/>
  <c r="AC112" i="48"/>
  <c r="AB112" i="48"/>
  <c r="AA112" i="48"/>
  <c r="Z112" i="48"/>
  <c r="Y112" i="48"/>
  <c r="X112" i="48"/>
  <c r="W112" i="48"/>
  <c r="V112" i="48"/>
  <c r="AO111" i="48"/>
  <c r="AN111" i="48"/>
  <c r="AM111" i="48"/>
  <c r="AL111" i="48"/>
  <c r="AK111" i="48"/>
  <c r="AJ111" i="48"/>
  <c r="AI111" i="48"/>
  <c r="AH111" i="48"/>
  <c r="AG111" i="48"/>
  <c r="AF111" i="48"/>
  <c r="AE111" i="48"/>
  <c r="AD111" i="48"/>
  <c r="AC111" i="48"/>
  <c r="AB111" i="48"/>
  <c r="AA111" i="48"/>
  <c r="Z111" i="48"/>
  <c r="Y111" i="48"/>
  <c r="X111" i="48"/>
  <c r="W111" i="48"/>
  <c r="V111" i="48"/>
  <c r="AO110" i="48"/>
  <c r="AN110" i="48"/>
  <c r="AM110" i="48"/>
  <c r="AL110" i="48"/>
  <c r="AK110" i="48"/>
  <c r="AJ110" i="48"/>
  <c r="AI110" i="48"/>
  <c r="AH110" i="48"/>
  <c r="AG110" i="48"/>
  <c r="AF110" i="48"/>
  <c r="AE110" i="48"/>
  <c r="AD110" i="48"/>
  <c r="AC110" i="48"/>
  <c r="AB110" i="48"/>
  <c r="AA110" i="48"/>
  <c r="Z110" i="48"/>
  <c r="Y110" i="48"/>
  <c r="X110" i="48"/>
  <c r="W110" i="48"/>
  <c r="V110" i="48"/>
  <c r="AO109" i="48"/>
  <c r="AN109" i="48"/>
  <c r="AM109" i="48"/>
  <c r="AL109" i="48"/>
  <c r="AK109" i="48"/>
  <c r="AJ109" i="48"/>
  <c r="AI109" i="48"/>
  <c r="AH109" i="48"/>
  <c r="AG109" i="48"/>
  <c r="AF109" i="48"/>
  <c r="AE109" i="48"/>
  <c r="AD109" i="48"/>
  <c r="AC109" i="48"/>
  <c r="AB109" i="48"/>
  <c r="AA109" i="48"/>
  <c r="Z109" i="48"/>
  <c r="Y109" i="48"/>
  <c r="X109" i="48"/>
  <c r="W109" i="48"/>
  <c r="V109" i="48"/>
  <c r="AO108" i="48"/>
  <c r="AN108" i="48"/>
  <c r="AM108" i="48"/>
  <c r="AL108" i="48"/>
  <c r="AK108" i="48"/>
  <c r="AJ108" i="48"/>
  <c r="AI108" i="48"/>
  <c r="AH108" i="48"/>
  <c r="AG108" i="48"/>
  <c r="AF108" i="48"/>
  <c r="AE108" i="48"/>
  <c r="AD108" i="48"/>
  <c r="AC108" i="48"/>
  <c r="AB108" i="48"/>
  <c r="AA108" i="48"/>
  <c r="Z108" i="48"/>
  <c r="Y108" i="48"/>
  <c r="X108" i="48"/>
  <c r="W108" i="48"/>
  <c r="V108" i="48"/>
  <c r="AO107" i="48"/>
  <c r="AN107" i="48"/>
  <c r="AM107" i="48"/>
  <c r="AL107" i="48"/>
  <c r="AK107" i="48"/>
  <c r="AJ107" i="48"/>
  <c r="AI107" i="48"/>
  <c r="AH107" i="48"/>
  <c r="AG107" i="48"/>
  <c r="AF107" i="48"/>
  <c r="AE107" i="48"/>
  <c r="AD107" i="48"/>
  <c r="AC107" i="48"/>
  <c r="AB107" i="48"/>
  <c r="AA107" i="48"/>
  <c r="Z107" i="48"/>
  <c r="Y107" i="48"/>
  <c r="X107" i="48"/>
  <c r="W107" i="48"/>
  <c r="V107" i="48"/>
  <c r="AO106" i="48"/>
  <c r="AN106" i="48"/>
  <c r="AM106" i="48"/>
  <c r="AL106" i="48"/>
  <c r="AK106" i="48"/>
  <c r="AJ106" i="48"/>
  <c r="AI106" i="48"/>
  <c r="AH106" i="48"/>
  <c r="AG106" i="48"/>
  <c r="AF106" i="48"/>
  <c r="AE106" i="48"/>
  <c r="AD106" i="48"/>
  <c r="AC106" i="48"/>
  <c r="AB106" i="48"/>
  <c r="AA106" i="48"/>
  <c r="Z106" i="48"/>
  <c r="Y106" i="48"/>
  <c r="X106" i="48"/>
  <c r="W106" i="48"/>
  <c r="V106" i="48"/>
  <c r="AO105" i="48"/>
  <c r="AN105" i="48"/>
  <c r="AM105" i="48"/>
  <c r="AL105" i="48"/>
  <c r="AK105" i="48"/>
  <c r="AJ105" i="48"/>
  <c r="AI105" i="48"/>
  <c r="AH105" i="48"/>
  <c r="AG105" i="48"/>
  <c r="AF105" i="48"/>
  <c r="AE105" i="48"/>
  <c r="AD105" i="48"/>
  <c r="AC105" i="48"/>
  <c r="AB105" i="48"/>
  <c r="AA105" i="48"/>
  <c r="Z105" i="48"/>
  <c r="Y105" i="48"/>
  <c r="X105" i="48"/>
  <c r="W105" i="48"/>
  <c r="V105" i="48"/>
  <c r="AO104" i="48"/>
  <c r="AN104" i="48"/>
  <c r="AM104" i="48"/>
  <c r="AL104" i="48"/>
  <c r="AK104" i="48"/>
  <c r="AJ104" i="48"/>
  <c r="AI104" i="48"/>
  <c r="AH104" i="48"/>
  <c r="AG104" i="48"/>
  <c r="AF104" i="48"/>
  <c r="AE104" i="48"/>
  <c r="AD104" i="48"/>
  <c r="AC104" i="48"/>
  <c r="AB104" i="48"/>
  <c r="AA104" i="48"/>
  <c r="Z104" i="48"/>
  <c r="Y104" i="48"/>
  <c r="X104" i="48"/>
  <c r="W104" i="48"/>
  <c r="V104" i="48"/>
  <c r="AO103" i="48"/>
  <c r="AN103" i="48"/>
  <c r="AM103" i="48"/>
  <c r="AL103" i="48"/>
  <c r="AK103" i="48"/>
  <c r="AJ103" i="48"/>
  <c r="AI103" i="48"/>
  <c r="AH103" i="48"/>
  <c r="AG103" i="48"/>
  <c r="AF103" i="48"/>
  <c r="AE103" i="48"/>
  <c r="AD103" i="48"/>
  <c r="AC103" i="48"/>
  <c r="AB103" i="48"/>
  <c r="AA103" i="48"/>
  <c r="Z103" i="48"/>
  <c r="Y103" i="48"/>
  <c r="X103" i="48"/>
  <c r="W103" i="48"/>
  <c r="V103" i="48"/>
  <c r="AO102" i="48"/>
  <c r="AN102" i="48"/>
  <c r="AM102" i="48"/>
  <c r="AL102" i="48"/>
  <c r="AK102" i="48"/>
  <c r="AJ102" i="48"/>
  <c r="AI102" i="48"/>
  <c r="AH102" i="48"/>
  <c r="AG102" i="48"/>
  <c r="AF102" i="48"/>
  <c r="AE102" i="48"/>
  <c r="AD102" i="48"/>
  <c r="AC102" i="48"/>
  <c r="AB102" i="48"/>
  <c r="AA102" i="48"/>
  <c r="Z102" i="48"/>
  <c r="Y102" i="48"/>
  <c r="X102" i="48"/>
  <c r="W102" i="48"/>
  <c r="V102" i="48"/>
  <c r="AO101" i="48"/>
  <c r="AN101" i="48"/>
  <c r="AM101" i="48"/>
  <c r="AL101" i="48"/>
  <c r="AK101" i="48"/>
  <c r="AJ101" i="48"/>
  <c r="AI101" i="48"/>
  <c r="AH101" i="48"/>
  <c r="AG101" i="48"/>
  <c r="AF101" i="48"/>
  <c r="AE101" i="48"/>
  <c r="AD101" i="48"/>
  <c r="AC101" i="48"/>
  <c r="AB101" i="48"/>
  <c r="AA101" i="48"/>
  <c r="Z101" i="48"/>
  <c r="Y101" i="48"/>
  <c r="X101" i="48"/>
  <c r="W101" i="48"/>
  <c r="V101" i="48"/>
  <c r="AO100" i="48"/>
  <c r="AN100" i="48"/>
  <c r="AM100" i="48"/>
  <c r="AL100" i="48"/>
  <c r="AK100" i="48"/>
  <c r="AJ100" i="48"/>
  <c r="AI100" i="48"/>
  <c r="AH100" i="48"/>
  <c r="AG100" i="48"/>
  <c r="AF100" i="48"/>
  <c r="AE100" i="48"/>
  <c r="AD100" i="48"/>
  <c r="AC100" i="48"/>
  <c r="AB100" i="48"/>
  <c r="AA100" i="48"/>
  <c r="Z100" i="48"/>
  <c r="Y100" i="48"/>
  <c r="X100" i="48"/>
  <c r="W100" i="48"/>
  <c r="V100" i="48"/>
  <c r="AV95" i="48"/>
  <c r="AD95" i="48"/>
  <c r="AA95" i="48"/>
  <c r="Z95" i="48"/>
  <c r="Y95" i="48"/>
  <c r="X95" i="48"/>
  <c r="AV94" i="48"/>
  <c r="AC94" i="48"/>
  <c r="AB94" i="48"/>
  <c r="AA94" i="48"/>
  <c r="Z94" i="48"/>
  <c r="X94" i="48"/>
  <c r="W94" i="48"/>
  <c r="V94" i="48"/>
  <c r="AV93" i="48"/>
  <c r="AE93" i="48"/>
  <c r="AD93" i="48"/>
  <c r="AC93" i="48"/>
  <c r="AB93" i="48"/>
  <c r="Y93" i="48"/>
  <c r="W93" i="48"/>
  <c r="V93" i="48"/>
  <c r="AV92" i="48"/>
  <c r="AD92" i="48"/>
  <c r="AA92" i="48"/>
  <c r="Z92" i="48"/>
  <c r="Y92" i="48"/>
  <c r="X92" i="48"/>
  <c r="AV91" i="48"/>
  <c r="AC91" i="48"/>
  <c r="AB91" i="48"/>
  <c r="AA91" i="48"/>
  <c r="Z91" i="48"/>
  <c r="X91" i="48"/>
  <c r="W91" i="48"/>
  <c r="V91" i="48"/>
  <c r="AV90" i="48"/>
  <c r="AD90" i="48"/>
  <c r="AC90" i="48"/>
  <c r="AB90" i="48"/>
  <c r="AE90" i="48" s="1"/>
  <c r="Y90" i="48"/>
  <c r="W90" i="48"/>
  <c r="V90" i="48"/>
  <c r="AV89" i="48"/>
  <c r="AD89" i="48"/>
  <c r="AA89" i="48"/>
  <c r="Z89" i="48"/>
  <c r="Y89" i="48"/>
  <c r="X89" i="48"/>
  <c r="AV88" i="48"/>
  <c r="AC88" i="48"/>
  <c r="AB88" i="48"/>
  <c r="AA88" i="48"/>
  <c r="Z88" i="48"/>
  <c r="X88" i="48"/>
  <c r="W88" i="48"/>
  <c r="V88" i="48"/>
  <c r="AV87" i="48"/>
  <c r="AE87" i="48"/>
  <c r="AD87" i="48"/>
  <c r="AC87" i="48"/>
  <c r="AB87" i="48"/>
  <c r="Y87" i="48"/>
  <c r="W87" i="48"/>
  <c r="V87" i="48"/>
  <c r="AV86" i="48"/>
  <c r="AV85" i="48"/>
  <c r="AV84" i="48"/>
  <c r="AV83" i="48"/>
  <c r="AV82" i="48"/>
  <c r="Z82" i="48"/>
  <c r="Y82" i="48"/>
  <c r="X82" i="48"/>
  <c r="W82" i="48"/>
  <c r="V82" i="48"/>
  <c r="AV81" i="48"/>
  <c r="Z81" i="48"/>
  <c r="Y81" i="48"/>
  <c r="X81" i="48"/>
  <c r="W81" i="48"/>
  <c r="V81" i="48"/>
  <c r="AV80" i="48"/>
  <c r="Z80" i="48"/>
  <c r="Y80" i="48"/>
  <c r="X80" i="48"/>
  <c r="W80" i="48"/>
  <c r="V80" i="48"/>
  <c r="AV79" i="48"/>
  <c r="Z79" i="48"/>
  <c r="Y79" i="48"/>
  <c r="X79" i="48"/>
  <c r="W79" i="48"/>
  <c r="V79" i="48"/>
  <c r="AV78" i="48"/>
  <c r="Z78" i="48"/>
  <c r="Y78" i="48"/>
  <c r="X78" i="48"/>
  <c r="W78" i="48"/>
  <c r="V78" i="48"/>
  <c r="AV77" i="48"/>
  <c r="Z77" i="48"/>
  <c r="Y77" i="48"/>
  <c r="X77" i="48"/>
  <c r="W77" i="48"/>
  <c r="V77" i="48"/>
  <c r="AV76" i="48"/>
  <c r="Z76" i="48"/>
  <c r="Y76" i="48"/>
  <c r="X76" i="48"/>
  <c r="W76" i="48"/>
  <c r="V76" i="48"/>
  <c r="AV75" i="48"/>
  <c r="Z75" i="48"/>
  <c r="Y75" i="48"/>
  <c r="X75" i="48"/>
  <c r="W75" i="48"/>
  <c r="V75" i="48"/>
  <c r="AV74" i="48"/>
  <c r="Z74" i="48"/>
  <c r="Y74" i="48"/>
  <c r="X74" i="48"/>
  <c r="W74" i="48"/>
  <c r="V74" i="48"/>
  <c r="AV73" i="48"/>
  <c r="Z73" i="48"/>
  <c r="Y73" i="48"/>
  <c r="X73" i="48"/>
  <c r="W73" i="48"/>
  <c r="V73" i="48"/>
  <c r="AV72" i="48"/>
  <c r="AV71" i="48"/>
  <c r="AV70" i="48"/>
  <c r="AV69" i="48"/>
  <c r="AV68" i="48"/>
  <c r="AA68" i="48"/>
  <c r="Z68" i="48"/>
  <c r="Y68" i="48"/>
  <c r="X68" i="48"/>
  <c r="W68" i="48"/>
  <c r="V68" i="48"/>
  <c r="AV67" i="48"/>
  <c r="AA67" i="48"/>
  <c r="Z67" i="48"/>
  <c r="Y67" i="48"/>
  <c r="X67" i="48"/>
  <c r="W67" i="48"/>
  <c r="V67" i="48"/>
  <c r="AV66" i="48"/>
  <c r="AA66" i="48"/>
  <c r="Z66" i="48"/>
  <c r="Y66" i="48"/>
  <c r="X66" i="48"/>
  <c r="W66" i="48"/>
  <c r="V66" i="48"/>
  <c r="AV65" i="48"/>
  <c r="AA65" i="48"/>
  <c r="Z65" i="48"/>
  <c r="Y65" i="48"/>
  <c r="X65" i="48"/>
  <c r="W65" i="48"/>
  <c r="V65" i="48"/>
  <c r="AV64" i="48"/>
  <c r="AA64" i="48"/>
  <c r="Z64" i="48"/>
  <c r="Y64" i="48"/>
  <c r="X64" i="48"/>
  <c r="W64" i="48"/>
  <c r="V64" i="48"/>
  <c r="AV63" i="48"/>
  <c r="AA63" i="48"/>
  <c r="Z63" i="48"/>
  <c r="Y63" i="48"/>
  <c r="X63" i="48"/>
  <c r="W63" i="48"/>
  <c r="V63" i="48"/>
  <c r="AV62" i="48"/>
  <c r="AA62" i="48"/>
  <c r="Z62" i="48"/>
  <c r="Y62" i="48"/>
  <c r="X62" i="48"/>
  <c r="W62" i="48"/>
  <c r="V62" i="48"/>
  <c r="AV61" i="48"/>
  <c r="AA61" i="48"/>
  <c r="Z61" i="48"/>
  <c r="Y61" i="48"/>
  <c r="X61" i="48"/>
  <c r="W61" i="48"/>
  <c r="V61" i="48"/>
  <c r="AV60" i="48"/>
  <c r="AA60" i="48"/>
  <c r="Z60" i="48"/>
  <c r="Y60" i="48"/>
  <c r="X60" i="48"/>
  <c r="W60" i="48"/>
  <c r="V60" i="48"/>
  <c r="AV59" i="48"/>
  <c r="AA59" i="48"/>
  <c r="Z59" i="48"/>
  <c r="Y59" i="48"/>
  <c r="X59" i="48"/>
  <c r="W59" i="48"/>
  <c r="V59" i="48"/>
  <c r="AV58" i="48"/>
  <c r="AQ58" i="48"/>
  <c r="AQ59" i="48" s="1"/>
  <c r="AA58" i="48"/>
  <c r="Z58" i="48"/>
  <c r="Y58" i="48"/>
  <c r="X58" i="48"/>
  <c r="W58" i="48"/>
  <c r="V58" i="48"/>
  <c r="B58" i="48"/>
  <c r="AV57" i="48"/>
  <c r="AA57" i="48"/>
  <c r="Z57" i="48"/>
  <c r="Y57" i="48"/>
  <c r="X57" i="48"/>
  <c r="W57" i="48"/>
  <c r="V57" i="48"/>
  <c r="AV56" i="48"/>
  <c r="AA56" i="48"/>
  <c r="Z56" i="48"/>
  <c r="Y56" i="48"/>
  <c r="X56" i="48"/>
  <c r="W56" i="48"/>
  <c r="V56" i="48"/>
  <c r="V49" i="48" s="1"/>
  <c r="AV55" i="48"/>
  <c r="B55" i="48"/>
  <c r="AV54" i="48"/>
  <c r="AV53" i="48"/>
  <c r="AV52" i="48"/>
  <c r="AV51" i="48"/>
  <c r="V50" i="48"/>
  <c r="AP44" i="48"/>
  <c r="B59" i="48" s="1"/>
  <c r="AP43" i="48"/>
  <c r="AP42" i="48"/>
  <c r="B57" i="48" s="1"/>
  <c r="AP41" i="48"/>
  <c r="B56" i="48" s="1"/>
  <c r="AP40" i="48"/>
  <c r="B40" i="48"/>
  <c r="AL35" i="48"/>
  <c r="AG35" i="48"/>
  <c r="Q35" i="48"/>
  <c r="E18" i="48" s="1"/>
  <c r="P35" i="48"/>
  <c r="J35" i="48"/>
  <c r="E36" i="48" s="1"/>
  <c r="B35" i="48"/>
  <c r="AL34" i="48"/>
  <c r="AG34" i="48"/>
  <c r="J34" i="48"/>
  <c r="E35" i="48" s="1"/>
  <c r="AL33" i="48"/>
  <c r="AG33" i="48"/>
  <c r="AL32" i="48"/>
  <c r="AG32" i="48"/>
  <c r="AL31" i="48"/>
  <c r="AG31" i="48"/>
  <c r="AL30" i="48"/>
  <c r="AG30" i="48"/>
  <c r="AL29" i="48"/>
  <c r="AG29" i="48"/>
  <c r="B29" i="48"/>
  <c r="AL28" i="48"/>
  <c r="AG28" i="48"/>
  <c r="AQ27" i="48"/>
  <c r="AL27" i="48"/>
  <c r="AG27" i="48"/>
  <c r="B27" i="48"/>
  <c r="P25" i="48"/>
  <c r="P24" i="48"/>
  <c r="I24" i="48"/>
  <c r="G24" i="48"/>
  <c r="E24" i="48"/>
  <c r="C24" i="48"/>
  <c r="I23" i="48"/>
  <c r="G23" i="48"/>
  <c r="E23" i="48"/>
  <c r="C23" i="48"/>
  <c r="I22" i="48"/>
  <c r="G22" i="48"/>
  <c r="E22" i="48"/>
  <c r="C22" i="48"/>
  <c r="I21" i="48"/>
  <c r="G21" i="48"/>
  <c r="E21" i="48"/>
  <c r="C21" i="48"/>
  <c r="AQ20" i="48"/>
  <c r="AI20" i="48"/>
  <c r="I20" i="48"/>
  <c r="AQ19" i="48"/>
  <c r="AI19" i="48"/>
  <c r="AQ18" i="48"/>
  <c r="AI18" i="48"/>
  <c r="AJ18" i="48" s="1"/>
  <c r="AK18" i="48" s="1"/>
  <c r="AV26" i="48" s="1"/>
  <c r="I18" i="48"/>
  <c r="AI17" i="48"/>
  <c r="V17" i="48"/>
  <c r="AI16" i="48"/>
  <c r="V16" i="48"/>
  <c r="AI15" i="48"/>
  <c r="V15" i="48"/>
  <c r="W16" i="48" s="1"/>
  <c r="U35" i="48" s="1"/>
  <c r="V28" i="48" s="1"/>
  <c r="AQ14" i="48"/>
  <c r="AI14" i="48"/>
  <c r="I14" i="48"/>
  <c r="AQ13" i="48"/>
  <c r="AI13" i="48"/>
  <c r="AJ12" i="48" s="1"/>
  <c r="AK12" i="48" s="1"/>
  <c r="AT26" i="48" s="1"/>
  <c r="AQ12" i="48"/>
  <c r="AI12" i="48"/>
  <c r="AI11" i="48"/>
  <c r="AI10" i="48"/>
  <c r="V10" i="48"/>
  <c r="AI9" i="48"/>
  <c r="AJ9" i="48" s="1"/>
  <c r="V9" i="48"/>
  <c r="AQ8" i="48"/>
  <c r="W8" i="48"/>
  <c r="U32" i="48" s="1"/>
  <c r="V8" i="48"/>
  <c r="AQ7" i="48"/>
  <c r="Y7" i="48"/>
  <c r="AQ6" i="48"/>
  <c r="AG28" i="47"/>
  <c r="AG29" i="47"/>
  <c r="AG30" i="47"/>
  <c r="AG31" i="47"/>
  <c r="AG32" i="47"/>
  <c r="AG33" i="47"/>
  <c r="AG34" i="47"/>
  <c r="AG35" i="47"/>
  <c r="AG36" i="47"/>
  <c r="AG37" i="47"/>
  <c r="AG38" i="47"/>
  <c r="AG39" i="47"/>
  <c r="AG40" i="47"/>
  <c r="AG41" i="47"/>
  <c r="AG27" i="47"/>
  <c r="W16" i="47"/>
  <c r="V17" i="47"/>
  <c r="V16" i="47"/>
  <c r="V15" i="47"/>
  <c r="V9" i="47"/>
  <c r="V8" i="47"/>
  <c r="W8" i="47" s="1"/>
  <c r="AO179" i="47"/>
  <c r="AN179" i="47"/>
  <c r="AM179" i="47"/>
  <c r="AL179" i="47"/>
  <c r="AK179" i="47"/>
  <c r="AJ179" i="47"/>
  <c r="AI179" i="47"/>
  <c r="AH179" i="47"/>
  <c r="AG179" i="47"/>
  <c r="AF179" i="47"/>
  <c r="AE179" i="47"/>
  <c r="AD179" i="47"/>
  <c r="AC179" i="47"/>
  <c r="AB179" i="47"/>
  <c r="AA179" i="47"/>
  <c r="Z179" i="47"/>
  <c r="Y179" i="47"/>
  <c r="X179" i="47"/>
  <c r="W179" i="47"/>
  <c r="V179" i="47"/>
  <c r="AO178" i="47"/>
  <c r="AN178" i="47"/>
  <c r="AM178" i="47"/>
  <c r="AL178" i="47"/>
  <c r="AK178" i="47"/>
  <c r="AJ178" i="47"/>
  <c r="AI178" i="47"/>
  <c r="AH178" i="47"/>
  <c r="AG178" i="47"/>
  <c r="AF178" i="47"/>
  <c r="AE178" i="47"/>
  <c r="AD178" i="47"/>
  <c r="AC178" i="47"/>
  <c r="AB178" i="47"/>
  <c r="AA178" i="47"/>
  <c r="Z178" i="47"/>
  <c r="Y178" i="47"/>
  <c r="X178" i="47"/>
  <c r="W178" i="47"/>
  <c r="V178" i="47"/>
  <c r="AO177" i="47"/>
  <c r="AN177" i="47"/>
  <c r="AM177" i="47"/>
  <c r="AL177" i="47"/>
  <c r="AK177" i="47"/>
  <c r="AJ177" i="47"/>
  <c r="AI177" i="47"/>
  <c r="AH177" i="47"/>
  <c r="AG177" i="47"/>
  <c r="AF177" i="47"/>
  <c r="AE177" i="47"/>
  <c r="AD177" i="47"/>
  <c r="AC177" i="47"/>
  <c r="AB177" i="47"/>
  <c r="AA177" i="47"/>
  <c r="Z177" i="47"/>
  <c r="Y177" i="47"/>
  <c r="X177" i="47"/>
  <c r="W177" i="47"/>
  <c r="V177" i="47"/>
  <c r="AO176" i="47"/>
  <c r="AN176" i="47"/>
  <c r="AM176" i="47"/>
  <c r="AL176" i="47"/>
  <c r="AK176" i="47"/>
  <c r="AJ176" i="47"/>
  <c r="AI176" i="47"/>
  <c r="AH176" i="47"/>
  <c r="AG176" i="47"/>
  <c r="AF176" i="47"/>
  <c r="AE176" i="47"/>
  <c r="AD176" i="47"/>
  <c r="AC176" i="47"/>
  <c r="AB176" i="47"/>
  <c r="AA176" i="47"/>
  <c r="Z176" i="47"/>
  <c r="Y176" i="47"/>
  <c r="X176" i="47"/>
  <c r="W176" i="47"/>
  <c r="V176" i="47"/>
  <c r="AO175" i="47"/>
  <c r="AN175" i="47"/>
  <c r="AM175" i="47"/>
  <c r="AL175" i="47"/>
  <c r="AK175" i="47"/>
  <c r="AJ175" i="47"/>
  <c r="AI175" i="47"/>
  <c r="AH175" i="47"/>
  <c r="AG175" i="47"/>
  <c r="AF175" i="47"/>
  <c r="AE175" i="47"/>
  <c r="AD175" i="47"/>
  <c r="AC175" i="47"/>
  <c r="AB175" i="47"/>
  <c r="AA175" i="47"/>
  <c r="Z175" i="47"/>
  <c r="Y175" i="47"/>
  <c r="X175" i="47"/>
  <c r="W175" i="47"/>
  <c r="V175" i="47"/>
  <c r="AO174" i="47"/>
  <c r="AN174" i="47"/>
  <c r="AM174" i="47"/>
  <c r="AL174" i="47"/>
  <c r="AK174" i="47"/>
  <c r="AJ174" i="47"/>
  <c r="AI174" i="47"/>
  <c r="AH174" i="47"/>
  <c r="AG174" i="47"/>
  <c r="AF174" i="47"/>
  <c r="AE174" i="47"/>
  <c r="AD174" i="47"/>
  <c r="AC174" i="47"/>
  <c r="AB174" i="47"/>
  <c r="AA174" i="47"/>
  <c r="Z174" i="47"/>
  <c r="Y174" i="47"/>
  <c r="X174" i="47"/>
  <c r="W174" i="47"/>
  <c r="V174" i="47"/>
  <c r="AO173" i="47"/>
  <c r="AN173" i="47"/>
  <c r="AM173" i="47"/>
  <c r="AL173" i="47"/>
  <c r="AK173" i="47"/>
  <c r="AJ173" i="47"/>
  <c r="AI173" i="47"/>
  <c r="AH173" i="47"/>
  <c r="AG173" i="47"/>
  <c r="AF173" i="47"/>
  <c r="AE173" i="47"/>
  <c r="AD173" i="47"/>
  <c r="AC173" i="47"/>
  <c r="AB173" i="47"/>
  <c r="AA173" i="47"/>
  <c r="Z173" i="47"/>
  <c r="Y173" i="47"/>
  <c r="X173" i="47"/>
  <c r="W173" i="47"/>
  <c r="V173" i="47"/>
  <c r="AO172" i="47"/>
  <c r="AN172" i="47"/>
  <c r="AM172" i="47"/>
  <c r="AL172" i="47"/>
  <c r="AK172" i="47"/>
  <c r="AJ172" i="47"/>
  <c r="AI172" i="47"/>
  <c r="AH172" i="47"/>
  <c r="AG172" i="47"/>
  <c r="AF172" i="47"/>
  <c r="AE172" i="47"/>
  <c r="AD172" i="47"/>
  <c r="AC172" i="47"/>
  <c r="AB172" i="47"/>
  <c r="AA172" i="47"/>
  <c r="Z172" i="47"/>
  <c r="Y172" i="47"/>
  <c r="X172" i="47"/>
  <c r="W172" i="47"/>
  <c r="V172" i="47"/>
  <c r="AO171" i="47"/>
  <c r="AN171" i="47"/>
  <c r="AM171" i="47"/>
  <c r="AL171" i="47"/>
  <c r="AK171" i="47"/>
  <c r="AJ171" i="47"/>
  <c r="AI171" i="47"/>
  <c r="AH171" i="47"/>
  <c r="AG171" i="47"/>
  <c r="AF171" i="47"/>
  <c r="AE171" i="47"/>
  <c r="AD171" i="47"/>
  <c r="AC171" i="47"/>
  <c r="AB171" i="47"/>
  <c r="AA171" i="47"/>
  <c r="Z171" i="47"/>
  <c r="Y171" i="47"/>
  <c r="X171" i="47"/>
  <c r="W171" i="47"/>
  <c r="V171" i="47"/>
  <c r="AO170" i="47"/>
  <c r="AN170" i="47"/>
  <c r="AM170" i="47"/>
  <c r="AL170" i="47"/>
  <c r="AK170" i="47"/>
  <c r="AJ170" i="47"/>
  <c r="AI170" i="47"/>
  <c r="AH170" i="47"/>
  <c r="AG170" i="47"/>
  <c r="AF170" i="47"/>
  <c r="AE170" i="47"/>
  <c r="AD170" i="47"/>
  <c r="AC170" i="47"/>
  <c r="AB170" i="47"/>
  <c r="AA170" i="47"/>
  <c r="Z170" i="47"/>
  <c r="Y170" i="47"/>
  <c r="X170" i="47"/>
  <c r="W170" i="47"/>
  <c r="V170" i="47"/>
  <c r="AO169" i="47"/>
  <c r="AN169" i="47"/>
  <c r="AM169" i="47"/>
  <c r="AL169" i="47"/>
  <c r="AK169" i="47"/>
  <c r="AJ169" i="47"/>
  <c r="AI169" i="47"/>
  <c r="AH169" i="47"/>
  <c r="AG169" i="47"/>
  <c r="AF169" i="47"/>
  <c r="AE169" i="47"/>
  <c r="AD169" i="47"/>
  <c r="AC169" i="47"/>
  <c r="AB169" i="47"/>
  <c r="AA169" i="47"/>
  <c r="Z169" i="47"/>
  <c r="Y169" i="47"/>
  <c r="X169" i="47"/>
  <c r="W169" i="47"/>
  <c r="V169" i="47"/>
  <c r="AO168" i="47"/>
  <c r="AN168" i="47"/>
  <c r="AM168" i="47"/>
  <c r="AL168" i="47"/>
  <c r="AK168" i="47"/>
  <c r="AJ168" i="47"/>
  <c r="AI168" i="47"/>
  <c r="AH168" i="47"/>
  <c r="AG168" i="47"/>
  <c r="AF168" i="47"/>
  <c r="AE168" i="47"/>
  <c r="AD168" i="47"/>
  <c r="AC168" i="47"/>
  <c r="AB168" i="47"/>
  <c r="AB95" i="47" s="1"/>
  <c r="AE95" i="47" s="1"/>
  <c r="AA168" i="47"/>
  <c r="Z168" i="47"/>
  <c r="Y168" i="47"/>
  <c r="X168" i="47"/>
  <c r="W168" i="47"/>
  <c r="V168" i="47"/>
  <c r="V95" i="47" s="1"/>
  <c r="AO167" i="47"/>
  <c r="AN167" i="47"/>
  <c r="AM167" i="47"/>
  <c r="AL167" i="47"/>
  <c r="AK167" i="47"/>
  <c r="AJ167" i="47"/>
  <c r="AI167" i="47"/>
  <c r="AH167" i="47"/>
  <c r="AG167" i="47"/>
  <c r="AF167" i="47"/>
  <c r="AE167" i="47"/>
  <c r="AD167" i="47"/>
  <c r="AD94" i="47" s="1"/>
  <c r="AC167" i="47"/>
  <c r="AB167" i="47"/>
  <c r="AA167" i="47"/>
  <c r="Z167" i="47"/>
  <c r="Y167" i="47"/>
  <c r="X167" i="47"/>
  <c r="W167" i="47"/>
  <c r="V167" i="47"/>
  <c r="AO166" i="47"/>
  <c r="AN166" i="47"/>
  <c r="AM166" i="47"/>
  <c r="AL166" i="47"/>
  <c r="X93" i="47" s="1"/>
  <c r="AK166" i="47"/>
  <c r="AJ166" i="47"/>
  <c r="AI166" i="47"/>
  <c r="AH166" i="47"/>
  <c r="AG166" i="47"/>
  <c r="AF166" i="47"/>
  <c r="AE166" i="47"/>
  <c r="AD166" i="47"/>
  <c r="AC166" i="47"/>
  <c r="AB166" i="47"/>
  <c r="AA166" i="47"/>
  <c r="Z166" i="47"/>
  <c r="Z93" i="47" s="1"/>
  <c r="Y166" i="47"/>
  <c r="X166" i="47"/>
  <c r="W166" i="47"/>
  <c r="V166" i="47"/>
  <c r="AO165" i="47"/>
  <c r="AN165" i="47"/>
  <c r="AM165" i="47"/>
  <c r="AL165" i="47"/>
  <c r="AK165" i="47"/>
  <c r="AJ165" i="47"/>
  <c r="AI165" i="47"/>
  <c r="AH165" i="47"/>
  <c r="AG165" i="47"/>
  <c r="AF165" i="47"/>
  <c r="AE165" i="47"/>
  <c r="AD165" i="47"/>
  <c r="AC165" i="47"/>
  <c r="AB165" i="47"/>
  <c r="AB92" i="47" s="1"/>
  <c r="AE92" i="47" s="1"/>
  <c r="AA165" i="47"/>
  <c r="Z165" i="47"/>
  <c r="Y165" i="47"/>
  <c r="X165" i="47"/>
  <c r="W165" i="47"/>
  <c r="V165" i="47"/>
  <c r="V92" i="47" s="1"/>
  <c r="AO164" i="47"/>
  <c r="AN164" i="47"/>
  <c r="AM164" i="47"/>
  <c r="AL164" i="47"/>
  <c r="AK164" i="47"/>
  <c r="AJ164" i="47"/>
  <c r="AI164" i="47"/>
  <c r="AH164" i="47"/>
  <c r="AG164" i="47"/>
  <c r="AF164" i="47"/>
  <c r="AE164" i="47"/>
  <c r="AD164" i="47"/>
  <c r="AD91" i="47" s="1"/>
  <c r="AC164" i="47"/>
  <c r="AB164" i="47"/>
  <c r="AA164" i="47"/>
  <c r="Z164" i="47"/>
  <c r="Y164" i="47"/>
  <c r="X164" i="47"/>
  <c r="W164" i="47"/>
  <c r="V164" i="47"/>
  <c r="AO163" i="47"/>
  <c r="AN163" i="47"/>
  <c r="AM163" i="47"/>
  <c r="AL163" i="47"/>
  <c r="X90" i="47" s="1"/>
  <c r="AK163" i="47"/>
  <c r="AJ163" i="47"/>
  <c r="AI163" i="47"/>
  <c r="AH163" i="47"/>
  <c r="AG163" i="47"/>
  <c r="AF163" i="47"/>
  <c r="AE163" i="47"/>
  <c r="AD163" i="47"/>
  <c r="AC163" i="47"/>
  <c r="AB163" i="47"/>
  <c r="AA163" i="47"/>
  <c r="Z163" i="47"/>
  <c r="Z90" i="47" s="1"/>
  <c r="Y163" i="47"/>
  <c r="X163" i="47"/>
  <c r="W163" i="47"/>
  <c r="V163" i="47"/>
  <c r="AO162" i="47"/>
  <c r="AN162" i="47"/>
  <c r="AM162" i="47"/>
  <c r="AL162" i="47"/>
  <c r="AK162" i="47"/>
  <c r="AJ162" i="47"/>
  <c r="AI162" i="47"/>
  <c r="AH162" i="47"/>
  <c r="AG162" i="47"/>
  <c r="AF162" i="47"/>
  <c r="AE162" i="47"/>
  <c r="AD162" i="47"/>
  <c r="AC162" i="47"/>
  <c r="AB162" i="47"/>
  <c r="AB89" i="47" s="1"/>
  <c r="AE89" i="47" s="1"/>
  <c r="AA162" i="47"/>
  <c r="Z162" i="47"/>
  <c r="Y162" i="47"/>
  <c r="X162" i="47"/>
  <c r="W162" i="47"/>
  <c r="V162" i="47"/>
  <c r="V89" i="47" s="1"/>
  <c r="AO161" i="47"/>
  <c r="AN161" i="47"/>
  <c r="AM161" i="47"/>
  <c r="AL161" i="47"/>
  <c r="AK161" i="47"/>
  <c r="AJ161" i="47"/>
  <c r="AI161" i="47"/>
  <c r="AH161" i="47"/>
  <c r="AG161" i="47"/>
  <c r="AF161" i="47"/>
  <c r="AE161" i="47"/>
  <c r="AD161" i="47"/>
  <c r="AD88" i="47" s="1"/>
  <c r="AC161" i="47"/>
  <c r="AB161" i="47"/>
  <c r="AA161" i="47"/>
  <c r="Z161" i="47"/>
  <c r="Y161" i="47"/>
  <c r="X161" i="47"/>
  <c r="W161" i="47"/>
  <c r="V161" i="47"/>
  <c r="AO160" i="47"/>
  <c r="AN160" i="47"/>
  <c r="AM160" i="47"/>
  <c r="AL160" i="47"/>
  <c r="X87" i="47" s="1"/>
  <c r="AK160" i="47"/>
  <c r="AJ160" i="47"/>
  <c r="AI160" i="47"/>
  <c r="AH160" i="47"/>
  <c r="AG160" i="47"/>
  <c r="AF160" i="47"/>
  <c r="AE160" i="47"/>
  <c r="AD160" i="47"/>
  <c r="AC160" i="47"/>
  <c r="AB160" i="47"/>
  <c r="AA160" i="47"/>
  <c r="Z160" i="47"/>
  <c r="Z87" i="47" s="1"/>
  <c r="Y160" i="47"/>
  <c r="X160" i="47"/>
  <c r="W160" i="47"/>
  <c r="V160" i="47"/>
  <c r="AO159" i="47"/>
  <c r="AN159" i="47"/>
  <c r="AM159" i="47"/>
  <c r="AL159" i="47"/>
  <c r="AK159" i="47"/>
  <c r="AJ159" i="47"/>
  <c r="AI159" i="47"/>
  <c r="AH159" i="47"/>
  <c r="AG159" i="47"/>
  <c r="AF159" i="47"/>
  <c r="AE159" i="47"/>
  <c r="AD159" i="47"/>
  <c r="AC159" i="47"/>
  <c r="AB159" i="47"/>
  <c r="AA159" i="47"/>
  <c r="Z159" i="47"/>
  <c r="Y159" i="47"/>
  <c r="X159" i="47"/>
  <c r="W159" i="47"/>
  <c r="V159" i="47"/>
  <c r="AO158" i="47"/>
  <c r="AN158" i="47"/>
  <c r="AM158" i="47"/>
  <c r="AL158" i="47"/>
  <c r="AK158" i="47"/>
  <c r="AJ158" i="47"/>
  <c r="AI158" i="47"/>
  <c r="AH158" i="47"/>
  <c r="AG158" i="47"/>
  <c r="AF158" i="47"/>
  <c r="AE158" i="47"/>
  <c r="AD158" i="47"/>
  <c r="AC158" i="47"/>
  <c r="AB158" i="47"/>
  <c r="AA158" i="47"/>
  <c r="Z158" i="47"/>
  <c r="Y158" i="47"/>
  <c r="X158" i="47"/>
  <c r="W158" i="47"/>
  <c r="V158" i="47"/>
  <c r="AO157" i="47"/>
  <c r="AN157" i="47"/>
  <c r="AM157" i="47"/>
  <c r="AL157" i="47"/>
  <c r="AK157" i="47"/>
  <c r="AJ157" i="47"/>
  <c r="AI157" i="47"/>
  <c r="AH157" i="47"/>
  <c r="AG157" i="47"/>
  <c r="AF157" i="47"/>
  <c r="AE157" i="47"/>
  <c r="AD157" i="47"/>
  <c r="AC157" i="47"/>
  <c r="AB157" i="47"/>
  <c r="AA157" i="47"/>
  <c r="Z157" i="47"/>
  <c r="Y157" i="47"/>
  <c r="X157" i="47"/>
  <c r="W157" i="47"/>
  <c r="V157" i="47"/>
  <c r="AO156" i="47"/>
  <c r="AN156" i="47"/>
  <c r="AM156" i="47"/>
  <c r="AL156" i="47"/>
  <c r="AK156" i="47"/>
  <c r="AJ156" i="47"/>
  <c r="AI156" i="47"/>
  <c r="AH156" i="47"/>
  <c r="AG156" i="47"/>
  <c r="AF156" i="47"/>
  <c r="AE156" i="47"/>
  <c r="AD156" i="47"/>
  <c r="AC156" i="47"/>
  <c r="AB156" i="47"/>
  <c r="AA156" i="47"/>
  <c r="Z156" i="47"/>
  <c r="Y156" i="47"/>
  <c r="X156" i="47"/>
  <c r="W156" i="47"/>
  <c r="V156" i="47"/>
  <c r="AO155" i="47"/>
  <c r="AN155" i="47"/>
  <c r="AM155" i="47"/>
  <c r="AL155" i="47"/>
  <c r="AK155" i="47"/>
  <c r="AJ155" i="47"/>
  <c r="AI155" i="47"/>
  <c r="AH155" i="47"/>
  <c r="AG155" i="47"/>
  <c r="AF155" i="47"/>
  <c r="AE155" i="47"/>
  <c r="AD155" i="47"/>
  <c r="AC155" i="47"/>
  <c r="AB155" i="47"/>
  <c r="AA155" i="47"/>
  <c r="Z155" i="47"/>
  <c r="Y155" i="47"/>
  <c r="X155" i="47"/>
  <c r="W155" i="47"/>
  <c r="V155" i="47"/>
  <c r="AO154" i="47"/>
  <c r="AN154" i="47"/>
  <c r="AM154" i="47"/>
  <c r="AL154" i="47"/>
  <c r="AK154" i="47"/>
  <c r="AJ154" i="47"/>
  <c r="AI154" i="47"/>
  <c r="AH154" i="47"/>
  <c r="AG154" i="47"/>
  <c r="AF154" i="47"/>
  <c r="AE154" i="47"/>
  <c r="AD154" i="47"/>
  <c r="AC154" i="47"/>
  <c r="AB154" i="47"/>
  <c r="AA154" i="47"/>
  <c r="Z154" i="47"/>
  <c r="Y154" i="47"/>
  <c r="X154" i="47"/>
  <c r="W154" i="47"/>
  <c r="V154" i="47"/>
  <c r="AO153" i="47"/>
  <c r="AN153" i="47"/>
  <c r="AM153" i="47"/>
  <c r="AL153" i="47"/>
  <c r="AK153" i="47"/>
  <c r="AJ153" i="47"/>
  <c r="AI153" i="47"/>
  <c r="AH153" i="47"/>
  <c r="AG153" i="47"/>
  <c r="AF153" i="47"/>
  <c r="AE153" i="47"/>
  <c r="AD153" i="47"/>
  <c r="AC153" i="47"/>
  <c r="AB153" i="47"/>
  <c r="AA153" i="47"/>
  <c r="Z153" i="47"/>
  <c r="Y153" i="47"/>
  <c r="X153" i="47"/>
  <c r="W153" i="47"/>
  <c r="V153" i="47"/>
  <c r="AO152" i="47"/>
  <c r="AN152" i="47"/>
  <c r="AM152" i="47"/>
  <c r="AL152" i="47"/>
  <c r="AK152" i="47"/>
  <c r="AJ152" i="47"/>
  <c r="AI152" i="47"/>
  <c r="AH152" i="47"/>
  <c r="AG152" i="47"/>
  <c r="AF152" i="47"/>
  <c r="AE152" i="47"/>
  <c r="AD152" i="47"/>
  <c r="AC152" i="47"/>
  <c r="AB152" i="47"/>
  <c r="AA152" i="47"/>
  <c r="Z152" i="47"/>
  <c r="Y152" i="47"/>
  <c r="X152" i="47"/>
  <c r="W152" i="47"/>
  <c r="V152" i="47"/>
  <c r="AO151" i="47"/>
  <c r="AN151" i="47"/>
  <c r="AM151" i="47"/>
  <c r="AL151" i="47"/>
  <c r="AK151" i="47"/>
  <c r="AJ151" i="47"/>
  <c r="AI151" i="47"/>
  <c r="AH151" i="47"/>
  <c r="AG151" i="47"/>
  <c r="AF151" i="47"/>
  <c r="AE151" i="47"/>
  <c r="AD151" i="47"/>
  <c r="AC151" i="47"/>
  <c r="AB151" i="47"/>
  <c r="AA151" i="47"/>
  <c r="Z151" i="47"/>
  <c r="Y151" i="47"/>
  <c r="X151" i="47"/>
  <c r="W151" i="47"/>
  <c r="V151" i="47"/>
  <c r="AO150" i="47"/>
  <c r="AN150" i="47"/>
  <c r="AM150" i="47"/>
  <c r="AL150" i="47"/>
  <c r="AK150" i="47"/>
  <c r="AJ150" i="47"/>
  <c r="AI150" i="47"/>
  <c r="AH150" i="47"/>
  <c r="AG150" i="47"/>
  <c r="AF150" i="47"/>
  <c r="AE150" i="47"/>
  <c r="AD150" i="47"/>
  <c r="AC150" i="47"/>
  <c r="AB150" i="47"/>
  <c r="AA150" i="47"/>
  <c r="Z150" i="47"/>
  <c r="Y150" i="47"/>
  <c r="X150" i="47"/>
  <c r="W150" i="47"/>
  <c r="V150" i="47"/>
  <c r="AO149" i="47"/>
  <c r="AN149" i="47"/>
  <c r="AM149" i="47"/>
  <c r="AL149" i="47"/>
  <c r="AK149" i="47"/>
  <c r="AJ149" i="47"/>
  <c r="AI149" i="47"/>
  <c r="AH149" i="47"/>
  <c r="AG149" i="47"/>
  <c r="AF149" i="47"/>
  <c r="AE149" i="47"/>
  <c r="AD149" i="47"/>
  <c r="AC149" i="47"/>
  <c r="AB149" i="47"/>
  <c r="AA149" i="47"/>
  <c r="Z149" i="47"/>
  <c r="Y149" i="47"/>
  <c r="X149" i="47"/>
  <c r="W149" i="47"/>
  <c r="V149" i="47"/>
  <c r="AO148" i="47"/>
  <c r="AN148" i="47"/>
  <c r="AM148" i="47"/>
  <c r="AL148" i="47"/>
  <c r="AK148" i="47"/>
  <c r="AJ148" i="47"/>
  <c r="AI148" i="47"/>
  <c r="AH148" i="47"/>
  <c r="AG148" i="47"/>
  <c r="AF148" i="47"/>
  <c r="AE148" i="47"/>
  <c r="AD148" i="47"/>
  <c r="AC148" i="47"/>
  <c r="AB148" i="47"/>
  <c r="AA148" i="47"/>
  <c r="Z148" i="47"/>
  <c r="Y148" i="47"/>
  <c r="X148" i="47"/>
  <c r="W148" i="47"/>
  <c r="V148" i="47"/>
  <c r="AO147" i="47"/>
  <c r="AN147" i="47"/>
  <c r="AM147" i="47"/>
  <c r="AL147" i="47"/>
  <c r="AK147" i="47"/>
  <c r="AJ147" i="47"/>
  <c r="AI147" i="47"/>
  <c r="AH147" i="47"/>
  <c r="AG147" i="47"/>
  <c r="AF147" i="47"/>
  <c r="AE147" i="47"/>
  <c r="AD147" i="47"/>
  <c r="AC147" i="47"/>
  <c r="AB147" i="47"/>
  <c r="AA147" i="47"/>
  <c r="Z147" i="47"/>
  <c r="Y147" i="47"/>
  <c r="X147" i="47"/>
  <c r="W147" i="47"/>
  <c r="V147" i="47"/>
  <c r="AO146" i="47"/>
  <c r="AN146" i="47"/>
  <c r="AM146" i="47"/>
  <c r="AL146" i="47"/>
  <c r="AK146" i="47"/>
  <c r="AJ146" i="47"/>
  <c r="AI146" i="47"/>
  <c r="AH146" i="47"/>
  <c r="AG146" i="47"/>
  <c r="AF146" i="47"/>
  <c r="AE146" i="47"/>
  <c r="AD146" i="47"/>
  <c r="AC146" i="47"/>
  <c r="AB146" i="47"/>
  <c r="AA146" i="47"/>
  <c r="Z146" i="47"/>
  <c r="Y146" i="47"/>
  <c r="X146" i="47"/>
  <c r="W146" i="47"/>
  <c r="V146" i="47"/>
  <c r="AO145" i="47"/>
  <c r="AN145" i="47"/>
  <c r="AM145" i="47"/>
  <c r="AL145" i="47"/>
  <c r="AK145" i="47"/>
  <c r="AJ145" i="47"/>
  <c r="AI145" i="47"/>
  <c r="AH145" i="47"/>
  <c r="AG145" i="47"/>
  <c r="AF145" i="47"/>
  <c r="AE145" i="47"/>
  <c r="AD145" i="47"/>
  <c r="AC145" i="47"/>
  <c r="AB145" i="47"/>
  <c r="AA145" i="47"/>
  <c r="Z145" i="47"/>
  <c r="Y145" i="47"/>
  <c r="X145" i="47"/>
  <c r="W145" i="47"/>
  <c r="V145" i="47"/>
  <c r="AO144" i="47"/>
  <c r="AN144" i="47"/>
  <c r="AM144" i="47"/>
  <c r="AL144" i="47"/>
  <c r="AK144" i="47"/>
  <c r="AJ144" i="47"/>
  <c r="AI144" i="47"/>
  <c r="AH144" i="47"/>
  <c r="AG144" i="47"/>
  <c r="AF144" i="47"/>
  <c r="AE144" i="47"/>
  <c r="AD144" i="47"/>
  <c r="AC144" i="47"/>
  <c r="AB144" i="47"/>
  <c r="AA144" i="47"/>
  <c r="Z144" i="47"/>
  <c r="Y144" i="47"/>
  <c r="X144" i="47"/>
  <c r="W144" i="47"/>
  <c r="V144" i="47"/>
  <c r="AO143" i="47"/>
  <c r="AN143" i="47"/>
  <c r="AM143" i="47"/>
  <c r="AL143" i="47"/>
  <c r="AK143" i="47"/>
  <c r="AJ143" i="47"/>
  <c r="AI143" i="47"/>
  <c r="AH143" i="47"/>
  <c r="AG143" i="47"/>
  <c r="AF143" i="47"/>
  <c r="AE143" i="47"/>
  <c r="AD143" i="47"/>
  <c r="AC143" i="47"/>
  <c r="AB143" i="47"/>
  <c r="AA143" i="47"/>
  <c r="Z143" i="47"/>
  <c r="Y143" i="47"/>
  <c r="X143" i="47"/>
  <c r="W143" i="47"/>
  <c r="V143" i="47"/>
  <c r="AO142" i="47"/>
  <c r="AN142" i="47"/>
  <c r="AM142" i="47"/>
  <c r="AL142" i="47"/>
  <c r="AK142" i="47"/>
  <c r="AJ142" i="47"/>
  <c r="AI142" i="47"/>
  <c r="AH142" i="47"/>
  <c r="AG142" i="47"/>
  <c r="AF142" i="47"/>
  <c r="AE142" i="47"/>
  <c r="AD142" i="47"/>
  <c r="AC142" i="47"/>
  <c r="AB142" i="47"/>
  <c r="AA142" i="47"/>
  <c r="Z142" i="47"/>
  <c r="Y142" i="47"/>
  <c r="X142" i="47"/>
  <c r="W142" i="47"/>
  <c r="V142" i="47"/>
  <c r="AO141" i="47"/>
  <c r="AN141" i="47"/>
  <c r="AM141" i="47"/>
  <c r="AL141" i="47"/>
  <c r="AK141" i="47"/>
  <c r="AJ141" i="47"/>
  <c r="AI141" i="47"/>
  <c r="AH141" i="47"/>
  <c r="AG141" i="47"/>
  <c r="AF141" i="47"/>
  <c r="AE141" i="47"/>
  <c r="AD141" i="47"/>
  <c r="AC141" i="47"/>
  <c r="AB141" i="47"/>
  <c r="AA141" i="47"/>
  <c r="Z141" i="47"/>
  <c r="Y141" i="47"/>
  <c r="X141" i="47"/>
  <c r="W141" i="47"/>
  <c r="V141" i="47"/>
  <c r="AO140" i="47"/>
  <c r="AN140" i="47"/>
  <c r="AM140" i="47"/>
  <c r="AL140" i="47"/>
  <c r="AK140" i="47"/>
  <c r="AJ140" i="47"/>
  <c r="AI140" i="47"/>
  <c r="AH140" i="47"/>
  <c r="AG140" i="47"/>
  <c r="AF140" i="47"/>
  <c r="AE140" i="47"/>
  <c r="AD140" i="47"/>
  <c r="AC140" i="47"/>
  <c r="AB140" i="47"/>
  <c r="AA140" i="47"/>
  <c r="Z140" i="47"/>
  <c r="Y140" i="47"/>
  <c r="X140" i="47"/>
  <c r="W140" i="47"/>
  <c r="V140" i="47"/>
  <c r="AO139" i="47"/>
  <c r="AN139" i="47"/>
  <c r="AM139" i="47"/>
  <c r="AL139" i="47"/>
  <c r="AK139" i="47"/>
  <c r="AJ139" i="47"/>
  <c r="AI139" i="47"/>
  <c r="AH139" i="47"/>
  <c r="AG139" i="47"/>
  <c r="AF139" i="47"/>
  <c r="AE139" i="47"/>
  <c r="AD139" i="47"/>
  <c r="AC139" i="47"/>
  <c r="AB139" i="47"/>
  <c r="AA139" i="47"/>
  <c r="Z139" i="47"/>
  <c r="Y139" i="47"/>
  <c r="X139" i="47"/>
  <c r="W139" i="47"/>
  <c r="V139" i="47"/>
  <c r="AO138" i="47"/>
  <c r="AN138" i="47"/>
  <c r="AM138" i="47"/>
  <c r="AL138" i="47"/>
  <c r="AK138" i="47"/>
  <c r="AJ138" i="47"/>
  <c r="AI138" i="47"/>
  <c r="AH138" i="47"/>
  <c r="AG138" i="47"/>
  <c r="AF138" i="47"/>
  <c r="AE138" i="47"/>
  <c r="AD138" i="47"/>
  <c r="AC138" i="47"/>
  <c r="AB138" i="47"/>
  <c r="AA138" i="47"/>
  <c r="Z138" i="47"/>
  <c r="Y138" i="47"/>
  <c r="X138" i="47"/>
  <c r="W138" i="47"/>
  <c r="V138" i="47"/>
  <c r="AO137" i="47"/>
  <c r="AN137" i="47"/>
  <c r="AM137" i="47"/>
  <c r="AL137" i="47"/>
  <c r="AK137" i="47"/>
  <c r="AJ137" i="47"/>
  <c r="AI137" i="47"/>
  <c r="AH137" i="47"/>
  <c r="AG137" i="47"/>
  <c r="AF137" i="47"/>
  <c r="AE137" i="47"/>
  <c r="AD137" i="47"/>
  <c r="AC137" i="47"/>
  <c r="AB137" i="47"/>
  <c r="AA137" i="47"/>
  <c r="Z137" i="47"/>
  <c r="Y137" i="47"/>
  <c r="X137" i="47"/>
  <c r="W137" i="47"/>
  <c r="V137" i="47"/>
  <c r="AO136" i="47"/>
  <c r="AN136" i="47"/>
  <c r="AM136" i="47"/>
  <c r="AL136" i="47"/>
  <c r="AK136" i="47"/>
  <c r="AJ136" i="47"/>
  <c r="AI136" i="47"/>
  <c r="AH136" i="47"/>
  <c r="AG136" i="47"/>
  <c r="AF136" i="47"/>
  <c r="AE136" i="47"/>
  <c r="AD136" i="47"/>
  <c r="AC136" i="47"/>
  <c r="AB136" i="47"/>
  <c r="AA136" i="47"/>
  <c r="Z136" i="47"/>
  <c r="Y136" i="47"/>
  <c r="X136" i="47"/>
  <c r="W136" i="47"/>
  <c r="V136" i="47"/>
  <c r="AO135" i="47"/>
  <c r="AN135" i="47"/>
  <c r="AM135" i="47"/>
  <c r="AL135" i="47"/>
  <c r="AK135" i="47"/>
  <c r="AJ135" i="47"/>
  <c r="AI135" i="47"/>
  <c r="AH135" i="47"/>
  <c r="AG135" i="47"/>
  <c r="AF135" i="47"/>
  <c r="AE135" i="47"/>
  <c r="AD135" i="47"/>
  <c r="AC135" i="47"/>
  <c r="AB135" i="47"/>
  <c r="AA135" i="47"/>
  <c r="Z135" i="47"/>
  <c r="Y135" i="47"/>
  <c r="X135" i="47"/>
  <c r="W135" i="47"/>
  <c r="V135" i="47"/>
  <c r="AO134" i="47"/>
  <c r="AN134" i="47"/>
  <c r="AM134" i="47"/>
  <c r="AL134" i="47"/>
  <c r="AK134" i="47"/>
  <c r="AJ134" i="47"/>
  <c r="AI134" i="47"/>
  <c r="AH134" i="47"/>
  <c r="AG134" i="47"/>
  <c r="AF134" i="47"/>
  <c r="AE134" i="47"/>
  <c r="AD134" i="47"/>
  <c r="AC134" i="47"/>
  <c r="AB134" i="47"/>
  <c r="AA134" i="47"/>
  <c r="Z134" i="47"/>
  <c r="Y134" i="47"/>
  <c r="X134" i="47"/>
  <c r="W134" i="47"/>
  <c r="V134" i="47"/>
  <c r="AO133" i="47"/>
  <c r="AN133" i="47"/>
  <c r="AM133" i="47"/>
  <c r="AL133" i="47"/>
  <c r="AK133" i="47"/>
  <c r="AJ133" i="47"/>
  <c r="AI133" i="47"/>
  <c r="AH133" i="47"/>
  <c r="AG133" i="47"/>
  <c r="AF133" i="47"/>
  <c r="AE133" i="47"/>
  <c r="AD133" i="47"/>
  <c r="AC133" i="47"/>
  <c r="AB133" i="47"/>
  <c r="AA133" i="47"/>
  <c r="Z133" i="47"/>
  <c r="Y133" i="47"/>
  <c r="X133" i="47"/>
  <c r="W133" i="47"/>
  <c r="V133" i="47"/>
  <c r="AO132" i="47"/>
  <c r="AN132" i="47"/>
  <c r="AM132" i="47"/>
  <c r="AL132" i="47"/>
  <c r="AK132" i="47"/>
  <c r="AJ132" i="47"/>
  <c r="AI132" i="47"/>
  <c r="AH132" i="47"/>
  <c r="AG132" i="47"/>
  <c r="AF132" i="47"/>
  <c r="AE132" i="47"/>
  <c r="AD132" i="47"/>
  <c r="AC132" i="47"/>
  <c r="AB132" i="47"/>
  <c r="AA132" i="47"/>
  <c r="Z132" i="47"/>
  <c r="Y132" i="47"/>
  <c r="X132" i="47"/>
  <c r="W132" i="47"/>
  <c r="V132" i="47"/>
  <c r="AO131" i="47"/>
  <c r="AN131" i="47"/>
  <c r="AM131" i="47"/>
  <c r="AL131" i="47"/>
  <c r="AK131" i="47"/>
  <c r="AJ131" i="47"/>
  <c r="AI131" i="47"/>
  <c r="AH131" i="47"/>
  <c r="AG131" i="47"/>
  <c r="AF131" i="47"/>
  <c r="AE131" i="47"/>
  <c r="AD131" i="47"/>
  <c r="AC131" i="47"/>
  <c r="AB131" i="47"/>
  <c r="AA131" i="47"/>
  <c r="Z131" i="47"/>
  <c r="Y131" i="47"/>
  <c r="X131" i="47"/>
  <c r="W131" i="47"/>
  <c r="V131" i="47"/>
  <c r="AO130" i="47"/>
  <c r="AN130" i="47"/>
  <c r="AM130" i="47"/>
  <c r="AL130" i="47"/>
  <c r="AK130" i="47"/>
  <c r="AJ130" i="47"/>
  <c r="AI130" i="47"/>
  <c r="AH130" i="47"/>
  <c r="AG130" i="47"/>
  <c r="AF130" i="47"/>
  <c r="AE130" i="47"/>
  <c r="AD130" i="47"/>
  <c r="AC130" i="47"/>
  <c r="AB130" i="47"/>
  <c r="AA130" i="47"/>
  <c r="Z130" i="47"/>
  <c r="Y130" i="47"/>
  <c r="X130" i="47"/>
  <c r="W130" i="47"/>
  <c r="V130" i="47"/>
  <c r="AO129" i="47"/>
  <c r="AN129" i="47"/>
  <c r="AM129" i="47"/>
  <c r="AL129" i="47"/>
  <c r="AK129" i="47"/>
  <c r="AJ129" i="47"/>
  <c r="AI129" i="47"/>
  <c r="AH129" i="47"/>
  <c r="AG129" i="47"/>
  <c r="AF129" i="47"/>
  <c r="AE129" i="47"/>
  <c r="AD129" i="47"/>
  <c r="AC129" i="47"/>
  <c r="AB129" i="47"/>
  <c r="AA129" i="47"/>
  <c r="Z129" i="47"/>
  <c r="Y129" i="47"/>
  <c r="X129" i="47"/>
  <c r="W129" i="47"/>
  <c r="V129" i="47"/>
  <c r="AO128" i="47"/>
  <c r="AN128" i="47"/>
  <c r="AM128" i="47"/>
  <c r="AL128" i="47"/>
  <c r="AK128" i="47"/>
  <c r="AJ128" i="47"/>
  <c r="AI128" i="47"/>
  <c r="AH128" i="47"/>
  <c r="AG128" i="47"/>
  <c r="AF128" i="47"/>
  <c r="AE128" i="47"/>
  <c r="AD128" i="47"/>
  <c r="AC128" i="47"/>
  <c r="AB128" i="47"/>
  <c r="AA128" i="47"/>
  <c r="Z128" i="47"/>
  <c r="Y128" i="47"/>
  <c r="X128" i="47"/>
  <c r="W128" i="47"/>
  <c r="V128" i="47"/>
  <c r="AO127" i="47"/>
  <c r="AN127" i="47"/>
  <c r="AM127" i="47"/>
  <c r="AL127" i="47"/>
  <c r="AK127" i="47"/>
  <c r="AJ127" i="47"/>
  <c r="AI127" i="47"/>
  <c r="AH127" i="47"/>
  <c r="AG127" i="47"/>
  <c r="AF127" i="47"/>
  <c r="AE127" i="47"/>
  <c r="AD127" i="47"/>
  <c r="AC127" i="47"/>
  <c r="AB127" i="47"/>
  <c r="AA127" i="47"/>
  <c r="Z127" i="47"/>
  <c r="Y127" i="47"/>
  <c r="X127" i="47"/>
  <c r="W127" i="47"/>
  <c r="V127" i="47"/>
  <c r="AO126" i="47"/>
  <c r="AN126" i="47"/>
  <c r="AM126" i="47"/>
  <c r="AL126" i="47"/>
  <c r="AK126" i="47"/>
  <c r="AJ126" i="47"/>
  <c r="AI126" i="47"/>
  <c r="AH126" i="47"/>
  <c r="AG126" i="47"/>
  <c r="AF126" i="47"/>
  <c r="AE126" i="47"/>
  <c r="AD126" i="47"/>
  <c r="AC126" i="47"/>
  <c r="AB126" i="47"/>
  <c r="AA126" i="47"/>
  <c r="Z126" i="47"/>
  <c r="Y126" i="47"/>
  <c r="X126" i="47"/>
  <c r="W126" i="47"/>
  <c r="V126" i="47"/>
  <c r="AO125" i="47"/>
  <c r="AN125" i="47"/>
  <c r="AM125" i="47"/>
  <c r="AL125" i="47"/>
  <c r="AK125" i="47"/>
  <c r="AJ125" i="47"/>
  <c r="AI125" i="47"/>
  <c r="AH125" i="47"/>
  <c r="AG125" i="47"/>
  <c r="AF125" i="47"/>
  <c r="AE125" i="47"/>
  <c r="AD125" i="47"/>
  <c r="AC125" i="47"/>
  <c r="AB125" i="47"/>
  <c r="AA125" i="47"/>
  <c r="Z125" i="47"/>
  <c r="Y125" i="47"/>
  <c r="X125" i="47"/>
  <c r="W125" i="47"/>
  <c r="V125" i="47"/>
  <c r="AO124" i="47"/>
  <c r="AN124" i="47"/>
  <c r="AM124" i="47"/>
  <c r="AL124" i="47"/>
  <c r="AK124" i="47"/>
  <c r="AJ124" i="47"/>
  <c r="AI124" i="47"/>
  <c r="AH124" i="47"/>
  <c r="AG124" i="47"/>
  <c r="AF124" i="47"/>
  <c r="AE124" i="47"/>
  <c r="AD124" i="47"/>
  <c r="AC124" i="47"/>
  <c r="AB124" i="47"/>
  <c r="AA124" i="47"/>
  <c r="Z124" i="47"/>
  <c r="Y124" i="47"/>
  <c r="X124" i="47"/>
  <c r="W124" i="47"/>
  <c r="V124" i="47"/>
  <c r="AO123" i="47"/>
  <c r="AN123" i="47"/>
  <c r="AM123" i="47"/>
  <c r="AL123" i="47"/>
  <c r="AK123" i="47"/>
  <c r="AJ123" i="47"/>
  <c r="AI123" i="47"/>
  <c r="AH123" i="47"/>
  <c r="AG123" i="47"/>
  <c r="AF123" i="47"/>
  <c r="AE123" i="47"/>
  <c r="AD123" i="47"/>
  <c r="AC123" i="47"/>
  <c r="AB123" i="47"/>
  <c r="AA123" i="47"/>
  <c r="Z123" i="47"/>
  <c r="Y123" i="47"/>
  <c r="X123" i="47"/>
  <c r="W123" i="47"/>
  <c r="V123" i="47"/>
  <c r="AO122" i="47"/>
  <c r="AN122" i="47"/>
  <c r="AM122" i="47"/>
  <c r="AL122" i="47"/>
  <c r="AK122" i="47"/>
  <c r="AJ122" i="47"/>
  <c r="AI122" i="47"/>
  <c r="AH122" i="47"/>
  <c r="AG122" i="47"/>
  <c r="AF122" i="47"/>
  <c r="AE122" i="47"/>
  <c r="AD122" i="47"/>
  <c r="AC122" i="47"/>
  <c r="AB122" i="47"/>
  <c r="AA122" i="47"/>
  <c r="Z122" i="47"/>
  <c r="Y122" i="47"/>
  <c r="X122" i="47"/>
  <c r="W122" i="47"/>
  <c r="V122" i="47"/>
  <c r="AO121" i="47"/>
  <c r="AN121" i="47"/>
  <c r="AM121" i="47"/>
  <c r="AL121" i="47"/>
  <c r="AK121" i="47"/>
  <c r="AJ121" i="47"/>
  <c r="AI121" i="47"/>
  <c r="AH121" i="47"/>
  <c r="AG121" i="47"/>
  <c r="AF121" i="47"/>
  <c r="AE121" i="47"/>
  <c r="AD121" i="47"/>
  <c r="AC121" i="47"/>
  <c r="AB121" i="47"/>
  <c r="AA121" i="47"/>
  <c r="Z121" i="47"/>
  <c r="Y121" i="47"/>
  <c r="X121" i="47"/>
  <c r="W121" i="47"/>
  <c r="V121" i="47"/>
  <c r="AO120" i="47"/>
  <c r="AN120" i="47"/>
  <c r="AM120" i="47"/>
  <c r="AL120" i="47"/>
  <c r="AK120" i="47"/>
  <c r="AJ120" i="47"/>
  <c r="AI120" i="47"/>
  <c r="AH120" i="47"/>
  <c r="AG120" i="47"/>
  <c r="AF120" i="47"/>
  <c r="AE120" i="47"/>
  <c r="AD120" i="47"/>
  <c r="AC120" i="47"/>
  <c r="AB120" i="47"/>
  <c r="AA120" i="47"/>
  <c r="Z120" i="47"/>
  <c r="Y120" i="47"/>
  <c r="X120" i="47"/>
  <c r="W120" i="47"/>
  <c r="V120" i="47"/>
  <c r="AO119" i="47"/>
  <c r="AN119" i="47"/>
  <c r="AM119" i="47"/>
  <c r="AL119" i="47"/>
  <c r="AK119" i="47"/>
  <c r="AJ119" i="47"/>
  <c r="AI119" i="47"/>
  <c r="AH119" i="47"/>
  <c r="AG119" i="47"/>
  <c r="AF119" i="47"/>
  <c r="AE119" i="47"/>
  <c r="AD119" i="47"/>
  <c r="AC119" i="47"/>
  <c r="AB119" i="47"/>
  <c r="AA119" i="47"/>
  <c r="Z119" i="47"/>
  <c r="Y119" i="47"/>
  <c r="X119" i="47"/>
  <c r="W119" i="47"/>
  <c r="V119" i="47"/>
  <c r="AO118" i="47"/>
  <c r="AN118" i="47"/>
  <c r="AM118" i="47"/>
  <c r="AL118" i="47"/>
  <c r="AK118" i="47"/>
  <c r="AJ118" i="47"/>
  <c r="AI118" i="47"/>
  <c r="AH118" i="47"/>
  <c r="AG118" i="47"/>
  <c r="AF118" i="47"/>
  <c r="AE118" i="47"/>
  <c r="AD118" i="47"/>
  <c r="AC118" i="47"/>
  <c r="AB118" i="47"/>
  <c r="AA118" i="47"/>
  <c r="Z118" i="47"/>
  <c r="Y118" i="47"/>
  <c r="X118" i="47"/>
  <c r="W118" i="47"/>
  <c r="V118" i="47"/>
  <c r="AO117" i="47"/>
  <c r="AN117" i="47"/>
  <c r="AM117" i="47"/>
  <c r="AL117" i="47"/>
  <c r="AK117" i="47"/>
  <c r="AJ117" i="47"/>
  <c r="AI117" i="47"/>
  <c r="AH117" i="47"/>
  <c r="AG117" i="47"/>
  <c r="AF117" i="47"/>
  <c r="AE117" i="47"/>
  <c r="AD117" i="47"/>
  <c r="AC117" i="47"/>
  <c r="AB117" i="47"/>
  <c r="AA117" i="47"/>
  <c r="Z117" i="47"/>
  <c r="Y117" i="47"/>
  <c r="X117" i="47"/>
  <c r="W117" i="47"/>
  <c r="V117" i="47"/>
  <c r="AO116" i="47"/>
  <c r="AN116" i="47"/>
  <c r="AM116" i="47"/>
  <c r="AL116" i="47"/>
  <c r="AK116" i="47"/>
  <c r="AJ116" i="47"/>
  <c r="AI116" i="47"/>
  <c r="AH116" i="47"/>
  <c r="AG116" i="47"/>
  <c r="AF116" i="47"/>
  <c r="AE116" i="47"/>
  <c r="AD116" i="47"/>
  <c r="AC116" i="47"/>
  <c r="AB116" i="47"/>
  <c r="AA116" i="47"/>
  <c r="Z116" i="47"/>
  <c r="Y116" i="47"/>
  <c r="X116" i="47"/>
  <c r="W116" i="47"/>
  <c r="V116" i="47"/>
  <c r="AO115" i="47"/>
  <c r="AN115" i="47"/>
  <c r="AM115" i="47"/>
  <c r="AL115" i="47"/>
  <c r="AK115" i="47"/>
  <c r="AJ115" i="47"/>
  <c r="AI115" i="47"/>
  <c r="AH115" i="47"/>
  <c r="AG115" i="47"/>
  <c r="AF115" i="47"/>
  <c r="AE115" i="47"/>
  <c r="AD115" i="47"/>
  <c r="AC115" i="47"/>
  <c r="AB115" i="47"/>
  <c r="AA115" i="47"/>
  <c r="Z115" i="47"/>
  <c r="Y115" i="47"/>
  <c r="X115" i="47"/>
  <c r="W115" i="47"/>
  <c r="V115" i="47"/>
  <c r="AO114" i="47"/>
  <c r="AN114" i="47"/>
  <c r="AM114" i="47"/>
  <c r="AL114" i="47"/>
  <c r="AK114" i="47"/>
  <c r="AJ114" i="47"/>
  <c r="AI114" i="47"/>
  <c r="AH114" i="47"/>
  <c r="AG114" i="47"/>
  <c r="AF114" i="47"/>
  <c r="AE114" i="47"/>
  <c r="AD114" i="47"/>
  <c r="AC114" i="47"/>
  <c r="AB114" i="47"/>
  <c r="AA114" i="47"/>
  <c r="Z114" i="47"/>
  <c r="Y114" i="47"/>
  <c r="X114" i="47"/>
  <c r="W114" i="47"/>
  <c r="V114" i="47"/>
  <c r="AO113" i="47"/>
  <c r="AN113" i="47"/>
  <c r="AM113" i="47"/>
  <c r="AL113" i="47"/>
  <c r="AK113" i="47"/>
  <c r="AJ113" i="47"/>
  <c r="AI113" i="47"/>
  <c r="AH113" i="47"/>
  <c r="AG113" i="47"/>
  <c r="AF113" i="47"/>
  <c r="AE113" i="47"/>
  <c r="AD113" i="47"/>
  <c r="AC113" i="47"/>
  <c r="AB113" i="47"/>
  <c r="AA113" i="47"/>
  <c r="Z113" i="47"/>
  <c r="Y113" i="47"/>
  <c r="X113" i="47"/>
  <c r="W113" i="47"/>
  <c r="V113" i="47"/>
  <c r="AO112" i="47"/>
  <c r="AN112" i="47"/>
  <c r="AM112" i="47"/>
  <c r="AL112" i="47"/>
  <c r="AK112" i="47"/>
  <c r="AJ112" i="47"/>
  <c r="AI112" i="47"/>
  <c r="AH112" i="47"/>
  <c r="AG112" i="47"/>
  <c r="AF112" i="47"/>
  <c r="AE112" i="47"/>
  <c r="AD112" i="47"/>
  <c r="AC112" i="47"/>
  <c r="AB112" i="47"/>
  <c r="AA112" i="47"/>
  <c r="Z112" i="47"/>
  <c r="Y112" i="47"/>
  <c r="X112" i="47"/>
  <c r="W112" i="47"/>
  <c r="V112" i="47"/>
  <c r="AO111" i="47"/>
  <c r="AN111" i="47"/>
  <c r="AM111" i="47"/>
  <c r="AL111" i="47"/>
  <c r="AK111" i="47"/>
  <c r="AJ111" i="47"/>
  <c r="AI111" i="47"/>
  <c r="AH111" i="47"/>
  <c r="AG111" i="47"/>
  <c r="AF111" i="47"/>
  <c r="AE111" i="47"/>
  <c r="AD111" i="47"/>
  <c r="AC111" i="47"/>
  <c r="AB111" i="47"/>
  <c r="AA111" i="47"/>
  <c r="Z111" i="47"/>
  <c r="Y111" i="47"/>
  <c r="X111" i="47"/>
  <c r="W111" i="47"/>
  <c r="V111" i="47"/>
  <c r="AO110" i="47"/>
  <c r="AN110" i="47"/>
  <c r="AM110" i="47"/>
  <c r="AL110" i="47"/>
  <c r="AK110" i="47"/>
  <c r="AJ110" i="47"/>
  <c r="AI110" i="47"/>
  <c r="AH110" i="47"/>
  <c r="AG110" i="47"/>
  <c r="AF110" i="47"/>
  <c r="AE110" i="47"/>
  <c r="AD110" i="47"/>
  <c r="AC110" i="47"/>
  <c r="AB110" i="47"/>
  <c r="AA110" i="47"/>
  <c r="Z110" i="47"/>
  <c r="Y110" i="47"/>
  <c r="X110" i="47"/>
  <c r="W110" i="47"/>
  <c r="V110" i="47"/>
  <c r="AO109" i="47"/>
  <c r="AN109" i="47"/>
  <c r="AM109" i="47"/>
  <c r="AL109" i="47"/>
  <c r="AK109" i="47"/>
  <c r="AJ109" i="47"/>
  <c r="AI109" i="47"/>
  <c r="AH109" i="47"/>
  <c r="AG109" i="47"/>
  <c r="AF109" i="47"/>
  <c r="AE109" i="47"/>
  <c r="AD109" i="47"/>
  <c r="AC109" i="47"/>
  <c r="AB109" i="47"/>
  <c r="AA109" i="47"/>
  <c r="Z109" i="47"/>
  <c r="Y109" i="47"/>
  <c r="X109" i="47"/>
  <c r="W109" i="47"/>
  <c r="V109" i="47"/>
  <c r="AO108" i="47"/>
  <c r="AN108" i="47"/>
  <c r="AM108" i="47"/>
  <c r="AL108" i="47"/>
  <c r="AK108" i="47"/>
  <c r="AJ108" i="47"/>
  <c r="AI108" i="47"/>
  <c r="AH108" i="47"/>
  <c r="AG108" i="47"/>
  <c r="AF108" i="47"/>
  <c r="AE108" i="47"/>
  <c r="AD108" i="47"/>
  <c r="AC108" i="47"/>
  <c r="AB108" i="47"/>
  <c r="AA108" i="47"/>
  <c r="Z108" i="47"/>
  <c r="Y108" i="47"/>
  <c r="X108" i="47"/>
  <c r="W108" i="47"/>
  <c r="V108" i="47"/>
  <c r="AO107" i="47"/>
  <c r="AN107" i="47"/>
  <c r="AM107" i="47"/>
  <c r="AL107" i="47"/>
  <c r="AK107" i="47"/>
  <c r="AJ107" i="47"/>
  <c r="AI107" i="47"/>
  <c r="AH107" i="47"/>
  <c r="AG107" i="47"/>
  <c r="AF107" i="47"/>
  <c r="AE107" i="47"/>
  <c r="AD107" i="47"/>
  <c r="AC107" i="47"/>
  <c r="AB107" i="47"/>
  <c r="AA107" i="47"/>
  <c r="Z107" i="47"/>
  <c r="Y107" i="47"/>
  <c r="X107" i="47"/>
  <c r="W107" i="47"/>
  <c r="V107" i="47"/>
  <c r="AO106" i="47"/>
  <c r="AN106" i="47"/>
  <c r="AM106" i="47"/>
  <c r="AL106" i="47"/>
  <c r="AK106" i="47"/>
  <c r="AJ106" i="47"/>
  <c r="AI106" i="47"/>
  <c r="AH106" i="47"/>
  <c r="AG106" i="47"/>
  <c r="AF106" i="47"/>
  <c r="AE106" i="47"/>
  <c r="AD106" i="47"/>
  <c r="AC106" i="47"/>
  <c r="AB106" i="47"/>
  <c r="AA106" i="47"/>
  <c r="Z106" i="47"/>
  <c r="Y106" i="47"/>
  <c r="X106" i="47"/>
  <c r="W106" i="47"/>
  <c r="V106" i="47"/>
  <c r="AO105" i="47"/>
  <c r="AN105" i="47"/>
  <c r="AM105" i="47"/>
  <c r="AL105" i="47"/>
  <c r="AK105" i="47"/>
  <c r="AJ105" i="47"/>
  <c r="AI105" i="47"/>
  <c r="AH105" i="47"/>
  <c r="AG105" i="47"/>
  <c r="AF105" i="47"/>
  <c r="AE105" i="47"/>
  <c r="AD105" i="47"/>
  <c r="AC105" i="47"/>
  <c r="AB105" i="47"/>
  <c r="AA105" i="47"/>
  <c r="Z105" i="47"/>
  <c r="Y105" i="47"/>
  <c r="X105" i="47"/>
  <c r="W105" i="47"/>
  <c r="V105" i="47"/>
  <c r="AO104" i="47"/>
  <c r="AN104" i="47"/>
  <c r="AM104" i="47"/>
  <c r="AL104" i="47"/>
  <c r="AK104" i="47"/>
  <c r="AJ104" i="47"/>
  <c r="AI104" i="47"/>
  <c r="AH104" i="47"/>
  <c r="AG104" i="47"/>
  <c r="AF104" i="47"/>
  <c r="AE104" i="47"/>
  <c r="AD104" i="47"/>
  <c r="AC104" i="47"/>
  <c r="AB104" i="47"/>
  <c r="AA104" i="47"/>
  <c r="Z104" i="47"/>
  <c r="Y104" i="47"/>
  <c r="X104" i="47"/>
  <c r="W104" i="47"/>
  <c r="V104" i="47"/>
  <c r="AO103" i="47"/>
  <c r="AN103" i="47"/>
  <c r="AM103" i="47"/>
  <c r="AL103" i="47"/>
  <c r="AK103" i="47"/>
  <c r="AJ103" i="47"/>
  <c r="AI103" i="47"/>
  <c r="AH103" i="47"/>
  <c r="AG103" i="47"/>
  <c r="AF103" i="47"/>
  <c r="AE103" i="47"/>
  <c r="AD103" i="47"/>
  <c r="AC103" i="47"/>
  <c r="AB103" i="47"/>
  <c r="AA103" i="47"/>
  <c r="Z103" i="47"/>
  <c r="Y103" i="47"/>
  <c r="X103" i="47"/>
  <c r="W103" i="47"/>
  <c r="V103" i="47"/>
  <c r="AO102" i="47"/>
  <c r="AN102" i="47"/>
  <c r="AM102" i="47"/>
  <c r="AL102" i="47"/>
  <c r="AK102" i="47"/>
  <c r="AJ102" i="47"/>
  <c r="AI102" i="47"/>
  <c r="AH102" i="47"/>
  <c r="AG102" i="47"/>
  <c r="AF102" i="47"/>
  <c r="AE102" i="47"/>
  <c r="AD102" i="47"/>
  <c r="AC102" i="47"/>
  <c r="AB102" i="47"/>
  <c r="AA102" i="47"/>
  <c r="Z102" i="47"/>
  <c r="Y102" i="47"/>
  <c r="X102" i="47"/>
  <c r="W102" i="47"/>
  <c r="V102" i="47"/>
  <c r="AO101" i="47"/>
  <c r="AN101" i="47"/>
  <c r="AM101" i="47"/>
  <c r="AL101" i="47"/>
  <c r="AK101" i="47"/>
  <c r="AJ101" i="47"/>
  <c r="AI101" i="47"/>
  <c r="AH101" i="47"/>
  <c r="AG101" i="47"/>
  <c r="AF101" i="47"/>
  <c r="AE101" i="47"/>
  <c r="AD101" i="47"/>
  <c r="AC101" i="47"/>
  <c r="AB101" i="47"/>
  <c r="AA101" i="47"/>
  <c r="Z101" i="47"/>
  <c r="Y101" i="47"/>
  <c r="X101" i="47"/>
  <c r="W101" i="47"/>
  <c r="V101" i="47"/>
  <c r="AO100" i="47"/>
  <c r="AN100" i="47"/>
  <c r="AM100" i="47"/>
  <c r="AL100" i="47"/>
  <c r="AK100" i="47"/>
  <c r="AJ100" i="47"/>
  <c r="AI100" i="47"/>
  <c r="AH100" i="47"/>
  <c r="AG100" i="47"/>
  <c r="AF100" i="47"/>
  <c r="AE100" i="47"/>
  <c r="AD100" i="47"/>
  <c r="AC100" i="47"/>
  <c r="AB100" i="47"/>
  <c r="AA100" i="47"/>
  <c r="Z100" i="47"/>
  <c r="Y100" i="47"/>
  <c r="X100" i="47"/>
  <c r="W100" i="47"/>
  <c r="V100" i="47"/>
  <c r="AV95" i="47"/>
  <c r="AD95" i="47"/>
  <c r="AC95" i="47"/>
  <c r="AA95" i="47"/>
  <c r="Z95" i="47"/>
  <c r="Y95" i="47"/>
  <c r="X95" i="47"/>
  <c r="W95" i="47"/>
  <c r="AV94" i="47"/>
  <c r="AC94" i="47"/>
  <c r="AB94" i="47"/>
  <c r="AE94" i="47" s="1"/>
  <c r="AA94" i="47"/>
  <c r="Z94" i="47"/>
  <c r="Y94" i="47"/>
  <c r="X94" i="47"/>
  <c r="W94" i="47"/>
  <c r="V94" i="47"/>
  <c r="AV93" i="47"/>
  <c r="AE93" i="47"/>
  <c r="AD93" i="47"/>
  <c r="AC93" i="47"/>
  <c r="AB93" i="47"/>
  <c r="AA93" i="47"/>
  <c r="Y93" i="47"/>
  <c r="W93" i="47"/>
  <c r="V93" i="47"/>
  <c r="AV92" i="47"/>
  <c r="AD92" i="47"/>
  <c r="AC92" i="47"/>
  <c r="AA92" i="47"/>
  <c r="Z92" i="47"/>
  <c r="Y92" i="47"/>
  <c r="X92" i="47"/>
  <c r="W92" i="47"/>
  <c r="AV91" i="47"/>
  <c r="AC91" i="47"/>
  <c r="AE91" i="47" s="1"/>
  <c r="AB91" i="47"/>
  <c r="AA91" i="47"/>
  <c r="Z91" i="47"/>
  <c r="Y91" i="47"/>
  <c r="X91" i="47"/>
  <c r="W91" i="47"/>
  <c r="V91" i="47"/>
  <c r="AV90" i="47"/>
  <c r="AD90" i="47"/>
  <c r="AC90" i="47"/>
  <c r="AB90" i="47"/>
  <c r="AE90" i="47" s="1"/>
  <c r="AA90" i="47"/>
  <c r="Y90" i="47"/>
  <c r="W90" i="47"/>
  <c r="V90" i="47"/>
  <c r="AV89" i="47"/>
  <c r="AD89" i="47"/>
  <c r="AC89" i="47"/>
  <c r="AA89" i="47"/>
  <c r="Z89" i="47"/>
  <c r="Y89" i="47"/>
  <c r="X89" i="47"/>
  <c r="W89" i="47"/>
  <c r="AV88" i="47"/>
  <c r="AC88" i="47"/>
  <c r="AB88" i="47"/>
  <c r="AE88" i="47" s="1"/>
  <c r="AA88" i="47"/>
  <c r="Z88" i="47"/>
  <c r="Y88" i="47"/>
  <c r="X88" i="47"/>
  <c r="W88" i="47"/>
  <c r="V88" i="47"/>
  <c r="AV87" i="47"/>
  <c r="AE87" i="47"/>
  <c r="AD87" i="47"/>
  <c r="AC87" i="47"/>
  <c r="AB87" i="47"/>
  <c r="AA87" i="47"/>
  <c r="Y87" i="47"/>
  <c r="W87" i="47"/>
  <c r="V87" i="47"/>
  <c r="AV86" i="47"/>
  <c r="AV85" i="47"/>
  <c r="AV84" i="47"/>
  <c r="AV83" i="47"/>
  <c r="AV82" i="47"/>
  <c r="Z82" i="47"/>
  <c r="Y82" i="47"/>
  <c r="X82" i="47"/>
  <c r="W82" i="47"/>
  <c r="V82" i="47"/>
  <c r="AV81" i="47"/>
  <c r="Z81" i="47"/>
  <c r="Y81" i="47"/>
  <c r="X81" i="47"/>
  <c r="W81" i="47"/>
  <c r="V81" i="47"/>
  <c r="AV80" i="47"/>
  <c r="Z80" i="47"/>
  <c r="Y80" i="47"/>
  <c r="X80" i="47"/>
  <c r="W80" i="47"/>
  <c r="V80" i="47"/>
  <c r="AV79" i="47"/>
  <c r="Z79" i="47"/>
  <c r="Y79" i="47"/>
  <c r="X79" i="47"/>
  <c r="W79" i="47"/>
  <c r="V79" i="47"/>
  <c r="AV78" i="47"/>
  <c r="Z78" i="47"/>
  <c r="Y78" i="47"/>
  <c r="X78" i="47"/>
  <c r="W78" i="47"/>
  <c r="V78" i="47"/>
  <c r="AV77" i="47"/>
  <c r="Z77" i="47"/>
  <c r="Y77" i="47"/>
  <c r="X77" i="47"/>
  <c r="W77" i="47"/>
  <c r="V77" i="47"/>
  <c r="AV76" i="47"/>
  <c r="Z76" i="47"/>
  <c r="Y76" i="47"/>
  <c r="X76" i="47"/>
  <c r="W76" i="47"/>
  <c r="V76" i="47"/>
  <c r="AV75" i="47"/>
  <c r="Z75" i="47"/>
  <c r="Y75" i="47"/>
  <c r="X75" i="47"/>
  <c r="W75" i="47"/>
  <c r="V75" i="47"/>
  <c r="AV74" i="47"/>
  <c r="Z74" i="47"/>
  <c r="Y74" i="47"/>
  <c r="X74" i="47"/>
  <c r="W74" i="47"/>
  <c r="V74" i="47"/>
  <c r="AV73" i="47"/>
  <c r="Z73" i="47"/>
  <c r="Y73" i="47"/>
  <c r="X73" i="47"/>
  <c r="W73" i="47"/>
  <c r="V73" i="47"/>
  <c r="AV72" i="47"/>
  <c r="AV71" i="47"/>
  <c r="AV70" i="47"/>
  <c r="AV69" i="47"/>
  <c r="AV68" i="47"/>
  <c r="AA68" i="47"/>
  <c r="Z68" i="47"/>
  <c r="Y68" i="47"/>
  <c r="X68" i="47"/>
  <c r="W68" i="47"/>
  <c r="V68" i="47"/>
  <c r="AV67" i="47"/>
  <c r="AA67" i="47"/>
  <c r="Z67" i="47"/>
  <c r="Y67" i="47"/>
  <c r="X67" i="47"/>
  <c r="W67" i="47"/>
  <c r="V67" i="47"/>
  <c r="AV66" i="47"/>
  <c r="AA66" i="47"/>
  <c r="Z66" i="47"/>
  <c r="Y66" i="47"/>
  <c r="X66" i="47"/>
  <c r="W66" i="47"/>
  <c r="V66" i="47"/>
  <c r="AV65" i="47"/>
  <c r="AA65" i="47"/>
  <c r="Z65" i="47"/>
  <c r="Y65" i="47"/>
  <c r="X65" i="47"/>
  <c r="W65" i="47"/>
  <c r="V65" i="47"/>
  <c r="AV64" i="47"/>
  <c r="AA64" i="47"/>
  <c r="Z64" i="47"/>
  <c r="Y64" i="47"/>
  <c r="X64" i="47"/>
  <c r="W64" i="47"/>
  <c r="V64" i="47"/>
  <c r="AV63" i="47"/>
  <c r="AA63" i="47"/>
  <c r="Z63" i="47"/>
  <c r="Y63" i="47"/>
  <c r="X63" i="47"/>
  <c r="W63" i="47"/>
  <c r="V63" i="47"/>
  <c r="AV62" i="47"/>
  <c r="AA62" i="47"/>
  <c r="Z62" i="47"/>
  <c r="Y62" i="47"/>
  <c r="X62" i="47"/>
  <c r="W62" i="47"/>
  <c r="V62" i="47"/>
  <c r="AV61" i="47"/>
  <c r="AA61" i="47"/>
  <c r="Z61" i="47"/>
  <c r="Y61" i="47"/>
  <c r="X61" i="47"/>
  <c r="W61" i="47"/>
  <c r="V61" i="47"/>
  <c r="AV60" i="47"/>
  <c r="AA60" i="47"/>
  <c r="Z60" i="47"/>
  <c r="Y60" i="47"/>
  <c r="X60" i="47"/>
  <c r="W60" i="47"/>
  <c r="V60" i="47"/>
  <c r="AV59" i="47"/>
  <c r="AA59" i="47"/>
  <c r="Z59" i="47"/>
  <c r="Y59" i="47"/>
  <c r="X59" i="47"/>
  <c r="W59" i="47"/>
  <c r="V59" i="47"/>
  <c r="AV58" i="47"/>
  <c r="AQ58" i="47"/>
  <c r="AA58" i="47"/>
  <c r="Z58" i="47"/>
  <c r="Y58" i="47"/>
  <c r="X58" i="47"/>
  <c r="W58" i="47"/>
  <c r="V58" i="47"/>
  <c r="B58" i="47"/>
  <c r="AV57" i="47"/>
  <c r="AA57" i="47"/>
  <c r="Z57" i="47"/>
  <c r="Y57" i="47"/>
  <c r="X57" i="47"/>
  <c r="W57" i="47"/>
  <c r="V57" i="47"/>
  <c r="B57" i="47"/>
  <c r="AV56" i="47"/>
  <c r="AA56" i="47"/>
  <c r="Z56" i="47"/>
  <c r="Y56" i="47"/>
  <c r="X56" i="47"/>
  <c r="W56" i="47"/>
  <c r="V56" i="47"/>
  <c r="B56" i="47"/>
  <c r="AV55" i="47"/>
  <c r="B55" i="47"/>
  <c r="AV54" i="47"/>
  <c r="AV53" i="47"/>
  <c r="AV52" i="47"/>
  <c r="AV51" i="47"/>
  <c r="V50" i="47"/>
  <c r="V49" i="47"/>
  <c r="B47" i="47"/>
  <c r="AQ34" i="47" s="1"/>
  <c r="AP44" i="47"/>
  <c r="B59" i="47" s="1"/>
  <c r="AP43" i="47"/>
  <c r="AP42" i="47"/>
  <c r="AP41" i="47"/>
  <c r="AL41" i="47"/>
  <c r="AP40" i="47"/>
  <c r="AL40" i="47"/>
  <c r="B40" i="47"/>
  <c r="AL39" i="47"/>
  <c r="AL38" i="47"/>
  <c r="AL37" i="47"/>
  <c r="AL36" i="47"/>
  <c r="AL35" i="47"/>
  <c r="Q35" i="47"/>
  <c r="E18" i="47" s="1"/>
  <c r="P35" i="47"/>
  <c r="J35" i="47"/>
  <c r="E36" i="47" s="1"/>
  <c r="E35" i="47"/>
  <c r="D35" i="47"/>
  <c r="B35" i="47"/>
  <c r="AL34" i="47"/>
  <c r="J34" i="47"/>
  <c r="AL33" i="47"/>
  <c r="AL32" i="47"/>
  <c r="AL31" i="47"/>
  <c r="AL30" i="47"/>
  <c r="AL29" i="47"/>
  <c r="B29" i="47"/>
  <c r="AL28" i="47"/>
  <c r="AQ27" i="47"/>
  <c r="AL27" i="47"/>
  <c r="B27" i="47"/>
  <c r="P25" i="47"/>
  <c r="P24" i="47"/>
  <c r="V47" i="47" s="1"/>
  <c r="V48" i="47" s="1"/>
  <c r="V51" i="47" s="1"/>
  <c r="J27" i="47" s="1"/>
  <c r="I24" i="47"/>
  <c r="G24" i="47"/>
  <c r="E24" i="47"/>
  <c r="C24" i="47"/>
  <c r="I23" i="47"/>
  <c r="G23" i="47"/>
  <c r="E23" i="47"/>
  <c r="C23" i="47"/>
  <c r="I22" i="47"/>
  <c r="G22" i="47"/>
  <c r="E22" i="47"/>
  <c r="C22" i="47"/>
  <c r="I21" i="47"/>
  <c r="G21" i="47"/>
  <c r="E21" i="47"/>
  <c r="C21" i="47"/>
  <c r="AQ20" i="47"/>
  <c r="B49" i="47" s="1"/>
  <c r="AQ36" i="47" s="1"/>
  <c r="AI20" i="47"/>
  <c r="I20" i="47"/>
  <c r="AQ19" i="47"/>
  <c r="AI19" i="47"/>
  <c r="AQ18" i="47"/>
  <c r="AI18" i="47"/>
  <c r="AJ18" i="47" s="1"/>
  <c r="AK18" i="47" s="1"/>
  <c r="AV26" i="47" s="1"/>
  <c r="I18" i="47"/>
  <c r="AI17" i="47"/>
  <c r="AI16" i="47"/>
  <c r="AI15" i="47"/>
  <c r="AJ15" i="47" s="1"/>
  <c r="AK15" i="47" s="1"/>
  <c r="AU26" i="47" s="1"/>
  <c r="AQ14" i="47"/>
  <c r="B46" i="47" s="1"/>
  <c r="AQ33" i="47" s="1"/>
  <c r="AI14" i="47"/>
  <c r="I14" i="47"/>
  <c r="AQ13" i="47"/>
  <c r="B45" i="47" s="1"/>
  <c r="AQ32" i="47" s="1"/>
  <c r="AI13" i="47"/>
  <c r="AJ12" i="47" s="1"/>
  <c r="AK12" i="47" s="1"/>
  <c r="AT26" i="47" s="1"/>
  <c r="AQ12" i="47"/>
  <c r="B44" i="47" s="1"/>
  <c r="AQ31" i="47" s="1"/>
  <c r="AI12" i="47"/>
  <c r="AI11" i="47"/>
  <c r="V10" i="47"/>
  <c r="AI10" i="47"/>
  <c r="AJ9" i="47"/>
  <c r="AI9" i="47"/>
  <c r="AQ8" i="47"/>
  <c r="B43" i="47" s="1"/>
  <c r="AQ30" i="47" s="1"/>
  <c r="AQ7" i="47"/>
  <c r="Y7" i="47"/>
  <c r="AQ6" i="47"/>
  <c r="AB215" i="54" l="1"/>
  <c r="Q145" i="54" s="1"/>
  <c r="Q147" i="54" s="1"/>
  <c r="AE215" i="55"/>
  <c r="O96" i="54"/>
  <c r="AS5" i="54"/>
  <c r="AC215" i="52"/>
  <c r="AE215" i="52"/>
  <c r="AB215" i="52"/>
  <c r="Q145" i="52" s="1"/>
  <c r="Q147" i="52" s="1"/>
  <c r="AC215" i="55"/>
  <c r="E38" i="55"/>
  <c r="J39" i="55"/>
  <c r="D38" i="55"/>
  <c r="I38" i="55" s="1"/>
  <c r="I39" i="55" s="1"/>
  <c r="AS36" i="55"/>
  <c r="AT33" i="55"/>
  <c r="AV30" i="55"/>
  <c r="AS27" i="55"/>
  <c r="AV35" i="55"/>
  <c r="AT32" i="55"/>
  <c r="AV36" i="55"/>
  <c r="AU33" i="55"/>
  <c r="AS30" i="55"/>
  <c r="AT27" i="55"/>
  <c r="AS35" i="55"/>
  <c r="AU32" i="55"/>
  <c r="AT36" i="55"/>
  <c r="AV33" i="55"/>
  <c r="AT28" i="55"/>
  <c r="AU27" i="55"/>
  <c r="J31" i="55"/>
  <c r="E30" i="55"/>
  <c r="D30" i="55"/>
  <c r="I30" i="55" s="1"/>
  <c r="I31" i="55" s="1"/>
  <c r="AV32" i="55"/>
  <c r="O96" i="55"/>
  <c r="AS5" i="55"/>
  <c r="N111" i="55"/>
  <c r="AU28" i="55"/>
  <c r="AV27" i="55"/>
  <c r="AU35" i="55"/>
  <c r="E45" i="55"/>
  <c r="E46" i="55"/>
  <c r="D46" i="55"/>
  <c r="AS32" i="55"/>
  <c r="AU30" i="55"/>
  <c r="AV28" i="55"/>
  <c r="AD215" i="55"/>
  <c r="E27" i="55"/>
  <c r="J28" i="55"/>
  <c r="D27" i="55"/>
  <c r="I27" i="55" s="1"/>
  <c r="AU36" i="55"/>
  <c r="AS33" i="55"/>
  <c r="P96" i="55"/>
  <c r="AT5" i="55"/>
  <c r="AT30" i="55"/>
  <c r="AS28" i="55"/>
  <c r="N111" i="54"/>
  <c r="E45" i="54"/>
  <c r="E46" i="54"/>
  <c r="D46" i="54"/>
  <c r="E27" i="54"/>
  <c r="J28" i="54"/>
  <c r="D27" i="54"/>
  <c r="I27" i="54" s="1"/>
  <c r="AV28" i="54"/>
  <c r="P96" i="54"/>
  <c r="AT5" i="54"/>
  <c r="AE215" i="54"/>
  <c r="Q96" i="54"/>
  <c r="AU5" i="54"/>
  <c r="E39" i="54"/>
  <c r="D39" i="54"/>
  <c r="AD215" i="54"/>
  <c r="Z47" i="54"/>
  <c r="Z48" i="54" s="1"/>
  <c r="Z49" i="54" s="1"/>
  <c r="J30" i="54" s="1"/>
  <c r="AS36" i="54" s="1"/>
  <c r="AC215" i="54"/>
  <c r="AV6" i="52"/>
  <c r="AV8" i="52"/>
  <c r="AV7" i="52"/>
  <c r="D39" i="52"/>
  <c r="E39" i="52"/>
  <c r="E27" i="52"/>
  <c r="D27" i="52"/>
  <c r="I27" i="52" s="1"/>
  <c r="J28" i="52"/>
  <c r="Z47" i="52"/>
  <c r="Z48" i="52" s="1"/>
  <c r="Z49" i="52" s="1"/>
  <c r="J30" i="52" s="1"/>
  <c r="N111" i="52"/>
  <c r="E45" i="52"/>
  <c r="E46" i="52"/>
  <c r="D46" i="52"/>
  <c r="O114" i="49"/>
  <c r="Z46" i="49"/>
  <c r="V28" i="49"/>
  <c r="Z47" i="49"/>
  <c r="Z48" i="49" s="1"/>
  <c r="Z49" i="49" s="1"/>
  <c r="J29" i="49" s="1"/>
  <c r="AE91" i="49"/>
  <c r="P114" i="49"/>
  <c r="Q114" i="49"/>
  <c r="AE94" i="49"/>
  <c r="E36" i="49"/>
  <c r="D36" i="49"/>
  <c r="AL12" i="49"/>
  <c r="AL15" i="49"/>
  <c r="AL9" i="49"/>
  <c r="AK9" i="49" s="1"/>
  <c r="AS26" i="49" s="1"/>
  <c r="AL18" i="49"/>
  <c r="V26" i="49"/>
  <c r="V27" i="49"/>
  <c r="V47" i="49"/>
  <c r="V48" i="49" s="1"/>
  <c r="V51" i="49" s="1"/>
  <c r="J27" i="49" s="1"/>
  <c r="B42" i="49"/>
  <c r="AQ29" i="49" s="1"/>
  <c r="B45" i="49"/>
  <c r="AQ32" i="49" s="1"/>
  <c r="B49" i="49"/>
  <c r="AQ36" i="49" s="1"/>
  <c r="E35" i="49"/>
  <c r="B43" i="49"/>
  <c r="AQ30" i="49" s="1"/>
  <c r="B46" i="49"/>
  <c r="AQ33" i="49" s="1"/>
  <c r="D40" i="49"/>
  <c r="V27" i="48"/>
  <c r="P99" i="48" s="1"/>
  <c r="AL12" i="48"/>
  <c r="AL15" i="48"/>
  <c r="AL9" i="48"/>
  <c r="AL18" i="48"/>
  <c r="D40" i="48"/>
  <c r="E40" i="48"/>
  <c r="B41" i="48"/>
  <c r="AQ28" i="48" s="1"/>
  <c r="AE91" i="48"/>
  <c r="Z46" i="48" s="1"/>
  <c r="Z47" i="48" s="1"/>
  <c r="Z48" i="48" s="1"/>
  <c r="Z49" i="48" s="1"/>
  <c r="J29" i="48" s="1"/>
  <c r="B45" i="48"/>
  <c r="AQ32" i="48" s="1"/>
  <c r="AK9" i="48"/>
  <c r="AS26" i="48" s="1"/>
  <c r="AT5" i="48"/>
  <c r="B42" i="48"/>
  <c r="AQ29" i="48" s="1"/>
  <c r="B44" i="48"/>
  <c r="AQ31" i="48" s="1"/>
  <c r="AE88" i="48"/>
  <c r="Q114" i="48"/>
  <c r="O114" i="48"/>
  <c r="AJ15" i="48"/>
  <c r="AK15" i="48" s="1"/>
  <c r="AU26" i="48" s="1"/>
  <c r="V47" i="48"/>
  <c r="V48" i="48" s="1"/>
  <c r="V51" i="48" s="1"/>
  <c r="J27" i="48" s="1"/>
  <c r="AE94" i="48"/>
  <c r="D35" i="48"/>
  <c r="B47" i="48"/>
  <c r="AQ34" i="48" s="1"/>
  <c r="B48" i="48"/>
  <c r="AQ35" i="48" s="1"/>
  <c r="B49" i="48"/>
  <c r="AQ36" i="48" s="1"/>
  <c r="G20" i="48"/>
  <c r="D36" i="48"/>
  <c r="B43" i="48"/>
  <c r="AQ30" i="48" s="1"/>
  <c r="B46" i="48"/>
  <c r="AQ33" i="48" s="1"/>
  <c r="AQ59" i="47"/>
  <c r="D40" i="47" s="1"/>
  <c r="U35" i="47"/>
  <c r="AU5" i="47" s="1"/>
  <c r="U32" i="47"/>
  <c r="Q114" i="47"/>
  <c r="Z46" i="47"/>
  <c r="Z47" i="47" s="1"/>
  <c r="Z48" i="47" s="1"/>
  <c r="Z49" i="47" s="1"/>
  <c r="J29" i="47" s="1"/>
  <c r="AL12" i="47"/>
  <c r="AL18" i="47"/>
  <c r="AL15" i="47"/>
  <c r="AL9" i="47"/>
  <c r="AK9" i="47"/>
  <c r="AS26" i="47" s="1"/>
  <c r="O114" i="47"/>
  <c r="P114" i="47"/>
  <c r="D27" i="47"/>
  <c r="J28" i="47"/>
  <c r="E27" i="47"/>
  <c r="B42" i="47"/>
  <c r="AQ29" i="47" s="1"/>
  <c r="B48" i="47"/>
  <c r="AQ35" i="47" s="1"/>
  <c r="G20" i="47"/>
  <c r="D36" i="47"/>
  <c r="B41" i="47"/>
  <c r="AQ28" i="47" s="1"/>
  <c r="V26" i="43"/>
  <c r="AO179" i="43"/>
  <c r="AN179" i="43"/>
  <c r="AM179" i="43"/>
  <c r="AL179" i="43"/>
  <c r="AK179" i="43"/>
  <c r="AJ179" i="43"/>
  <c r="AI179" i="43"/>
  <c r="AH179" i="43"/>
  <c r="AG179" i="43"/>
  <c r="AF179" i="43"/>
  <c r="AE179" i="43"/>
  <c r="AD179" i="43"/>
  <c r="AC179" i="43"/>
  <c r="AB179" i="43"/>
  <c r="AA179" i="43"/>
  <c r="Z179" i="43"/>
  <c r="Y179" i="43"/>
  <c r="X179" i="43"/>
  <c r="W179" i="43"/>
  <c r="V179" i="43"/>
  <c r="AO178" i="43"/>
  <c r="AN178" i="43"/>
  <c r="AM178" i="43"/>
  <c r="AL178" i="43"/>
  <c r="AK178" i="43"/>
  <c r="AJ178" i="43"/>
  <c r="AI178" i="43"/>
  <c r="AH178" i="43"/>
  <c r="AG178" i="43"/>
  <c r="AF178" i="43"/>
  <c r="AE178" i="43"/>
  <c r="AD178" i="43"/>
  <c r="AC178" i="43"/>
  <c r="AB178" i="43"/>
  <c r="AA178" i="43"/>
  <c r="Z178" i="43"/>
  <c r="Y178" i="43"/>
  <c r="X178" i="43"/>
  <c r="W178" i="43"/>
  <c r="V178" i="43"/>
  <c r="AO177" i="43"/>
  <c r="AN177" i="43"/>
  <c r="AM177" i="43"/>
  <c r="AL177" i="43"/>
  <c r="AK177" i="43"/>
  <c r="AJ177" i="43"/>
  <c r="AI177" i="43"/>
  <c r="AH177" i="43"/>
  <c r="AG177" i="43"/>
  <c r="AF177" i="43"/>
  <c r="AE177" i="43"/>
  <c r="AD177" i="43"/>
  <c r="AC177" i="43"/>
  <c r="AB177" i="43"/>
  <c r="AA177" i="43"/>
  <c r="Z177" i="43"/>
  <c r="Y177" i="43"/>
  <c r="X177" i="43"/>
  <c r="W177" i="43"/>
  <c r="V177" i="43"/>
  <c r="AO176" i="43"/>
  <c r="AN176" i="43"/>
  <c r="AM176" i="43"/>
  <c r="AL176" i="43"/>
  <c r="AK176" i="43"/>
  <c r="AJ176" i="43"/>
  <c r="AI176" i="43"/>
  <c r="AH176" i="43"/>
  <c r="AG176" i="43"/>
  <c r="AF176" i="43"/>
  <c r="AE176" i="43"/>
  <c r="AD176" i="43"/>
  <c r="AC176" i="43"/>
  <c r="AB176" i="43"/>
  <c r="AA176" i="43"/>
  <c r="Z176" i="43"/>
  <c r="Y176" i="43"/>
  <c r="X176" i="43"/>
  <c r="W176" i="43"/>
  <c r="V176" i="43"/>
  <c r="AO175" i="43"/>
  <c r="AN175" i="43"/>
  <c r="AM175" i="43"/>
  <c r="AL175" i="43"/>
  <c r="AK175" i="43"/>
  <c r="AJ175" i="43"/>
  <c r="AI175" i="43"/>
  <c r="AH175" i="43"/>
  <c r="AG175" i="43"/>
  <c r="AF175" i="43"/>
  <c r="AE175" i="43"/>
  <c r="AD175" i="43"/>
  <c r="AC175" i="43"/>
  <c r="AB175" i="43"/>
  <c r="AA175" i="43"/>
  <c r="Z175" i="43"/>
  <c r="Y175" i="43"/>
  <c r="X175" i="43"/>
  <c r="W175" i="43"/>
  <c r="V175" i="43"/>
  <c r="AO174" i="43"/>
  <c r="AN174" i="43"/>
  <c r="AM174" i="43"/>
  <c r="AL174" i="43"/>
  <c r="AK174" i="43"/>
  <c r="AJ174" i="43"/>
  <c r="AI174" i="43"/>
  <c r="AH174" i="43"/>
  <c r="AG174" i="43"/>
  <c r="AF174" i="43"/>
  <c r="AE174" i="43"/>
  <c r="AD174" i="43"/>
  <c r="AC174" i="43"/>
  <c r="AB174" i="43"/>
  <c r="AA174" i="43"/>
  <c r="Z174" i="43"/>
  <c r="Y174" i="43"/>
  <c r="X174" i="43"/>
  <c r="W174" i="43"/>
  <c r="V174" i="43"/>
  <c r="AO173" i="43"/>
  <c r="AN173" i="43"/>
  <c r="AM173" i="43"/>
  <c r="AL173" i="43"/>
  <c r="AK173" i="43"/>
  <c r="AJ173" i="43"/>
  <c r="AI173" i="43"/>
  <c r="AH173" i="43"/>
  <c r="AG173" i="43"/>
  <c r="AF173" i="43"/>
  <c r="AE173" i="43"/>
  <c r="AD173" i="43"/>
  <c r="AC173" i="43"/>
  <c r="AB173" i="43"/>
  <c r="AA173" i="43"/>
  <c r="Z173" i="43"/>
  <c r="Y173" i="43"/>
  <c r="X173" i="43"/>
  <c r="W173" i="43"/>
  <c r="V173" i="43"/>
  <c r="AO172" i="43"/>
  <c r="AN172" i="43"/>
  <c r="AM172" i="43"/>
  <c r="AL172" i="43"/>
  <c r="AK172" i="43"/>
  <c r="AJ172" i="43"/>
  <c r="AI172" i="43"/>
  <c r="AH172" i="43"/>
  <c r="AG172" i="43"/>
  <c r="AF172" i="43"/>
  <c r="AE172" i="43"/>
  <c r="AD172" i="43"/>
  <c r="AC172" i="43"/>
  <c r="AB172" i="43"/>
  <c r="AA172" i="43"/>
  <c r="Z172" i="43"/>
  <c r="Y172" i="43"/>
  <c r="X172" i="43"/>
  <c r="W172" i="43"/>
  <c r="V172" i="43"/>
  <c r="AO171" i="43"/>
  <c r="AN171" i="43"/>
  <c r="AM171" i="43"/>
  <c r="AL171" i="43"/>
  <c r="AK171" i="43"/>
  <c r="AJ171" i="43"/>
  <c r="AI171" i="43"/>
  <c r="AH171" i="43"/>
  <c r="AG171" i="43"/>
  <c r="AF171" i="43"/>
  <c r="AE171" i="43"/>
  <c r="AD171" i="43"/>
  <c r="AC171" i="43"/>
  <c r="AB171" i="43"/>
  <c r="AA171" i="43"/>
  <c r="Z171" i="43"/>
  <c r="Y171" i="43"/>
  <c r="X171" i="43"/>
  <c r="W171" i="43"/>
  <c r="V171" i="43"/>
  <c r="AO170" i="43"/>
  <c r="AN170" i="43"/>
  <c r="AM170" i="43"/>
  <c r="AL170" i="43"/>
  <c r="AK170" i="43"/>
  <c r="AJ170" i="43"/>
  <c r="AI170" i="43"/>
  <c r="AH170" i="43"/>
  <c r="AG170" i="43"/>
  <c r="AF170" i="43"/>
  <c r="AE170" i="43"/>
  <c r="AD170" i="43"/>
  <c r="AC170" i="43"/>
  <c r="AB170" i="43"/>
  <c r="AA170" i="43"/>
  <c r="Z170" i="43"/>
  <c r="Y170" i="43"/>
  <c r="X170" i="43"/>
  <c r="W170" i="43"/>
  <c r="V170" i="43"/>
  <c r="AO169" i="43"/>
  <c r="AN169" i="43"/>
  <c r="AM169" i="43"/>
  <c r="AL169" i="43"/>
  <c r="AK169" i="43"/>
  <c r="AJ169" i="43"/>
  <c r="AI169" i="43"/>
  <c r="AH169" i="43"/>
  <c r="AG169" i="43"/>
  <c r="AF169" i="43"/>
  <c r="AE169" i="43"/>
  <c r="AD169" i="43"/>
  <c r="AC169" i="43"/>
  <c r="AB169" i="43"/>
  <c r="AA169" i="43"/>
  <c r="Z169" i="43"/>
  <c r="Y169" i="43"/>
  <c r="X169" i="43"/>
  <c r="W169" i="43"/>
  <c r="V169" i="43"/>
  <c r="AO168" i="43"/>
  <c r="AN168" i="43"/>
  <c r="AM168" i="43"/>
  <c r="AL168" i="43"/>
  <c r="AK168" i="43"/>
  <c r="AJ168" i="43"/>
  <c r="AI168" i="43"/>
  <c r="AH168" i="43"/>
  <c r="AG168" i="43"/>
  <c r="AF168" i="43"/>
  <c r="AE168" i="43"/>
  <c r="AD168" i="43"/>
  <c r="AC168" i="43"/>
  <c r="AC95" i="43" s="1"/>
  <c r="AB168" i="43"/>
  <c r="AB95" i="43" s="1"/>
  <c r="AE95" i="43" s="1"/>
  <c r="AA168" i="43"/>
  <c r="Z168" i="43"/>
  <c r="Y168" i="43"/>
  <c r="X168" i="43"/>
  <c r="W168" i="43"/>
  <c r="W95" i="43" s="1"/>
  <c r="V168" i="43"/>
  <c r="V95" i="43" s="1"/>
  <c r="AO167" i="43"/>
  <c r="AN167" i="43"/>
  <c r="AM167" i="43"/>
  <c r="AL167" i="43"/>
  <c r="AK167" i="43"/>
  <c r="AJ167" i="43"/>
  <c r="AI167" i="43"/>
  <c r="AH167" i="43"/>
  <c r="AG167" i="43"/>
  <c r="AF167" i="43"/>
  <c r="AE167" i="43"/>
  <c r="AD167" i="43"/>
  <c r="AD94" i="43" s="1"/>
  <c r="AE94" i="43" s="1"/>
  <c r="AC167" i="43"/>
  <c r="AB167" i="43"/>
  <c r="AA167" i="43"/>
  <c r="Z167" i="43"/>
  <c r="Y167" i="43"/>
  <c r="Y94" i="43" s="1"/>
  <c r="X167" i="43"/>
  <c r="W167" i="43"/>
  <c r="V167" i="43"/>
  <c r="AO166" i="43"/>
  <c r="AN166" i="43"/>
  <c r="AM166" i="43"/>
  <c r="AL166" i="43"/>
  <c r="X93" i="43" s="1"/>
  <c r="AK166" i="43"/>
  <c r="AJ166" i="43"/>
  <c r="AI166" i="43"/>
  <c r="AH166" i="43"/>
  <c r="AG166" i="43"/>
  <c r="AF166" i="43"/>
  <c r="AE166" i="43"/>
  <c r="AD166" i="43"/>
  <c r="AC166" i="43"/>
  <c r="AB166" i="43"/>
  <c r="AA166" i="43"/>
  <c r="AA93" i="43" s="1"/>
  <c r="Z166" i="43"/>
  <c r="Z93" i="43" s="1"/>
  <c r="Y166" i="43"/>
  <c r="X166" i="43"/>
  <c r="W166" i="43"/>
  <c r="V166" i="43"/>
  <c r="AO165" i="43"/>
  <c r="AN165" i="43"/>
  <c r="AM165" i="43"/>
  <c r="AL165" i="43"/>
  <c r="AK165" i="43"/>
  <c r="AJ165" i="43"/>
  <c r="AI165" i="43"/>
  <c r="AH165" i="43"/>
  <c r="AG165" i="43"/>
  <c r="AF165" i="43"/>
  <c r="AE165" i="43"/>
  <c r="AD165" i="43"/>
  <c r="AC165" i="43"/>
  <c r="AC92" i="43" s="1"/>
  <c r="AB165" i="43"/>
  <c r="AB92" i="43" s="1"/>
  <c r="AE92" i="43" s="1"/>
  <c r="AA165" i="43"/>
  <c r="Z165" i="43"/>
  <c r="Y165" i="43"/>
  <c r="X165" i="43"/>
  <c r="W165" i="43"/>
  <c r="W92" i="43" s="1"/>
  <c r="V165" i="43"/>
  <c r="V92" i="43" s="1"/>
  <c r="AO164" i="43"/>
  <c r="AN164" i="43"/>
  <c r="AM164" i="43"/>
  <c r="AL164" i="43"/>
  <c r="AK164" i="43"/>
  <c r="AJ164" i="43"/>
  <c r="AI164" i="43"/>
  <c r="AH164" i="43"/>
  <c r="AG164" i="43"/>
  <c r="AF164" i="43"/>
  <c r="AE164" i="43"/>
  <c r="AD164" i="43"/>
  <c r="AD91" i="43" s="1"/>
  <c r="AC164" i="43"/>
  <c r="AB164" i="43"/>
  <c r="AA164" i="43"/>
  <c r="Z164" i="43"/>
  <c r="Y164" i="43"/>
  <c r="Y91" i="43" s="1"/>
  <c r="X164" i="43"/>
  <c r="W164" i="43"/>
  <c r="V164" i="43"/>
  <c r="AO163" i="43"/>
  <c r="AN163" i="43"/>
  <c r="AM163" i="43"/>
  <c r="AL163" i="43"/>
  <c r="X90" i="43" s="1"/>
  <c r="AK163" i="43"/>
  <c r="AJ163" i="43"/>
  <c r="AI163" i="43"/>
  <c r="AH163" i="43"/>
  <c r="AG163" i="43"/>
  <c r="AF163" i="43"/>
  <c r="AE163" i="43"/>
  <c r="AD163" i="43"/>
  <c r="AC163" i="43"/>
  <c r="AB163" i="43"/>
  <c r="AA163" i="43"/>
  <c r="AA90" i="43" s="1"/>
  <c r="Z163" i="43"/>
  <c r="Z90" i="43" s="1"/>
  <c r="Y163" i="43"/>
  <c r="X163" i="43"/>
  <c r="W163" i="43"/>
  <c r="V163" i="43"/>
  <c r="AO162" i="43"/>
  <c r="AN162" i="43"/>
  <c r="AM162" i="43"/>
  <c r="AL162" i="43"/>
  <c r="AK162" i="43"/>
  <c r="AJ162" i="43"/>
  <c r="AI162" i="43"/>
  <c r="AH162" i="43"/>
  <c r="AG162" i="43"/>
  <c r="AF162" i="43"/>
  <c r="AE162" i="43"/>
  <c r="AD162" i="43"/>
  <c r="AC162" i="43"/>
  <c r="AC89" i="43" s="1"/>
  <c r="AB162" i="43"/>
  <c r="AB89" i="43" s="1"/>
  <c r="AE89" i="43" s="1"/>
  <c r="AA162" i="43"/>
  <c r="Z162" i="43"/>
  <c r="Y162" i="43"/>
  <c r="X162" i="43"/>
  <c r="W162" i="43"/>
  <c r="W89" i="43" s="1"/>
  <c r="V162" i="43"/>
  <c r="V89" i="43" s="1"/>
  <c r="AO161" i="43"/>
  <c r="AN161" i="43"/>
  <c r="AM161" i="43"/>
  <c r="AL161" i="43"/>
  <c r="AK161" i="43"/>
  <c r="AJ161" i="43"/>
  <c r="AI161" i="43"/>
  <c r="AH161" i="43"/>
  <c r="AG161" i="43"/>
  <c r="AF161" i="43"/>
  <c r="AE161" i="43"/>
  <c r="AD161" i="43"/>
  <c r="AD88" i="43" s="1"/>
  <c r="AE88" i="43" s="1"/>
  <c r="AC161" i="43"/>
  <c r="AB161" i="43"/>
  <c r="AA161" i="43"/>
  <c r="Z161" i="43"/>
  <c r="Y161" i="43"/>
  <c r="Y88" i="43" s="1"/>
  <c r="X161" i="43"/>
  <c r="W161" i="43"/>
  <c r="V161" i="43"/>
  <c r="AO160" i="43"/>
  <c r="AN160" i="43"/>
  <c r="AM160" i="43"/>
  <c r="AL160" i="43"/>
  <c r="X87" i="43" s="1"/>
  <c r="AK160" i="43"/>
  <c r="AJ160" i="43"/>
  <c r="AI160" i="43"/>
  <c r="AH160" i="43"/>
  <c r="AG160" i="43"/>
  <c r="AF160" i="43"/>
  <c r="AE160" i="43"/>
  <c r="AD160" i="43"/>
  <c r="AC160" i="43"/>
  <c r="AB160" i="43"/>
  <c r="AA160" i="43"/>
  <c r="AA87" i="43" s="1"/>
  <c r="Z160" i="43"/>
  <c r="Z87" i="43" s="1"/>
  <c r="Y160" i="43"/>
  <c r="X160" i="43"/>
  <c r="W160" i="43"/>
  <c r="V160" i="43"/>
  <c r="AO159" i="43"/>
  <c r="AN159" i="43"/>
  <c r="AM159" i="43"/>
  <c r="AL159" i="43"/>
  <c r="AK159" i="43"/>
  <c r="AJ159" i="43"/>
  <c r="AI159" i="43"/>
  <c r="AH159" i="43"/>
  <c r="AG159" i="43"/>
  <c r="AF159" i="43"/>
  <c r="AE159" i="43"/>
  <c r="AD159" i="43"/>
  <c r="AC159" i="43"/>
  <c r="AB159" i="43"/>
  <c r="AA159" i="43"/>
  <c r="Z159" i="43"/>
  <c r="Y159" i="43"/>
  <c r="X159" i="43"/>
  <c r="W159" i="43"/>
  <c r="V159" i="43"/>
  <c r="AO158" i="43"/>
  <c r="AN158" i="43"/>
  <c r="AM158" i="43"/>
  <c r="AL158" i="43"/>
  <c r="AK158" i="43"/>
  <c r="AJ158" i="43"/>
  <c r="AI158" i="43"/>
  <c r="AH158" i="43"/>
  <c r="AG158" i="43"/>
  <c r="AF158" i="43"/>
  <c r="AE158" i="43"/>
  <c r="AD158" i="43"/>
  <c r="AC158" i="43"/>
  <c r="AB158" i="43"/>
  <c r="AA158" i="43"/>
  <c r="Z158" i="43"/>
  <c r="Y158" i="43"/>
  <c r="X158" i="43"/>
  <c r="W158" i="43"/>
  <c r="V158" i="43"/>
  <c r="AO157" i="43"/>
  <c r="AN157" i="43"/>
  <c r="AM157" i="43"/>
  <c r="AL157" i="43"/>
  <c r="AK157" i="43"/>
  <c r="AJ157" i="43"/>
  <c r="AI157" i="43"/>
  <c r="AH157" i="43"/>
  <c r="AG157" i="43"/>
  <c r="AF157" i="43"/>
  <c r="AE157" i="43"/>
  <c r="AD157" i="43"/>
  <c r="AC157" i="43"/>
  <c r="AB157" i="43"/>
  <c r="AA157" i="43"/>
  <c r="Z157" i="43"/>
  <c r="Y157" i="43"/>
  <c r="X157" i="43"/>
  <c r="W157" i="43"/>
  <c r="V157" i="43"/>
  <c r="AO156" i="43"/>
  <c r="AN156" i="43"/>
  <c r="AM156" i="43"/>
  <c r="AL156" i="43"/>
  <c r="AK156" i="43"/>
  <c r="AJ156" i="43"/>
  <c r="AI156" i="43"/>
  <c r="AH156" i="43"/>
  <c r="AG156" i="43"/>
  <c r="AF156" i="43"/>
  <c r="AE156" i="43"/>
  <c r="AD156" i="43"/>
  <c r="AC156" i="43"/>
  <c r="AB156" i="43"/>
  <c r="AA156" i="43"/>
  <c r="Z156" i="43"/>
  <c r="Y156" i="43"/>
  <c r="X156" i="43"/>
  <c r="W156" i="43"/>
  <c r="V156" i="43"/>
  <c r="AO155" i="43"/>
  <c r="AN155" i="43"/>
  <c r="AM155" i="43"/>
  <c r="AL155" i="43"/>
  <c r="AK155" i="43"/>
  <c r="AJ155" i="43"/>
  <c r="AI155" i="43"/>
  <c r="AH155" i="43"/>
  <c r="AG155" i="43"/>
  <c r="AF155" i="43"/>
  <c r="AE155" i="43"/>
  <c r="AD155" i="43"/>
  <c r="AC155" i="43"/>
  <c r="AB155" i="43"/>
  <c r="AA155" i="43"/>
  <c r="Z155" i="43"/>
  <c r="Y155" i="43"/>
  <c r="X155" i="43"/>
  <c r="W155" i="43"/>
  <c r="V155" i="43"/>
  <c r="AO154" i="43"/>
  <c r="AN154" i="43"/>
  <c r="AM154" i="43"/>
  <c r="AL154" i="43"/>
  <c r="AK154" i="43"/>
  <c r="AJ154" i="43"/>
  <c r="AI154" i="43"/>
  <c r="AH154" i="43"/>
  <c r="AG154" i="43"/>
  <c r="AF154" i="43"/>
  <c r="AE154" i="43"/>
  <c r="AD154" i="43"/>
  <c r="AC154" i="43"/>
  <c r="AB154" i="43"/>
  <c r="AA154" i="43"/>
  <c r="Z154" i="43"/>
  <c r="Y154" i="43"/>
  <c r="X154" i="43"/>
  <c r="W154" i="43"/>
  <c r="V154" i="43"/>
  <c r="AO153" i="43"/>
  <c r="AN153" i="43"/>
  <c r="AM153" i="43"/>
  <c r="AL153" i="43"/>
  <c r="AK153" i="43"/>
  <c r="AJ153" i="43"/>
  <c r="AI153" i="43"/>
  <c r="AH153" i="43"/>
  <c r="AG153" i="43"/>
  <c r="AF153" i="43"/>
  <c r="AE153" i="43"/>
  <c r="AD153" i="43"/>
  <c r="AC153" i="43"/>
  <c r="AB153" i="43"/>
  <c r="AA153" i="43"/>
  <c r="Z153" i="43"/>
  <c r="Y153" i="43"/>
  <c r="X153" i="43"/>
  <c r="W153" i="43"/>
  <c r="V153" i="43"/>
  <c r="AO152" i="43"/>
  <c r="AN152" i="43"/>
  <c r="AM152" i="43"/>
  <c r="AL152" i="43"/>
  <c r="AK152" i="43"/>
  <c r="AJ152" i="43"/>
  <c r="AI152" i="43"/>
  <c r="AH152" i="43"/>
  <c r="AG152" i="43"/>
  <c r="AF152" i="43"/>
  <c r="AE152" i="43"/>
  <c r="AD152" i="43"/>
  <c r="AC152" i="43"/>
  <c r="AB152" i="43"/>
  <c r="AA152" i="43"/>
  <c r="Z152" i="43"/>
  <c r="Y152" i="43"/>
  <c r="X152" i="43"/>
  <c r="W152" i="43"/>
  <c r="V152" i="43"/>
  <c r="AO151" i="43"/>
  <c r="AN151" i="43"/>
  <c r="AM151" i="43"/>
  <c r="AL151" i="43"/>
  <c r="AK151" i="43"/>
  <c r="AJ151" i="43"/>
  <c r="AI151" i="43"/>
  <c r="AH151" i="43"/>
  <c r="AG151" i="43"/>
  <c r="AF151" i="43"/>
  <c r="AE151" i="43"/>
  <c r="AD151" i="43"/>
  <c r="AC151" i="43"/>
  <c r="AB151" i="43"/>
  <c r="AA151" i="43"/>
  <c r="Z151" i="43"/>
  <c r="Y151" i="43"/>
  <c r="X151" i="43"/>
  <c r="W151" i="43"/>
  <c r="V151" i="43"/>
  <c r="AO150" i="43"/>
  <c r="AN150" i="43"/>
  <c r="AM150" i="43"/>
  <c r="AL150" i="43"/>
  <c r="AK150" i="43"/>
  <c r="AJ150" i="43"/>
  <c r="AI150" i="43"/>
  <c r="AH150" i="43"/>
  <c r="AG150" i="43"/>
  <c r="AF150" i="43"/>
  <c r="AE150" i="43"/>
  <c r="AD150" i="43"/>
  <c r="AC150" i="43"/>
  <c r="AB150" i="43"/>
  <c r="AA150" i="43"/>
  <c r="Z150" i="43"/>
  <c r="Y150" i="43"/>
  <c r="X150" i="43"/>
  <c r="W150" i="43"/>
  <c r="V150" i="43"/>
  <c r="AO149" i="43"/>
  <c r="AN149" i="43"/>
  <c r="AM149" i="43"/>
  <c r="AL149" i="43"/>
  <c r="AK149" i="43"/>
  <c r="AJ149" i="43"/>
  <c r="AI149" i="43"/>
  <c r="AH149" i="43"/>
  <c r="AG149" i="43"/>
  <c r="AF149" i="43"/>
  <c r="AE149" i="43"/>
  <c r="AD149" i="43"/>
  <c r="AC149" i="43"/>
  <c r="AB149" i="43"/>
  <c r="AA149" i="43"/>
  <c r="Z149" i="43"/>
  <c r="Y149" i="43"/>
  <c r="X149" i="43"/>
  <c r="W149" i="43"/>
  <c r="V149" i="43"/>
  <c r="AO148" i="43"/>
  <c r="AN148" i="43"/>
  <c r="AM148" i="43"/>
  <c r="AL148" i="43"/>
  <c r="AK148" i="43"/>
  <c r="AJ148" i="43"/>
  <c r="AI148" i="43"/>
  <c r="AH148" i="43"/>
  <c r="AG148" i="43"/>
  <c r="AF148" i="43"/>
  <c r="AE148" i="43"/>
  <c r="AD148" i="43"/>
  <c r="AC148" i="43"/>
  <c r="AB148" i="43"/>
  <c r="AA148" i="43"/>
  <c r="Z148" i="43"/>
  <c r="Y148" i="43"/>
  <c r="X148" i="43"/>
  <c r="W148" i="43"/>
  <c r="V148" i="43"/>
  <c r="AO147" i="43"/>
  <c r="AN147" i="43"/>
  <c r="AM147" i="43"/>
  <c r="AL147" i="43"/>
  <c r="AK147" i="43"/>
  <c r="AJ147" i="43"/>
  <c r="AI147" i="43"/>
  <c r="AH147" i="43"/>
  <c r="AG147" i="43"/>
  <c r="AF147" i="43"/>
  <c r="AE147" i="43"/>
  <c r="AD147" i="43"/>
  <c r="AC147" i="43"/>
  <c r="AB147" i="43"/>
  <c r="AA147" i="43"/>
  <c r="Z147" i="43"/>
  <c r="Y147" i="43"/>
  <c r="X147" i="43"/>
  <c r="W147" i="43"/>
  <c r="V147" i="43"/>
  <c r="AO146" i="43"/>
  <c r="AN146" i="43"/>
  <c r="AM146" i="43"/>
  <c r="AL146" i="43"/>
  <c r="AK146" i="43"/>
  <c r="AJ146" i="43"/>
  <c r="AI146" i="43"/>
  <c r="AH146" i="43"/>
  <c r="AG146" i="43"/>
  <c r="AF146" i="43"/>
  <c r="AE146" i="43"/>
  <c r="AD146" i="43"/>
  <c r="AC146" i="43"/>
  <c r="AB146" i="43"/>
  <c r="AA146" i="43"/>
  <c r="Z146" i="43"/>
  <c r="Y146" i="43"/>
  <c r="X146" i="43"/>
  <c r="W146" i="43"/>
  <c r="V146" i="43"/>
  <c r="AO145" i="43"/>
  <c r="AN145" i="43"/>
  <c r="AM145" i="43"/>
  <c r="AL145" i="43"/>
  <c r="AK145" i="43"/>
  <c r="AJ145" i="43"/>
  <c r="AI145" i="43"/>
  <c r="AH145" i="43"/>
  <c r="AG145" i="43"/>
  <c r="AF145" i="43"/>
  <c r="AE145" i="43"/>
  <c r="AD145" i="43"/>
  <c r="AC145" i="43"/>
  <c r="AB145" i="43"/>
  <c r="AA145" i="43"/>
  <c r="Z145" i="43"/>
  <c r="Y145" i="43"/>
  <c r="X145" i="43"/>
  <c r="W145" i="43"/>
  <c r="V145" i="43"/>
  <c r="AO144" i="43"/>
  <c r="AN144" i="43"/>
  <c r="AM144" i="43"/>
  <c r="AL144" i="43"/>
  <c r="AK144" i="43"/>
  <c r="AJ144" i="43"/>
  <c r="AI144" i="43"/>
  <c r="AH144" i="43"/>
  <c r="AG144" i="43"/>
  <c r="AF144" i="43"/>
  <c r="AE144" i="43"/>
  <c r="AD144" i="43"/>
  <c r="AC144" i="43"/>
  <c r="AB144" i="43"/>
  <c r="AA144" i="43"/>
  <c r="Z144" i="43"/>
  <c r="Y144" i="43"/>
  <c r="X144" i="43"/>
  <c r="W144" i="43"/>
  <c r="V144" i="43"/>
  <c r="AO143" i="43"/>
  <c r="AN143" i="43"/>
  <c r="AM143" i="43"/>
  <c r="AL143" i="43"/>
  <c r="AK143" i="43"/>
  <c r="AJ143" i="43"/>
  <c r="AI143" i="43"/>
  <c r="AH143" i="43"/>
  <c r="AG143" i="43"/>
  <c r="AF143" i="43"/>
  <c r="AE143" i="43"/>
  <c r="AD143" i="43"/>
  <c r="AC143" i="43"/>
  <c r="AB143" i="43"/>
  <c r="AA143" i="43"/>
  <c r="Z143" i="43"/>
  <c r="Y143" i="43"/>
  <c r="X143" i="43"/>
  <c r="W143" i="43"/>
  <c r="V143" i="43"/>
  <c r="AO142" i="43"/>
  <c r="AN142" i="43"/>
  <c r="AM142" i="43"/>
  <c r="AL142" i="43"/>
  <c r="AK142" i="43"/>
  <c r="AJ142" i="43"/>
  <c r="AI142" i="43"/>
  <c r="AH142" i="43"/>
  <c r="AG142" i="43"/>
  <c r="AF142" i="43"/>
  <c r="AE142" i="43"/>
  <c r="AD142" i="43"/>
  <c r="AC142" i="43"/>
  <c r="AB142" i="43"/>
  <c r="AA142" i="43"/>
  <c r="Z142" i="43"/>
  <c r="Y142" i="43"/>
  <c r="X142" i="43"/>
  <c r="W142" i="43"/>
  <c r="V142" i="43"/>
  <c r="AO141" i="43"/>
  <c r="AN141" i="43"/>
  <c r="AM141" i="43"/>
  <c r="AL141" i="43"/>
  <c r="AK141" i="43"/>
  <c r="AJ141" i="43"/>
  <c r="AI141" i="43"/>
  <c r="AH141" i="43"/>
  <c r="AG141" i="43"/>
  <c r="AF141" i="43"/>
  <c r="AE141" i="43"/>
  <c r="AD141" i="43"/>
  <c r="AC141" i="43"/>
  <c r="AB141" i="43"/>
  <c r="AA141" i="43"/>
  <c r="Z141" i="43"/>
  <c r="Y141" i="43"/>
  <c r="X141" i="43"/>
  <c r="W141" i="43"/>
  <c r="V141" i="43"/>
  <c r="AO140" i="43"/>
  <c r="AN140" i="43"/>
  <c r="AM140" i="43"/>
  <c r="AL140" i="43"/>
  <c r="AK140" i="43"/>
  <c r="AJ140" i="43"/>
  <c r="AI140" i="43"/>
  <c r="AH140" i="43"/>
  <c r="AG140" i="43"/>
  <c r="AF140" i="43"/>
  <c r="AE140" i="43"/>
  <c r="AD140" i="43"/>
  <c r="AC140" i="43"/>
  <c r="AB140" i="43"/>
  <c r="AA140" i="43"/>
  <c r="Z140" i="43"/>
  <c r="Y140" i="43"/>
  <c r="X140" i="43"/>
  <c r="W140" i="43"/>
  <c r="V140" i="43"/>
  <c r="AO139" i="43"/>
  <c r="AN139" i="43"/>
  <c r="AM139" i="43"/>
  <c r="AL139" i="43"/>
  <c r="AK139" i="43"/>
  <c r="AJ139" i="43"/>
  <c r="AI139" i="43"/>
  <c r="AH139" i="43"/>
  <c r="AG139" i="43"/>
  <c r="AF139" i="43"/>
  <c r="AE139" i="43"/>
  <c r="AD139" i="43"/>
  <c r="AC139" i="43"/>
  <c r="AB139" i="43"/>
  <c r="AA139" i="43"/>
  <c r="Z139" i="43"/>
  <c r="Y139" i="43"/>
  <c r="X139" i="43"/>
  <c r="W139" i="43"/>
  <c r="V139" i="43"/>
  <c r="AO138" i="43"/>
  <c r="AN138" i="43"/>
  <c r="AM138" i="43"/>
  <c r="AL138" i="43"/>
  <c r="AK138" i="43"/>
  <c r="AJ138" i="43"/>
  <c r="AI138" i="43"/>
  <c r="AH138" i="43"/>
  <c r="AG138" i="43"/>
  <c r="AF138" i="43"/>
  <c r="AE138" i="43"/>
  <c r="AD138" i="43"/>
  <c r="AC138" i="43"/>
  <c r="AB138" i="43"/>
  <c r="AA138" i="43"/>
  <c r="Z138" i="43"/>
  <c r="Y138" i="43"/>
  <c r="X138" i="43"/>
  <c r="W138" i="43"/>
  <c r="V138" i="43"/>
  <c r="AO137" i="43"/>
  <c r="AN137" i="43"/>
  <c r="AM137" i="43"/>
  <c r="AL137" i="43"/>
  <c r="AK137" i="43"/>
  <c r="AJ137" i="43"/>
  <c r="AI137" i="43"/>
  <c r="AH137" i="43"/>
  <c r="AG137" i="43"/>
  <c r="AF137" i="43"/>
  <c r="AE137" i="43"/>
  <c r="AD137" i="43"/>
  <c r="AC137" i="43"/>
  <c r="AB137" i="43"/>
  <c r="AA137" i="43"/>
  <c r="Z137" i="43"/>
  <c r="Y137" i="43"/>
  <c r="X137" i="43"/>
  <c r="W137" i="43"/>
  <c r="V137" i="43"/>
  <c r="AO136" i="43"/>
  <c r="AN136" i="43"/>
  <c r="AM136" i="43"/>
  <c r="AL136" i="43"/>
  <c r="AK136" i="43"/>
  <c r="AJ136" i="43"/>
  <c r="AI136" i="43"/>
  <c r="AH136" i="43"/>
  <c r="AG136" i="43"/>
  <c r="AF136" i="43"/>
  <c r="AE136" i="43"/>
  <c r="AD136" i="43"/>
  <c r="AC136" i="43"/>
  <c r="AB136" i="43"/>
  <c r="AA136" i="43"/>
  <c r="Z136" i="43"/>
  <c r="Y136" i="43"/>
  <c r="X136" i="43"/>
  <c r="W136" i="43"/>
  <c r="V136" i="43"/>
  <c r="AO135" i="43"/>
  <c r="AN135" i="43"/>
  <c r="AM135" i="43"/>
  <c r="AL135" i="43"/>
  <c r="AK135" i="43"/>
  <c r="AJ135" i="43"/>
  <c r="AI135" i="43"/>
  <c r="AH135" i="43"/>
  <c r="AG135" i="43"/>
  <c r="AF135" i="43"/>
  <c r="AE135" i="43"/>
  <c r="AD135" i="43"/>
  <c r="AC135" i="43"/>
  <c r="AB135" i="43"/>
  <c r="AA135" i="43"/>
  <c r="Z135" i="43"/>
  <c r="Y135" i="43"/>
  <c r="X135" i="43"/>
  <c r="W135" i="43"/>
  <c r="V135" i="43"/>
  <c r="AO134" i="43"/>
  <c r="AN134" i="43"/>
  <c r="AM134" i="43"/>
  <c r="AL134" i="43"/>
  <c r="AK134" i="43"/>
  <c r="AJ134" i="43"/>
  <c r="AI134" i="43"/>
  <c r="AH134" i="43"/>
  <c r="AG134" i="43"/>
  <c r="AF134" i="43"/>
  <c r="AE134" i="43"/>
  <c r="AD134" i="43"/>
  <c r="AC134" i="43"/>
  <c r="AB134" i="43"/>
  <c r="AA134" i="43"/>
  <c r="Z134" i="43"/>
  <c r="Y134" i="43"/>
  <c r="X134" i="43"/>
  <c r="W134" i="43"/>
  <c r="V134" i="43"/>
  <c r="AO133" i="43"/>
  <c r="AN133" i="43"/>
  <c r="AM133" i="43"/>
  <c r="AL133" i="43"/>
  <c r="AK133" i="43"/>
  <c r="AJ133" i="43"/>
  <c r="AI133" i="43"/>
  <c r="AH133" i="43"/>
  <c r="AG133" i="43"/>
  <c r="AF133" i="43"/>
  <c r="AE133" i="43"/>
  <c r="AD133" i="43"/>
  <c r="AC133" i="43"/>
  <c r="AB133" i="43"/>
  <c r="AA133" i="43"/>
  <c r="Z133" i="43"/>
  <c r="Y133" i="43"/>
  <c r="X133" i="43"/>
  <c r="W133" i="43"/>
  <c r="V133" i="43"/>
  <c r="AO132" i="43"/>
  <c r="AN132" i="43"/>
  <c r="AM132" i="43"/>
  <c r="AL132" i="43"/>
  <c r="AK132" i="43"/>
  <c r="AJ132" i="43"/>
  <c r="AI132" i="43"/>
  <c r="AH132" i="43"/>
  <c r="AG132" i="43"/>
  <c r="AF132" i="43"/>
  <c r="AE132" i="43"/>
  <c r="AD132" i="43"/>
  <c r="AC132" i="43"/>
  <c r="AB132" i="43"/>
  <c r="AA132" i="43"/>
  <c r="Z132" i="43"/>
  <c r="Y132" i="43"/>
  <c r="X132" i="43"/>
  <c r="W132" i="43"/>
  <c r="V132" i="43"/>
  <c r="AO131" i="43"/>
  <c r="AN131" i="43"/>
  <c r="AM131" i="43"/>
  <c r="AL131" i="43"/>
  <c r="AK131" i="43"/>
  <c r="AJ131" i="43"/>
  <c r="AI131" i="43"/>
  <c r="AH131" i="43"/>
  <c r="AG131" i="43"/>
  <c r="AF131" i="43"/>
  <c r="AE131" i="43"/>
  <c r="AD131" i="43"/>
  <c r="AC131" i="43"/>
  <c r="AB131" i="43"/>
  <c r="AA131" i="43"/>
  <c r="Z131" i="43"/>
  <c r="Y131" i="43"/>
  <c r="X131" i="43"/>
  <c r="W131" i="43"/>
  <c r="V131" i="43"/>
  <c r="AO130" i="43"/>
  <c r="AN130" i="43"/>
  <c r="AM130" i="43"/>
  <c r="AL130" i="43"/>
  <c r="AK130" i="43"/>
  <c r="AJ130" i="43"/>
  <c r="AI130" i="43"/>
  <c r="AH130" i="43"/>
  <c r="AG130" i="43"/>
  <c r="AF130" i="43"/>
  <c r="AE130" i="43"/>
  <c r="AD130" i="43"/>
  <c r="AC130" i="43"/>
  <c r="AB130" i="43"/>
  <c r="AA130" i="43"/>
  <c r="Z130" i="43"/>
  <c r="Y130" i="43"/>
  <c r="X130" i="43"/>
  <c r="W130" i="43"/>
  <c r="V130" i="43"/>
  <c r="AO129" i="43"/>
  <c r="AN129" i="43"/>
  <c r="AM129" i="43"/>
  <c r="AL129" i="43"/>
  <c r="AK129" i="43"/>
  <c r="AJ129" i="43"/>
  <c r="AI129" i="43"/>
  <c r="AH129" i="43"/>
  <c r="AG129" i="43"/>
  <c r="AF129" i="43"/>
  <c r="AE129" i="43"/>
  <c r="AD129" i="43"/>
  <c r="AC129" i="43"/>
  <c r="AB129" i="43"/>
  <c r="AA129" i="43"/>
  <c r="Z129" i="43"/>
  <c r="Y129" i="43"/>
  <c r="X129" i="43"/>
  <c r="W129" i="43"/>
  <c r="V129" i="43"/>
  <c r="AO128" i="43"/>
  <c r="AN128" i="43"/>
  <c r="AM128" i="43"/>
  <c r="AL128" i="43"/>
  <c r="AK128" i="43"/>
  <c r="AJ128" i="43"/>
  <c r="AI128" i="43"/>
  <c r="AH128" i="43"/>
  <c r="AG128" i="43"/>
  <c r="AF128" i="43"/>
  <c r="AE128" i="43"/>
  <c r="AD128" i="43"/>
  <c r="AC128" i="43"/>
  <c r="AB128" i="43"/>
  <c r="AA128" i="43"/>
  <c r="Z128" i="43"/>
  <c r="Y128" i="43"/>
  <c r="X128" i="43"/>
  <c r="W128" i="43"/>
  <c r="V128" i="43"/>
  <c r="AO127" i="43"/>
  <c r="AN127" i="43"/>
  <c r="AM127" i="43"/>
  <c r="AL127" i="43"/>
  <c r="AK127" i="43"/>
  <c r="AJ127" i="43"/>
  <c r="AI127" i="43"/>
  <c r="AH127" i="43"/>
  <c r="AG127" i="43"/>
  <c r="AF127" i="43"/>
  <c r="AE127" i="43"/>
  <c r="AD127" i="43"/>
  <c r="AC127" i="43"/>
  <c r="AB127" i="43"/>
  <c r="AA127" i="43"/>
  <c r="Z127" i="43"/>
  <c r="Y127" i="43"/>
  <c r="X127" i="43"/>
  <c r="W127" i="43"/>
  <c r="V127" i="43"/>
  <c r="AO126" i="43"/>
  <c r="AN126" i="43"/>
  <c r="AM126" i="43"/>
  <c r="AL126" i="43"/>
  <c r="AK126" i="43"/>
  <c r="AJ126" i="43"/>
  <c r="AI126" i="43"/>
  <c r="AH126" i="43"/>
  <c r="AG126" i="43"/>
  <c r="AF126" i="43"/>
  <c r="AE126" i="43"/>
  <c r="AD126" i="43"/>
  <c r="AC126" i="43"/>
  <c r="AB126" i="43"/>
  <c r="AA126" i="43"/>
  <c r="Z126" i="43"/>
  <c r="Y126" i="43"/>
  <c r="X126" i="43"/>
  <c r="W126" i="43"/>
  <c r="V126" i="43"/>
  <c r="AO125" i="43"/>
  <c r="AN125" i="43"/>
  <c r="AM125" i="43"/>
  <c r="AL125" i="43"/>
  <c r="AK125" i="43"/>
  <c r="AJ125" i="43"/>
  <c r="AI125" i="43"/>
  <c r="AH125" i="43"/>
  <c r="AG125" i="43"/>
  <c r="AF125" i="43"/>
  <c r="AE125" i="43"/>
  <c r="AD125" i="43"/>
  <c r="AC125" i="43"/>
  <c r="AB125" i="43"/>
  <c r="AA125" i="43"/>
  <c r="Z125" i="43"/>
  <c r="Y125" i="43"/>
  <c r="X125" i="43"/>
  <c r="W125" i="43"/>
  <c r="V125" i="43"/>
  <c r="AO124" i="43"/>
  <c r="AN124" i="43"/>
  <c r="AM124" i="43"/>
  <c r="AL124" i="43"/>
  <c r="AK124" i="43"/>
  <c r="AJ124" i="43"/>
  <c r="AI124" i="43"/>
  <c r="AH124" i="43"/>
  <c r="AG124" i="43"/>
  <c r="AF124" i="43"/>
  <c r="AE124" i="43"/>
  <c r="AD124" i="43"/>
  <c r="AC124" i="43"/>
  <c r="AB124" i="43"/>
  <c r="AA124" i="43"/>
  <c r="Z124" i="43"/>
  <c r="Y124" i="43"/>
  <c r="X124" i="43"/>
  <c r="W124" i="43"/>
  <c r="V124" i="43"/>
  <c r="AO123" i="43"/>
  <c r="AN123" i="43"/>
  <c r="AM123" i="43"/>
  <c r="AL123" i="43"/>
  <c r="AK123" i="43"/>
  <c r="AJ123" i="43"/>
  <c r="AI123" i="43"/>
  <c r="AH123" i="43"/>
  <c r="AG123" i="43"/>
  <c r="AF123" i="43"/>
  <c r="AE123" i="43"/>
  <c r="AD123" i="43"/>
  <c r="AC123" i="43"/>
  <c r="AB123" i="43"/>
  <c r="AA123" i="43"/>
  <c r="Z123" i="43"/>
  <c r="Y123" i="43"/>
  <c r="X123" i="43"/>
  <c r="W123" i="43"/>
  <c r="V123" i="43"/>
  <c r="AO122" i="43"/>
  <c r="AN122" i="43"/>
  <c r="AM122" i="43"/>
  <c r="AL122" i="43"/>
  <c r="AK122" i="43"/>
  <c r="AJ122" i="43"/>
  <c r="AI122" i="43"/>
  <c r="AH122" i="43"/>
  <c r="AG122" i="43"/>
  <c r="AF122" i="43"/>
  <c r="AE122" i="43"/>
  <c r="AD122" i="43"/>
  <c r="AC122" i="43"/>
  <c r="AB122" i="43"/>
  <c r="AA122" i="43"/>
  <c r="Z122" i="43"/>
  <c r="Y122" i="43"/>
  <c r="X122" i="43"/>
  <c r="W122" i="43"/>
  <c r="V122" i="43"/>
  <c r="AO121" i="43"/>
  <c r="AN121" i="43"/>
  <c r="AM121" i="43"/>
  <c r="AL121" i="43"/>
  <c r="AK121" i="43"/>
  <c r="AJ121" i="43"/>
  <c r="AI121" i="43"/>
  <c r="AH121" i="43"/>
  <c r="AG121" i="43"/>
  <c r="AF121" i="43"/>
  <c r="AE121" i="43"/>
  <c r="AD121" i="43"/>
  <c r="AC121" i="43"/>
  <c r="AB121" i="43"/>
  <c r="AA121" i="43"/>
  <c r="Z121" i="43"/>
  <c r="Y121" i="43"/>
  <c r="X121" i="43"/>
  <c r="W121" i="43"/>
  <c r="V121" i="43"/>
  <c r="AO120" i="43"/>
  <c r="AN120" i="43"/>
  <c r="AM120" i="43"/>
  <c r="AL120" i="43"/>
  <c r="AK120" i="43"/>
  <c r="AJ120" i="43"/>
  <c r="AI120" i="43"/>
  <c r="AH120" i="43"/>
  <c r="AG120" i="43"/>
  <c r="AF120" i="43"/>
  <c r="AE120" i="43"/>
  <c r="AD120" i="43"/>
  <c r="AC120" i="43"/>
  <c r="AB120" i="43"/>
  <c r="AA120" i="43"/>
  <c r="Z120" i="43"/>
  <c r="Y120" i="43"/>
  <c r="X120" i="43"/>
  <c r="W120" i="43"/>
  <c r="V120" i="43"/>
  <c r="AO119" i="43"/>
  <c r="AN119" i="43"/>
  <c r="AM119" i="43"/>
  <c r="AL119" i="43"/>
  <c r="AK119" i="43"/>
  <c r="AJ119" i="43"/>
  <c r="AI119" i="43"/>
  <c r="AH119" i="43"/>
  <c r="AG119" i="43"/>
  <c r="AF119" i="43"/>
  <c r="AE119" i="43"/>
  <c r="AD119" i="43"/>
  <c r="AC119" i="43"/>
  <c r="AB119" i="43"/>
  <c r="AA119" i="43"/>
  <c r="Z119" i="43"/>
  <c r="Y119" i="43"/>
  <c r="X119" i="43"/>
  <c r="W119" i="43"/>
  <c r="V119" i="43"/>
  <c r="AO118" i="43"/>
  <c r="AN118" i="43"/>
  <c r="AM118" i="43"/>
  <c r="AL118" i="43"/>
  <c r="AK118" i="43"/>
  <c r="AJ118" i="43"/>
  <c r="AI118" i="43"/>
  <c r="AH118" i="43"/>
  <c r="AG118" i="43"/>
  <c r="AF118" i="43"/>
  <c r="AE118" i="43"/>
  <c r="AD118" i="43"/>
  <c r="AC118" i="43"/>
  <c r="AB118" i="43"/>
  <c r="AA118" i="43"/>
  <c r="Z118" i="43"/>
  <c r="Y118" i="43"/>
  <c r="X118" i="43"/>
  <c r="W118" i="43"/>
  <c r="V118" i="43"/>
  <c r="AO117" i="43"/>
  <c r="AN117" i="43"/>
  <c r="AM117" i="43"/>
  <c r="AL117" i="43"/>
  <c r="AK117" i="43"/>
  <c r="AJ117" i="43"/>
  <c r="AI117" i="43"/>
  <c r="AH117" i="43"/>
  <c r="AG117" i="43"/>
  <c r="AF117" i="43"/>
  <c r="AE117" i="43"/>
  <c r="AD117" i="43"/>
  <c r="AC117" i="43"/>
  <c r="AB117" i="43"/>
  <c r="AA117" i="43"/>
  <c r="Z117" i="43"/>
  <c r="Y117" i="43"/>
  <c r="X117" i="43"/>
  <c r="W117" i="43"/>
  <c r="V117" i="43"/>
  <c r="AO116" i="43"/>
  <c r="AN116" i="43"/>
  <c r="AM116" i="43"/>
  <c r="AL116" i="43"/>
  <c r="AK116" i="43"/>
  <c r="AJ116" i="43"/>
  <c r="AI116" i="43"/>
  <c r="AH116" i="43"/>
  <c r="AG116" i="43"/>
  <c r="AF116" i="43"/>
  <c r="AE116" i="43"/>
  <c r="AD116" i="43"/>
  <c r="AC116" i="43"/>
  <c r="AB116" i="43"/>
  <c r="AA116" i="43"/>
  <c r="Z116" i="43"/>
  <c r="Y116" i="43"/>
  <c r="X116" i="43"/>
  <c r="W116" i="43"/>
  <c r="V116" i="43"/>
  <c r="AO115" i="43"/>
  <c r="AN115" i="43"/>
  <c r="AM115" i="43"/>
  <c r="AL115" i="43"/>
  <c r="AK115" i="43"/>
  <c r="AJ115" i="43"/>
  <c r="AI115" i="43"/>
  <c r="AH115" i="43"/>
  <c r="AG115" i="43"/>
  <c r="AF115" i="43"/>
  <c r="AE115" i="43"/>
  <c r="AD115" i="43"/>
  <c r="AC115" i="43"/>
  <c r="AB115" i="43"/>
  <c r="AA115" i="43"/>
  <c r="Z115" i="43"/>
  <c r="Y115" i="43"/>
  <c r="X115" i="43"/>
  <c r="W115" i="43"/>
  <c r="V115" i="43"/>
  <c r="AO114" i="43"/>
  <c r="AN114" i="43"/>
  <c r="AM114" i="43"/>
  <c r="AL114" i="43"/>
  <c r="AK114" i="43"/>
  <c r="AJ114" i="43"/>
  <c r="AI114" i="43"/>
  <c r="AH114" i="43"/>
  <c r="AG114" i="43"/>
  <c r="AF114" i="43"/>
  <c r="AE114" i="43"/>
  <c r="AD114" i="43"/>
  <c r="AC114" i="43"/>
  <c r="AB114" i="43"/>
  <c r="AA114" i="43"/>
  <c r="Z114" i="43"/>
  <c r="Y114" i="43"/>
  <c r="X114" i="43"/>
  <c r="W114" i="43"/>
  <c r="V114" i="43"/>
  <c r="AO113" i="43"/>
  <c r="AN113" i="43"/>
  <c r="AM113" i="43"/>
  <c r="AL113" i="43"/>
  <c r="AK113" i="43"/>
  <c r="AJ113" i="43"/>
  <c r="AI113" i="43"/>
  <c r="AH113" i="43"/>
  <c r="AG113" i="43"/>
  <c r="AF113" i="43"/>
  <c r="AE113" i="43"/>
  <c r="AD113" i="43"/>
  <c r="AC113" i="43"/>
  <c r="AB113" i="43"/>
  <c r="AA113" i="43"/>
  <c r="Z113" i="43"/>
  <c r="Y113" i="43"/>
  <c r="X113" i="43"/>
  <c r="W113" i="43"/>
  <c r="V113" i="43"/>
  <c r="AO112" i="43"/>
  <c r="AN112" i="43"/>
  <c r="AM112" i="43"/>
  <c r="AL112" i="43"/>
  <c r="AK112" i="43"/>
  <c r="AJ112" i="43"/>
  <c r="AI112" i="43"/>
  <c r="AH112" i="43"/>
  <c r="AG112" i="43"/>
  <c r="AF112" i="43"/>
  <c r="AE112" i="43"/>
  <c r="AD112" i="43"/>
  <c r="AC112" i="43"/>
  <c r="AB112" i="43"/>
  <c r="AA112" i="43"/>
  <c r="Z112" i="43"/>
  <c r="Y112" i="43"/>
  <c r="X112" i="43"/>
  <c r="W112" i="43"/>
  <c r="V112" i="43"/>
  <c r="AO111" i="43"/>
  <c r="AN111" i="43"/>
  <c r="AM111" i="43"/>
  <c r="AL111" i="43"/>
  <c r="AK111" i="43"/>
  <c r="AJ111" i="43"/>
  <c r="AI111" i="43"/>
  <c r="AH111" i="43"/>
  <c r="AG111" i="43"/>
  <c r="AF111" i="43"/>
  <c r="AE111" i="43"/>
  <c r="AD111" i="43"/>
  <c r="AC111" i="43"/>
  <c r="AB111" i="43"/>
  <c r="AA111" i="43"/>
  <c r="Z111" i="43"/>
  <c r="Y111" i="43"/>
  <c r="X111" i="43"/>
  <c r="W111" i="43"/>
  <c r="V111" i="43"/>
  <c r="AO110" i="43"/>
  <c r="AN110" i="43"/>
  <c r="AM110" i="43"/>
  <c r="AL110" i="43"/>
  <c r="AK110" i="43"/>
  <c r="AJ110" i="43"/>
  <c r="AI110" i="43"/>
  <c r="AH110" i="43"/>
  <c r="AG110" i="43"/>
  <c r="AF110" i="43"/>
  <c r="AE110" i="43"/>
  <c r="AD110" i="43"/>
  <c r="AC110" i="43"/>
  <c r="AB110" i="43"/>
  <c r="AA110" i="43"/>
  <c r="Z110" i="43"/>
  <c r="Y110" i="43"/>
  <c r="X110" i="43"/>
  <c r="W110" i="43"/>
  <c r="V110" i="43"/>
  <c r="AO109" i="43"/>
  <c r="AN109" i="43"/>
  <c r="AM109" i="43"/>
  <c r="AL109" i="43"/>
  <c r="AK109" i="43"/>
  <c r="AJ109" i="43"/>
  <c r="AI109" i="43"/>
  <c r="AH109" i="43"/>
  <c r="AG109" i="43"/>
  <c r="AF109" i="43"/>
  <c r="AE109" i="43"/>
  <c r="AD109" i="43"/>
  <c r="AC109" i="43"/>
  <c r="AB109" i="43"/>
  <c r="AA109" i="43"/>
  <c r="Z109" i="43"/>
  <c r="Y109" i="43"/>
  <c r="X109" i="43"/>
  <c r="W109" i="43"/>
  <c r="V109" i="43"/>
  <c r="AO108" i="43"/>
  <c r="AN108" i="43"/>
  <c r="AM108" i="43"/>
  <c r="AL108" i="43"/>
  <c r="AK108" i="43"/>
  <c r="AJ108" i="43"/>
  <c r="AI108" i="43"/>
  <c r="AH108" i="43"/>
  <c r="AG108" i="43"/>
  <c r="AF108" i="43"/>
  <c r="AE108" i="43"/>
  <c r="AD108" i="43"/>
  <c r="AC108" i="43"/>
  <c r="AB108" i="43"/>
  <c r="AA108" i="43"/>
  <c r="Z108" i="43"/>
  <c r="Y108" i="43"/>
  <c r="X108" i="43"/>
  <c r="W108" i="43"/>
  <c r="V108" i="43"/>
  <c r="AO107" i="43"/>
  <c r="AN107" i="43"/>
  <c r="AM107" i="43"/>
  <c r="AL107" i="43"/>
  <c r="AK107" i="43"/>
  <c r="AJ107" i="43"/>
  <c r="AI107" i="43"/>
  <c r="AH107" i="43"/>
  <c r="AG107" i="43"/>
  <c r="AF107" i="43"/>
  <c r="AE107" i="43"/>
  <c r="AD107" i="43"/>
  <c r="AC107" i="43"/>
  <c r="AB107" i="43"/>
  <c r="AA107" i="43"/>
  <c r="Z107" i="43"/>
  <c r="Y107" i="43"/>
  <c r="X107" i="43"/>
  <c r="W107" i="43"/>
  <c r="V107" i="43"/>
  <c r="AO106" i="43"/>
  <c r="AN106" i="43"/>
  <c r="AM106" i="43"/>
  <c r="AL106" i="43"/>
  <c r="AK106" i="43"/>
  <c r="AJ106" i="43"/>
  <c r="AI106" i="43"/>
  <c r="AH106" i="43"/>
  <c r="AG106" i="43"/>
  <c r="AF106" i="43"/>
  <c r="AE106" i="43"/>
  <c r="AD106" i="43"/>
  <c r="AC106" i="43"/>
  <c r="AB106" i="43"/>
  <c r="AA106" i="43"/>
  <c r="Z106" i="43"/>
  <c r="Y106" i="43"/>
  <c r="X106" i="43"/>
  <c r="W106" i="43"/>
  <c r="V106" i="43"/>
  <c r="AO105" i="43"/>
  <c r="AN105" i="43"/>
  <c r="AM105" i="43"/>
  <c r="AL105" i="43"/>
  <c r="AK105" i="43"/>
  <c r="AJ105" i="43"/>
  <c r="AI105" i="43"/>
  <c r="AH105" i="43"/>
  <c r="AG105" i="43"/>
  <c r="AF105" i="43"/>
  <c r="AE105" i="43"/>
  <c r="AD105" i="43"/>
  <c r="AC105" i="43"/>
  <c r="AB105" i="43"/>
  <c r="AA105" i="43"/>
  <c r="Z105" i="43"/>
  <c r="Y105" i="43"/>
  <c r="X105" i="43"/>
  <c r="W105" i="43"/>
  <c r="V105" i="43"/>
  <c r="AO104" i="43"/>
  <c r="AN104" i="43"/>
  <c r="AM104" i="43"/>
  <c r="AL104" i="43"/>
  <c r="AK104" i="43"/>
  <c r="AJ104" i="43"/>
  <c r="AI104" i="43"/>
  <c r="AH104" i="43"/>
  <c r="AG104" i="43"/>
  <c r="AF104" i="43"/>
  <c r="AE104" i="43"/>
  <c r="AD104" i="43"/>
  <c r="AC104" i="43"/>
  <c r="AB104" i="43"/>
  <c r="AA104" i="43"/>
  <c r="Z104" i="43"/>
  <c r="Y104" i="43"/>
  <c r="X104" i="43"/>
  <c r="W104" i="43"/>
  <c r="V104" i="43"/>
  <c r="AO103" i="43"/>
  <c r="AN103" i="43"/>
  <c r="AM103" i="43"/>
  <c r="AL103" i="43"/>
  <c r="AK103" i="43"/>
  <c r="AJ103" i="43"/>
  <c r="AI103" i="43"/>
  <c r="AH103" i="43"/>
  <c r="AG103" i="43"/>
  <c r="AF103" i="43"/>
  <c r="AE103" i="43"/>
  <c r="AD103" i="43"/>
  <c r="AC103" i="43"/>
  <c r="AB103" i="43"/>
  <c r="AA103" i="43"/>
  <c r="Z103" i="43"/>
  <c r="Y103" i="43"/>
  <c r="X103" i="43"/>
  <c r="W103" i="43"/>
  <c r="V103" i="43"/>
  <c r="AO102" i="43"/>
  <c r="AN102" i="43"/>
  <c r="AM102" i="43"/>
  <c r="AL102" i="43"/>
  <c r="AK102" i="43"/>
  <c r="AJ102" i="43"/>
  <c r="AI102" i="43"/>
  <c r="AH102" i="43"/>
  <c r="AG102" i="43"/>
  <c r="AF102" i="43"/>
  <c r="AE102" i="43"/>
  <c r="AD102" i="43"/>
  <c r="AC102" i="43"/>
  <c r="AB102" i="43"/>
  <c r="AA102" i="43"/>
  <c r="Z102" i="43"/>
  <c r="Y102" i="43"/>
  <c r="X102" i="43"/>
  <c r="W102" i="43"/>
  <c r="V102" i="43"/>
  <c r="AO101" i="43"/>
  <c r="AN101" i="43"/>
  <c r="AM101" i="43"/>
  <c r="AL101" i="43"/>
  <c r="AK101" i="43"/>
  <c r="AJ101" i="43"/>
  <c r="AI101" i="43"/>
  <c r="AH101" i="43"/>
  <c r="AG101" i="43"/>
  <c r="AF101" i="43"/>
  <c r="AE101" i="43"/>
  <c r="AD101" i="43"/>
  <c r="AC101" i="43"/>
  <c r="AB101" i="43"/>
  <c r="AA101" i="43"/>
  <c r="Z101" i="43"/>
  <c r="Y101" i="43"/>
  <c r="X101" i="43"/>
  <c r="W101" i="43"/>
  <c r="V101" i="43"/>
  <c r="AO100" i="43"/>
  <c r="AN100" i="43"/>
  <c r="AM100" i="43"/>
  <c r="AL100" i="43"/>
  <c r="AK100" i="43"/>
  <c r="AJ100" i="43"/>
  <c r="AI100" i="43"/>
  <c r="AH100" i="43"/>
  <c r="AG100" i="43"/>
  <c r="AF100" i="43"/>
  <c r="AE100" i="43"/>
  <c r="AD100" i="43"/>
  <c r="AC100" i="43"/>
  <c r="AB100" i="43"/>
  <c r="AA100" i="43"/>
  <c r="Z100" i="43"/>
  <c r="Y100" i="43"/>
  <c r="X100" i="43"/>
  <c r="W100" i="43"/>
  <c r="V100" i="43"/>
  <c r="AV95" i="43"/>
  <c r="AD95" i="43"/>
  <c r="AA95" i="43"/>
  <c r="Z95" i="43"/>
  <c r="Y95" i="43"/>
  <c r="X95" i="43"/>
  <c r="AV94" i="43"/>
  <c r="AC94" i="43"/>
  <c r="AB94" i="43"/>
  <c r="AA94" i="43"/>
  <c r="Z94" i="43"/>
  <c r="X94" i="43"/>
  <c r="W94" i="43"/>
  <c r="V94" i="43"/>
  <c r="AV93" i="43"/>
  <c r="AE93" i="43"/>
  <c r="AD93" i="43"/>
  <c r="AC93" i="43"/>
  <c r="AB93" i="43"/>
  <c r="Y93" i="43"/>
  <c r="W93" i="43"/>
  <c r="V93" i="43"/>
  <c r="AV92" i="43"/>
  <c r="AD92" i="43"/>
  <c r="AA92" i="43"/>
  <c r="Z92" i="43"/>
  <c r="Y92" i="43"/>
  <c r="X92" i="43"/>
  <c r="AV91" i="43"/>
  <c r="AC91" i="43"/>
  <c r="AB91" i="43"/>
  <c r="AA91" i="43"/>
  <c r="Z91" i="43"/>
  <c r="X91" i="43"/>
  <c r="W91" i="43"/>
  <c r="V91" i="43"/>
  <c r="AV90" i="43"/>
  <c r="AD90" i="43"/>
  <c r="AC90" i="43"/>
  <c r="AB90" i="43"/>
  <c r="AE90" i="43" s="1"/>
  <c r="Y90" i="43"/>
  <c r="W90" i="43"/>
  <c r="V90" i="43"/>
  <c r="AV89" i="43"/>
  <c r="AD89" i="43"/>
  <c r="AA89" i="43"/>
  <c r="Z89" i="43"/>
  <c r="Y89" i="43"/>
  <c r="X89" i="43"/>
  <c r="AV88" i="43"/>
  <c r="AC88" i="43"/>
  <c r="AB88" i="43"/>
  <c r="AA88" i="43"/>
  <c r="Z88" i="43"/>
  <c r="X88" i="43"/>
  <c r="W88" i="43"/>
  <c r="V88" i="43"/>
  <c r="AV87" i="43"/>
  <c r="AE87" i="43"/>
  <c r="AD87" i="43"/>
  <c r="AC87" i="43"/>
  <c r="AB87" i="43"/>
  <c r="Y87" i="43"/>
  <c r="W87" i="43"/>
  <c r="V87" i="43"/>
  <c r="AV86" i="43"/>
  <c r="AV85" i="43"/>
  <c r="AV84" i="43"/>
  <c r="AV83" i="43"/>
  <c r="AV82" i="43"/>
  <c r="Z82" i="43"/>
  <c r="Y82" i="43"/>
  <c r="X82" i="43"/>
  <c r="W82" i="43"/>
  <c r="V82" i="43"/>
  <c r="AV81" i="43"/>
  <c r="Z81" i="43"/>
  <c r="Y81" i="43"/>
  <c r="X81" i="43"/>
  <c r="W81" i="43"/>
  <c r="V81" i="43"/>
  <c r="AV80" i="43"/>
  <c r="Z80" i="43"/>
  <c r="Y80" i="43"/>
  <c r="X80" i="43"/>
  <c r="W80" i="43"/>
  <c r="V80" i="43"/>
  <c r="AV79" i="43"/>
  <c r="Z79" i="43"/>
  <c r="Y79" i="43"/>
  <c r="X79" i="43"/>
  <c r="W79" i="43"/>
  <c r="V79" i="43"/>
  <c r="AV78" i="43"/>
  <c r="Z78" i="43"/>
  <c r="Y78" i="43"/>
  <c r="X78" i="43"/>
  <c r="W78" i="43"/>
  <c r="V78" i="43"/>
  <c r="AV77" i="43"/>
  <c r="Z77" i="43"/>
  <c r="Y77" i="43"/>
  <c r="X77" i="43"/>
  <c r="W77" i="43"/>
  <c r="V77" i="43"/>
  <c r="AV76" i="43"/>
  <c r="Z76" i="43"/>
  <c r="Y76" i="43"/>
  <c r="X76" i="43"/>
  <c r="W76" i="43"/>
  <c r="V76" i="43"/>
  <c r="AV75" i="43"/>
  <c r="Z75" i="43"/>
  <c r="Y75" i="43"/>
  <c r="X75" i="43"/>
  <c r="W75" i="43"/>
  <c r="V75" i="43"/>
  <c r="AV74" i="43"/>
  <c r="Z74" i="43"/>
  <c r="Y74" i="43"/>
  <c r="X74" i="43"/>
  <c r="W74" i="43"/>
  <c r="V74" i="43"/>
  <c r="AV73" i="43"/>
  <c r="Z73" i="43"/>
  <c r="Y73" i="43"/>
  <c r="X73" i="43"/>
  <c r="W73" i="43"/>
  <c r="V73" i="43"/>
  <c r="AV72" i="43"/>
  <c r="AV71" i="43"/>
  <c r="AV70" i="43"/>
  <c r="AV69" i="43"/>
  <c r="AV68" i="43"/>
  <c r="AA68" i="43"/>
  <c r="Z68" i="43"/>
  <c r="Y68" i="43"/>
  <c r="X68" i="43"/>
  <c r="W68" i="43"/>
  <c r="V68" i="43"/>
  <c r="AV67" i="43"/>
  <c r="AA67" i="43"/>
  <c r="Z67" i="43"/>
  <c r="Y67" i="43"/>
  <c r="X67" i="43"/>
  <c r="W67" i="43"/>
  <c r="V67" i="43"/>
  <c r="AV66" i="43"/>
  <c r="AA66" i="43"/>
  <c r="Z66" i="43"/>
  <c r="Y66" i="43"/>
  <c r="X66" i="43"/>
  <c r="W66" i="43"/>
  <c r="V66" i="43"/>
  <c r="AV65" i="43"/>
  <c r="AA65" i="43"/>
  <c r="Z65" i="43"/>
  <c r="Y65" i="43"/>
  <c r="X65" i="43"/>
  <c r="W65" i="43"/>
  <c r="V65" i="43"/>
  <c r="AV64" i="43"/>
  <c r="AA64" i="43"/>
  <c r="Z64" i="43"/>
  <c r="Y64" i="43"/>
  <c r="X64" i="43"/>
  <c r="W64" i="43"/>
  <c r="V64" i="43"/>
  <c r="AV63" i="43"/>
  <c r="AA63" i="43"/>
  <c r="Z63" i="43"/>
  <c r="Y63" i="43"/>
  <c r="X63" i="43"/>
  <c r="W63" i="43"/>
  <c r="V63" i="43"/>
  <c r="AV62" i="43"/>
  <c r="AA62" i="43"/>
  <c r="Z62" i="43"/>
  <c r="Y62" i="43"/>
  <c r="X62" i="43"/>
  <c r="W62" i="43"/>
  <c r="V62" i="43"/>
  <c r="AV61" i="43"/>
  <c r="AA61" i="43"/>
  <c r="Z61" i="43"/>
  <c r="Y61" i="43"/>
  <c r="X61" i="43"/>
  <c r="W61" i="43"/>
  <c r="V61" i="43"/>
  <c r="AV60" i="43"/>
  <c r="AA60" i="43"/>
  <c r="Z60" i="43"/>
  <c r="Y60" i="43"/>
  <c r="X60" i="43"/>
  <c r="W60" i="43"/>
  <c r="V60" i="43"/>
  <c r="AV59" i="43"/>
  <c r="AA59" i="43"/>
  <c r="Z59" i="43"/>
  <c r="Y59" i="43"/>
  <c r="X59" i="43"/>
  <c r="W59" i="43"/>
  <c r="V59" i="43"/>
  <c r="AV58" i="43"/>
  <c r="AQ58" i="43"/>
  <c r="AQ59" i="43" s="1"/>
  <c r="E40" i="43" s="1"/>
  <c r="AA58" i="43"/>
  <c r="Z58" i="43"/>
  <c r="Y58" i="43"/>
  <c r="X58" i="43"/>
  <c r="W58" i="43"/>
  <c r="V58" i="43"/>
  <c r="B58" i="43"/>
  <c r="AV57" i="43"/>
  <c r="AA57" i="43"/>
  <c r="Z57" i="43"/>
  <c r="Y57" i="43"/>
  <c r="X57" i="43"/>
  <c r="W57" i="43"/>
  <c r="V57" i="43"/>
  <c r="AV56" i="43"/>
  <c r="AA56" i="43"/>
  <c r="Z56" i="43"/>
  <c r="Y56" i="43"/>
  <c r="X56" i="43"/>
  <c r="W56" i="43"/>
  <c r="V56" i="43"/>
  <c r="V50" i="43" s="1"/>
  <c r="B56" i="43"/>
  <c r="AV55" i="43"/>
  <c r="B55" i="43"/>
  <c r="AV54" i="43"/>
  <c r="AV53" i="43"/>
  <c r="AV52" i="43"/>
  <c r="AV51" i="43"/>
  <c r="V49" i="43"/>
  <c r="B47" i="43"/>
  <c r="AQ34" i="43" s="1"/>
  <c r="B45" i="43"/>
  <c r="AQ32" i="43" s="1"/>
  <c r="AP44" i="43"/>
  <c r="B59" i="43" s="1"/>
  <c r="AP43" i="43"/>
  <c r="AP42" i="43"/>
  <c r="B57" i="43" s="1"/>
  <c r="AL42" i="43"/>
  <c r="AG42" i="43"/>
  <c r="B42" i="43"/>
  <c r="AQ29" i="43" s="1"/>
  <c r="AP41" i="43"/>
  <c r="AL41" i="43"/>
  <c r="AG41" i="43"/>
  <c r="AP40" i="43"/>
  <c r="AL40" i="43"/>
  <c r="AG40" i="43"/>
  <c r="B40" i="43"/>
  <c r="AL39" i="43"/>
  <c r="AG39" i="43"/>
  <c r="AL38" i="43"/>
  <c r="AG38" i="43"/>
  <c r="AL37" i="43"/>
  <c r="AG37" i="43"/>
  <c r="AL36" i="43"/>
  <c r="AG36" i="43"/>
  <c r="AL35" i="43"/>
  <c r="AG35" i="43"/>
  <c r="U35" i="43"/>
  <c r="Q35" i="43"/>
  <c r="E18" i="43" s="1"/>
  <c r="P35" i="43"/>
  <c r="J35" i="43"/>
  <c r="E36" i="43" s="1"/>
  <c r="E35" i="43"/>
  <c r="B35" i="43"/>
  <c r="AL34" i="43"/>
  <c r="AG34" i="43"/>
  <c r="J34" i="43"/>
  <c r="D35" i="43" s="1"/>
  <c r="AL33" i="43"/>
  <c r="AG33" i="43"/>
  <c r="AL32" i="43"/>
  <c r="AG32" i="43"/>
  <c r="AL31" i="43"/>
  <c r="AG31" i="43"/>
  <c r="AL30" i="43"/>
  <c r="AG30" i="43"/>
  <c r="AL29" i="43"/>
  <c r="AG29" i="43"/>
  <c r="B29" i="43"/>
  <c r="AL28" i="43"/>
  <c r="AG28" i="43"/>
  <c r="AQ27" i="43"/>
  <c r="AL27" i="43"/>
  <c r="AG27" i="43"/>
  <c r="B27" i="43"/>
  <c r="P25" i="43"/>
  <c r="P24" i="43"/>
  <c r="I24" i="43"/>
  <c r="G24" i="43"/>
  <c r="E24" i="43"/>
  <c r="C24" i="43"/>
  <c r="I23" i="43"/>
  <c r="G23" i="43"/>
  <c r="E23" i="43"/>
  <c r="C23" i="43"/>
  <c r="I22" i="43"/>
  <c r="G22" i="43"/>
  <c r="E22" i="43"/>
  <c r="C22" i="43"/>
  <c r="I21" i="43"/>
  <c r="G21" i="43"/>
  <c r="E21" i="43"/>
  <c r="C21" i="43"/>
  <c r="AQ20" i="43"/>
  <c r="AI20" i="43"/>
  <c r="I20" i="43"/>
  <c r="AQ19" i="43"/>
  <c r="AI19" i="43"/>
  <c r="AQ18" i="43"/>
  <c r="AI18" i="43"/>
  <c r="AJ18" i="43" s="1"/>
  <c r="AK18" i="43" s="1"/>
  <c r="AV26" i="43" s="1"/>
  <c r="V18" i="43"/>
  <c r="I18" i="43"/>
  <c r="AI17" i="43"/>
  <c r="W17" i="43"/>
  <c r="V17" i="43"/>
  <c r="AI16" i="43"/>
  <c r="V16" i="43"/>
  <c r="AI15" i="43"/>
  <c r="AJ15" i="43" s="1"/>
  <c r="AK15" i="43" s="1"/>
  <c r="AU26" i="43" s="1"/>
  <c r="V15" i="43"/>
  <c r="AQ14" i="43"/>
  <c r="AI14" i="43"/>
  <c r="I14" i="43"/>
  <c r="AQ13" i="43"/>
  <c r="AI13" i="43"/>
  <c r="AQ12" i="43"/>
  <c r="B44" i="43" s="1"/>
  <c r="AQ31" i="43" s="1"/>
  <c r="AI12" i="43"/>
  <c r="AJ12" i="43" s="1"/>
  <c r="AK12" i="43" s="1"/>
  <c r="AT26" i="43" s="1"/>
  <c r="AI11" i="43"/>
  <c r="V11" i="43"/>
  <c r="AI10" i="43"/>
  <c r="V10" i="43"/>
  <c r="AJ9" i="43"/>
  <c r="AI9" i="43"/>
  <c r="V9" i="43"/>
  <c r="AQ8" i="43"/>
  <c r="B43" i="43" s="1"/>
  <c r="AQ30" i="43" s="1"/>
  <c r="V8" i="43"/>
  <c r="AC8" i="43" s="1"/>
  <c r="U32" i="43" s="1"/>
  <c r="AQ7" i="43"/>
  <c r="Y7" i="43"/>
  <c r="AQ6" i="43"/>
  <c r="AG50" i="42"/>
  <c r="AG49" i="42"/>
  <c r="AG48" i="42"/>
  <c r="AG47" i="42"/>
  <c r="AG46" i="42"/>
  <c r="AG45" i="42"/>
  <c r="AG44" i="42"/>
  <c r="AG43" i="42"/>
  <c r="AG42" i="42"/>
  <c r="AG41" i="42"/>
  <c r="AG40" i="42"/>
  <c r="AG39" i="42"/>
  <c r="AG38" i="42"/>
  <c r="AG37" i="42"/>
  <c r="AG36" i="42"/>
  <c r="AG35" i="42"/>
  <c r="AG34" i="42"/>
  <c r="AG33" i="42"/>
  <c r="AG32" i="42"/>
  <c r="AG31" i="42"/>
  <c r="AG30" i="42"/>
  <c r="V11" i="42"/>
  <c r="V18" i="42"/>
  <c r="V17" i="42"/>
  <c r="V16" i="42"/>
  <c r="V9" i="42"/>
  <c r="AC8" i="42" s="1"/>
  <c r="V10" i="42"/>
  <c r="V8" i="42"/>
  <c r="V15" i="42"/>
  <c r="AL50" i="42"/>
  <c r="AL49" i="42"/>
  <c r="AL48" i="42"/>
  <c r="AL47" i="42"/>
  <c r="AL46" i="42"/>
  <c r="AL45" i="42"/>
  <c r="AL44" i="42"/>
  <c r="AL43" i="42"/>
  <c r="AL42" i="42"/>
  <c r="AL41" i="42"/>
  <c r="AL40" i="42"/>
  <c r="AL39" i="42"/>
  <c r="AL38" i="42"/>
  <c r="AL37" i="42"/>
  <c r="AL36" i="42"/>
  <c r="AL35" i="42"/>
  <c r="AL34" i="42"/>
  <c r="AL33" i="42"/>
  <c r="AL32" i="42"/>
  <c r="AL31" i="42"/>
  <c r="Q35" i="24"/>
  <c r="Q35" i="42"/>
  <c r="AO179" i="42"/>
  <c r="AN179" i="42"/>
  <c r="AM179" i="42"/>
  <c r="AL179" i="42"/>
  <c r="AK179" i="42"/>
  <c r="AJ179" i="42"/>
  <c r="AI179" i="42"/>
  <c r="AH179" i="42"/>
  <c r="AG179" i="42"/>
  <c r="AF179" i="42"/>
  <c r="AE179" i="42"/>
  <c r="AD179" i="42"/>
  <c r="AC179" i="42"/>
  <c r="AB179" i="42"/>
  <c r="AA179" i="42"/>
  <c r="Z179" i="42"/>
  <c r="Y179" i="42"/>
  <c r="X179" i="42"/>
  <c r="W179" i="42"/>
  <c r="V179" i="42"/>
  <c r="AO178" i="42"/>
  <c r="AN178" i="42"/>
  <c r="AM178" i="42"/>
  <c r="AL178" i="42"/>
  <c r="AK178" i="42"/>
  <c r="AJ178" i="42"/>
  <c r="AI178" i="42"/>
  <c r="AH178" i="42"/>
  <c r="AG178" i="42"/>
  <c r="AF178" i="42"/>
  <c r="AE178" i="42"/>
  <c r="AD178" i="42"/>
  <c r="AC178" i="42"/>
  <c r="AB178" i="42"/>
  <c r="AA178" i="42"/>
  <c r="Z178" i="42"/>
  <c r="Y178" i="42"/>
  <c r="X178" i="42"/>
  <c r="W178" i="42"/>
  <c r="V178" i="42"/>
  <c r="AO177" i="42"/>
  <c r="AN177" i="42"/>
  <c r="AM177" i="42"/>
  <c r="AL177" i="42"/>
  <c r="AK177" i="42"/>
  <c r="AJ177" i="42"/>
  <c r="AI177" i="42"/>
  <c r="AH177" i="42"/>
  <c r="AG177" i="42"/>
  <c r="AF177" i="42"/>
  <c r="AE177" i="42"/>
  <c r="AD177" i="42"/>
  <c r="AC177" i="42"/>
  <c r="AB177" i="42"/>
  <c r="AA177" i="42"/>
  <c r="Z177" i="42"/>
  <c r="Y177" i="42"/>
  <c r="X177" i="42"/>
  <c r="W177" i="42"/>
  <c r="V177" i="42"/>
  <c r="AO176" i="42"/>
  <c r="AN176" i="42"/>
  <c r="AM176" i="42"/>
  <c r="AL176" i="42"/>
  <c r="AK176" i="42"/>
  <c r="AJ176" i="42"/>
  <c r="AI176" i="42"/>
  <c r="AH176" i="42"/>
  <c r="AG176" i="42"/>
  <c r="AF176" i="42"/>
  <c r="AE176" i="42"/>
  <c r="AD176" i="42"/>
  <c r="AC176" i="42"/>
  <c r="AB176" i="42"/>
  <c r="AA176" i="42"/>
  <c r="Z176" i="42"/>
  <c r="Y176" i="42"/>
  <c r="X176" i="42"/>
  <c r="W176" i="42"/>
  <c r="V176" i="42"/>
  <c r="AO175" i="42"/>
  <c r="AN175" i="42"/>
  <c r="AM175" i="42"/>
  <c r="AL175" i="42"/>
  <c r="AK175" i="42"/>
  <c r="AJ175" i="42"/>
  <c r="AI175" i="42"/>
  <c r="AH175" i="42"/>
  <c r="AG175" i="42"/>
  <c r="AF175" i="42"/>
  <c r="AE175" i="42"/>
  <c r="AD175" i="42"/>
  <c r="AC175" i="42"/>
  <c r="AB175" i="42"/>
  <c r="AA175" i="42"/>
  <c r="Z175" i="42"/>
  <c r="Y175" i="42"/>
  <c r="X175" i="42"/>
  <c r="W175" i="42"/>
  <c r="V175" i="42"/>
  <c r="AO174" i="42"/>
  <c r="AN174" i="42"/>
  <c r="AM174" i="42"/>
  <c r="AL174" i="42"/>
  <c r="AK174" i="42"/>
  <c r="AJ174" i="42"/>
  <c r="AI174" i="42"/>
  <c r="AH174" i="42"/>
  <c r="AG174" i="42"/>
  <c r="AF174" i="42"/>
  <c r="AE174" i="42"/>
  <c r="AD174" i="42"/>
  <c r="AC174" i="42"/>
  <c r="AB174" i="42"/>
  <c r="AA174" i="42"/>
  <c r="Z174" i="42"/>
  <c r="Y174" i="42"/>
  <c r="X174" i="42"/>
  <c r="W174" i="42"/>
  <c r="V174" i="42"/>
  <c r="AO173" i="42"/>
  <c r="AN173" i="42"/>
  <c r="AM173" i="42"/>
  <c r="AL173" i="42"/>
  <c r="AK173" i="42"/>
  <c r="AJ173" i="42"/>
  <c r="AI173" i="42"/>
  <c r="AH173" i="42"/>
  <c r="AG173" i="42"/>
  <c r="AF173" i="42"/>
  <c r="AE173" i="42"/>
  <c r="AD173" i="42"/>
  <c r="AC173" i="42"/>
  <c r="AB173" i="42"/>
  <c r="AA173" i="42"/>
  <c r="Z173" i="42"/>
  <c r="Y173" i="42"/>
  <c r="X173" i="42"/>
  <c r="W173" i="42"/>
  <c r="V173" i="42"/>
  <c r="AO172" i="42"/>
  <c r="AN172" i="42"/>
  <c r="AM172" i="42"/>
  <c r="AL172" i="42"/>
  <c r="AK172" i="42"/>
  <c r="AJ172" i="42"/>
  <c r="AI172" i="42"/>
  <c r="AH172" i="42"/>
  <c r="AG172" i="42"/>
  <c r="AF172" i="42"/>
  <c r="AE172" i="42"/>
  <c r="AD172" i="42"/>
  <c r="AC172" i="42"/>
  <c r="AB172" i="42"/>
  <c r="AA172" i="42"/>
  <c r="Z172" i="42"/>
  <c r="Y172" i="42"/>
  <c r="X172" i="42"/>
  <c r="W172" i="42"/>
  <c r="V172" i="42"/>
  <c r="AO171" i="42"/>
  <c r="AN171" i="42"/>
  <c r="AM171" i="42"/>
  <c r="AL171" i="42"/>
  <c r="AK171" i="42"/>
  <c r="AJ171" i="42"/>
  <c r="AI171" i="42"/>
  <c r="AH171" i="42"/>
  <c r="AG171" i="42"/>
  <c r="AF171" i="42"/>
  <c r="AE171" i="42"/>
  <c r="AD171" i="42"/>
  <c r="AC171" i="42"/>
  <c r="AB171" i="42"/>
  <c r="AA171" i="42"/>
  <c r="Z171" i="42"/>
  <c r="Y171" i="42"/>
  <c r="X171" i="42"/>
  <c r="W171" i="42"/>
  <c r="V171" i="42"/>
  <c r="AO170" i="42"/>
  <c r="AN170" i="42"/>
  <c r="AM170" i="42"/>
  <c r="AL170" i="42"/>
  <c r="AK170" i="42"/>
  <c r="AJ170" i="42"/>
  <c r="AI170" i="42"/>
  <c r="AH170" i="42"/>
  <c r="AG170" i="42"/>
  <c r="AF170" i="42"/>
  <c r="AE170" i="42"/>
  <c r="AD170" i="42"/>
  <c r="AC170" i="42"/>
  <c r="AB170" i="42"/>
  <c r="AA170" i="42"/>
  <c r="Z170" i="42"/>
  <c r="Y170" i="42"/>
  <c r="X170" i="42"/>
  <c r="W170" i="42"/>
  <c r="V170" i="42"/>
  <c r="AO169" i="42"/>
  <c r="AN169" i="42"/>
  <c r="AM169" i="42"/>
  <c r="AL169" i="42"/>
  <c r="AK169" i="42"/>
  <c r="AJ169" i="42"/>
  <c r="AI169" i="42"/>
  <c r="AH169" i="42"/>
  <c r="AG169" i="42"/>
  <c r="AF169" i="42"/>
  <c r="AE169" i="42"/>
  <c r="AD169" i="42"/>
  <c r="AC169" i="42"/>
  <c r="AB169" i="42"/>
  <c r="AA169" i="42"/>
  <c r="Z169" i="42"/>
  <c r="Y169" i="42"/>
  <c r="X169" i="42"/>
  <c r="W169" i="42"/>
  <c r="V169" i="42"/>
  <c r="AO168" i="42"/>
  <c r="AN168" i="42"/>
  <c r="AM168" i="42"/>
  <c r="AL168" i="42"/>
  <c r="X95" i="42" s="1"/>
  <c r="AK168" i="42"/>
  <c r="AJ168" i="42"/>
  <c r="AI168" i="42"/>
  <c r="AH168" i="42"/>
  <c r="AG168" i="42"/>
  <c r="AF168" i="42"/>
  <c r="AE168" i="42"/>
  <c r="AD168" i="42"/>
  <c r="AC168" i="42"/>
  <c r="AC95" i="42" s="1"/>
  <c r="AB168" i="42"/>
  <c r="AB95" i="42" s="1"/>
  <c r="AA168" i="42"/>
  <c r="Z168" i="42"/>
  <c r="Y168" i="42"/>
  <c r="X168" i="42"/>
  <c r="W168" i="42"/>
  <c r="W95" i="42" s="1"/>
  <c r="V168" i="42"/>
  <c r="V95" i="42" s="1"/>
  <c r="AO167" i="42"/>
  <c r="AN167" i="42"/>
  <c r="AM167" i="42"/>
  <c r="AL167" i="42"/>
  <c r="AK167" i="42"/>
  <c r="AJ167" i="42"/>
  <c r="AI167" i="42"/>
  <c r="AH167" i="42"/>
  <c r="AG167" i="42"/>
  <c r="AF167" i="42"/>
  <c r="AE167" i="42"/>
  <c r="AD167" i="42"/>
  <c r="AD94" i="42" s="1"/>
  <c r="AC167" i="42"/>
  <c r="AB167" i="42"/>
  <c r="AB94" i="42" s="1"/>
  <c r="AA167" i="42"/>
  <c r="Z167" i="42"/>
  <c r="Y167" i="42"/>
  <c r="Y94" i="42" s="1"/>
  <c r="X167" i="42"/>
  <c r="W167" i="42"/>
  <c r="V167" i="42"/>
  <c r="V94" i="42" s="1"/>
  <c r="AO166" i="42"/>
  <c r="AN166" i="42"/>
  <c r="AM166" i="42"/>
  <c r="AL166" i="42"/>
  <c r="X93" i="42" s="1"/>
  <c r="AK166" i="42"/>
  <c r="AJ166" i="42"/>
  <c r="AI166" i="42"/>
  <c r="AH166" i="42"/>
  <c r="AG166" i="42"/>
  <c r="AF166" i="42"/>
  <c r="AE166" i="42"/>
  <c r="AD166" i="42"/>
  <c r="AD93" i="42" s="1"/>
  <c r="AE93" i="42" s="1"/>
  <c r="AC166" i="42"/>
  <c r="AB166" i="42"/>
  <c r="AA166" i="42"/>
  <c r="AA93" i="42" s="1"/>
  <c r="Z166" i="42"/>
  <c r="Z93" i="42" s="1"/>
  <c r="Y166" i="42"/>
  <c r="X166" i="42"/>
  <c r="W166" i="42"/>
  <c r="V166" i="42"/>
  <c r="AO165" i="42"/>
  <c r="AN165" i="42"/>
  <c r="AM165" i="42"/>
  <c r="AL165" i="42"/>
  <c r="AK165" i="42"/>
  <c r="AJ165" i="42"/>
  <c r="AI165" i="42"/>
  <c r="AH165" i="42"/>
  <c r="AG165" i="42"/>
  <c r="AF165" i="42"/>
  <c r="AE165" i="42"/>
  <c r="AD165" i="42"/>
  <c r="AC165" i="42"/>
  <c r="AC92" i="42" s="1"/>
  <c r="AB165" i="42"/>
  <c r="AB92" i="42" s="1"/>
  <c r="AA165" i="42"/>
  <c r="Z165" i="42"/>
  <c r="Z92" i="42" s="1"/>
  <c r="Y165" i="42"/>
  <c r="X165" i="42"/>
  <c r="W165" i="42"/>
  <c r="W92" i="42" s="1"/>
  <c r="V165" i="42"/>
  <c r="V92" i="42" s="1"/>
  <c r="AO164" i="42"/>
  <c r="AN164" i="42"/>
  <c r="AM164" i="42"/>
  <c r="AL164" i="42"/>
  <c r="AK164" i="42"/>
  <c r="AJ164" i="42"/>
  <c r="AI164" i="42"/>
  <c r="AH164" i="42"/>
  <c r="AG164" i="42"/>
  <c r="AF164" i="42"/>
  <c r="AE164" i="42"/>
  <c r="AD164" i="42"/>
  <c r="AD91" i="42" s="1"/>
  <c r="AC164" i="42"/>
  <c r="AB164" i="42"/>
  <c r="AB91" i="42" s="1"/>
  <c r="AA164" i="42"/>
  <c r="Z164" i="42"/>
  <c r="Y164" i="42"/>
  <c r="Y91" i="42" s="1"/>
  <c r="X164" i="42"/>
  <c r="W164" i="42"/>
  <c r="V164" i="42"/>
  <c r="V91" i="42" s="1"/>
  <c r="AO163" i="42"/>
  <c r="AN163" i="42"/>
  <c r="AM163" i="42"/>
  <c r="AL163" i="42"/>
  <c r="X90" i="42" s="1"/>
  <c r="AK163" i="42"/>
  <c r="AJ163" i="42"/>
  <c r="AI163" i="42"/>
  <c r="AH163" i="42"/>
  <c r="AG163" i="42"/>
  <c r="AF163" i="42"/>
  <c r="AE163" i="42"/>
  <c r="AD163" i="42"/>
  <c r="AD90" i="42" s="1"/>
  <c r="AC163" i="42"/>
  <c r="AB163" i="42"/>
  <c r="AA163" i="42"/>
  <c r="AA90" i="42" s="1"/>
  <c r="Z163" i="42"/>
  <c r="Z90" i="42" s="1"/>
  <c r="Y163" i="42"/>
  <c r="X163" i="42"/>
  <c r="W163" i="42"/>
  <c r="V163" i="42"/>
  <c r="AO162" i="42"/>
  <c r="AN162" i="42"/>
  <c r="AM162" i="42"/>
  <c r="AL162" i="42"/>
  <c r="X89" i="42" s="1"/>
  <c r="AK162" i="42"/>
  <c r="AJ162" i="42"/>
  <c r="AI162" i="42"/>
  <c r="AH162" i="42"/>
  <c r="AG162" i="42"/>
  <c r="AF162" i="42"/>
  <c r="AE162" i="42"/>
  <c r="AD162" i="42"/>
  <c r="AC162" i="42"/>
  <c r="AC89" i="42" s="1"/>
  <c r="AB162" i="42"/>
  <c r="AB89" i="42" s="1"/>
  <c r="AA162" i="42"/>
  <c r="Z162" i="42"/>
  <c r="Z89" i="42" s="1"/>
  <c r="Y162" i="42"/>
  <c r="X162" i="42"/>
  <c r="W162" i="42"/>
  <c r="W89" i="42" s="1"/>
  <c r="V162" i="42"/>
  <c r="V89" i="42" s="1"/>
  <c r="AO161" i="42"/>
  <c r="AN161" i="42"/>
  <c r="AM161" i="42"/>
  <c r="AL161" i="42"/>
  <c r="AK161" i="42"/>
  <c r="AJ161" i="42"/>
  <c r="AI161" i="42"/>
  <c r="AH161" i="42"/>
  <c r="AG161" i="42"/>
  <c r="AF161" i="42"/>
  <c r="AE161" i="42"/>
  <c r="AD161" i="42"/>
  <c r="AD88" i="42" s="1"/>
  <c r="AC161" i="42"/>
  <c r="AB161" i="42"/>
  <c r="AA161" i="42"/>
  <c r="Z161" i="42"/>
  <c r="Y161" i="42"/>
  <c r="Y88" i="42" s="1"/>
  <c r="X161" i="42"/>
  <c r="W161" i="42"/>
  <c r="V161" i="42"/>
  <c r="V88" i="42" s="1"/>
  <c r="AO160" i="42"/>
  <c r="AN160" i="42"/>
  <c r="AM160" i="42"/>
  <c r="AL160" i="42"/>
  <c r="X87" i="42" s="1"/>
  <c r="AK160" i="42"/>
  <c r="AJ160" i="42"/>
  <c r="AI160" i="42"/>
  <c r="AH160" i="42"/>
  <c r="AG160" i="42"/>
  <c r="AF160" i="42"/>
  <c r="AE160" i="42"/>
  <c r="AD160" i="42"/>
  <c r="AD87" i="42" s="1"/>
  <c r="AC160" i="42"/>
  <c r="AB160" i="42"/>
  <c r="AA160" i="42"/>
  <c r="AA87" i="42" s="1"/>
  <c r="Z160" i="42"/>
  <c r="Z87" i="42" s="1"/>
  <c r="Y160" i="42"/>
  <c r="X160" i="42"/>
  <c r="W160" i="42"/>
  <c r="V160" i="42"/>
  <c r="AO159" i="42"/>
  <c r="AN159" i="42"/>
  <c r="AM159" i="42"/>
  <c r="AL159" i="42"/>
  <c r="AK159" i="42"/>
  <c r="AJ159" i="42"/>
  <c r="AI159" i="42"/>
  <c r="AH159" i="42"/>
  <c r="AG159" i="42"/>
  <c r="AF159" i="42"/>
  <c r="AE159" i="42"/>
  <c r="AD159" i="42"/>
  <c r="AC159" i="42"/>
  <c r="AB159" i="42"/>
  <c r="AA159" i="42"/>
  <c r="Z159" i="42"/>
  <c r="Y159" i="42"/>
  <c r="X159" i="42"/>
  <c r="W159" i="42"/>
  <c r="V159" i="42"/>
  <c r="AO158" i="42"/>
  <c r="AN158" i="42"/>
  <c r="AM158" i="42"/>
  <c r="AL158" i="42"/>
  <c r="AK158" i="42"/>
  <c r="AJ158" i="42"/>
  <c r="AI158" i="42"/>
  <c r="AH158" i="42"/>
  <c r="AG158" i="42"/>
  <c r="AF158" i="42"/>
  <c r="AE158" i="42"/>
  <c r="AD158" i="42"/>
  <c r="AC158" i="42"/>
  <c r="AB158" i="42"/>
  <c r="AA158" i="42"/>
  <c r="Z158" i="42"/>
  <c r="Y158" i="42"/>
  <c r="X158" i="42"/>
  <c r="W158" i="42"/>
  <c r="V158" i="42"/>
  <c r="AO157" i="42"/>
  <c r="AN157" i="42"/>
  <c r="AM157" i="42"/>
  <c r="AL157" i="42"/>
  <c r="AK157" i="42"/>
  <c r="AJ157" i="42"/>
  <c r="AI157" i="42"/>
  <c r="AH157" i="42"/>
  <c r="AG157" i="42"/>
  <c r="AF157" i="42"/>
  <c r="AE157" i="42"/>
  <c r="AD157" i="42"/>
  <c r="AC157" i="42"/>
  <c r="AB157" i="42"/>
  <c r="AA157" i="42"/>
  <c r="Z157" i="42"/>
  <c r="Y157" i="42"/>
  <c r="X157" i="42"/>
  <c r="W157" i="42"/>
  <c r="V157" i="42"/>
  <c r="AO156" i="42"/>
  <c r="AN156" i="42"/>
  <c r="AM156" i="42"/>
  <c r="AL156" i="42"/>
  <c r="AK156" i="42"/>
  <c r="AJ156" i="42"/>
  <c r="AI156" i="42"/>
  <c r="AH156" i="42"/>
  <c r="AG156" i="42"/>
  <c r="AF156" i="42"/>
  <c r="AE156" i="42"/>
  <c r="AD156" i="42"/>
  <c r="AC156" i="42"/>
  <c r="AB156" i="42"/>
  <c r="AA156" i="42"/>
  <c r="Z156" i="42"/>
  <c r="Y156" i="42"/>
  <c r="X156" i="42"/>
  <c r="W156" i="42"/>
  <c r="V156" i="42"/>
  <c r="AO155" i="42"/>
  <c r="AN155" i="42"/>
  <c r="AM155" i="42"/>
  <c r="AL155" i="42"/>
  <c r="AK155" i="42"/>
  <c r="AJ155" i="42"/>
  <c r="AI155" i="42"/>
  <c r="AH155" i="42"/>
  <c r="AG155" i="42"/>
  <c r="AF155" i="42"/>
  <c r="AE155" i="42"/>
  <c r="AD155" i="42"/>
  <c r="AC155" i="42"/>
  <c r="AB155" i="42"/>
  <c r="AA155" i="42"/>
  <c r="Z155" i="42"/>
  <c r="Y155" i="42"/>
  <c r="X155" i="42"/>
  <c r="W155" i="42"/>
  <c r="V155" i="42"/>
  <c r="AO154" i="42"/>
  <c r="AN154" i="42"/>
  <c r="AM154" i="42"/>
  <c r="AL154" i="42"/>
  <c r="AK154" i="42"/>
  <c r="AJ154" i="42"/>
  <c r="AI154" i="42"/>
  <c r="AH154" i="42"/>
  <c r="AG154" i="42"/>
  <c r="AF154" i="42"/>
  <c r="AE154" i="42"/>
  <c r="AD154" i="42"/>
  <c r="AC154" i="42"/>
  <c r="AB154" i="42"/>
  <c r="AA154" i="42"/>
  <c r="Z154" i="42"/>
  <c r="Y154" i="42"/>
  <c r="X154" i="42"/>
  <c r="W154" i="42"/>
  <c r="V154" i="42"/>
  <c r="AO153" i="42"/>
  <c r="AN153" i="42"/>
  <c r="AM153" i="42"/>
  <c r="AL153" i="42"/>
  <c r="AK153" i="42"/>
  <c r="AJ153" i="42"/>
  <c r="AI153" i="42"/>
  <c r="AH153" i="42"/>
  <c r="AG153" i="42"/>
  <c r="AF153" i="42"/>
  <c r="AE153" i="42"/>
  <c r="AD153" i="42"/>
  <c r="AC153" i="42"/>
  <c r="AB153" i="42"/>
  <c r="AA153" i="42"/>
  <c r="Z153" i="42"/>
  <c r="Y153" i="42"/>
  <c r="X153" i="42"/>
  <c r="W153" i="42"/>
  <c r="V153" i="42"/>
  <c r="AO152" i="42"/>
  <c r="AN152" i="42"/>
  <c r="AM152" i="42"/>
  <c r="AL152" i="42"/>
  <c r="AK152" i="42"/>
  <c r="AJ152" i="42"/>
  <c r="AI152" i="42"/>
  <c r="AH152" i="42"/>
  <c r="AG152" i="42"/>
  <c r="AF152" i="42"/>
  <c r="AE152" i="42"/>
  <c r="AD152" i="42"/>
  <c r="AC152" i="42"/>
  <c r="AB152" i="42"/>
  <c r="AA152" i="42"/>
  <c r="Z152" i="42"/>
  <c r="Y152" i="42"/>
  <c r="X152" i="42"/>
  <c r="W152" i="42"/>
  <c r="V152" i="42"/>
  <c r="AO151" i="42"/>
  <c r="AN151" i="42"/>
  <c r="AM151" i="42"/>
  <c r="AL151" i="42"/>
  <c r="AK151" i="42"/>
  <c r="AJ151" i="42"/>
  <c r="AI151" i="42"/>
  <c r="AH151" i="42"/>
  <c r="AG151" i="42"/>
  <c r="AF151" i="42"/>
  <c r="AE151" i="42"/>
  <c r="AD151" i="42"/>
  <c r="AC151" i="42"/>
  <c r="AB151" i="42"/>
  <c r="AA151" i="42"/>
  <c r="Z151" i="42"/>
  <c r="Y151" i="42"/>
  <c r="X151" i="42"/>
  <c r="W151" i="42"/>
  <c r="V151" i="42"/>
  <c r="AO150" i="42"/>
  <c r="AN150" i="42"/>
  <c r="AM150" i="42"/>
  <c r="AL150" i="42"/>
  <c r="AK150" i="42"/>
  <c r="AJ150" i="42"/>
  <c r="AI150" i="42"/>
  <c r="AH150" i="42"/>
  <c r="AG150" i="42"/>
  <c r="AF150" i="42"/>
  <c r="AE150" i="42"/>
  <c r="AD150" i="42"/>
  <c r="AC150" i="42"/>
  <c r="AB150" i="42"/>
  <c r="AA150" i="42"/>
  <c r="Z150" i="42"/>
  <c r="Y150" i="42"/>
  <c r="X150" i="42"/>
  <c r="W150" i="42"/>
  <c r="V150" i="42"/>
  <c r="AO149" i="42"/>
  <c r="AN149" i="42"/>
  <c r="AM149" i="42"/>
  <c r="AL149" i="42"/>
  <c r="AK149" i="42"/>
  <c r="AJ149" i="42"/>
  <c r="AI149" i="42"/>
  <c r="AH149" i="42"/>
  <c r="AG149" i="42"/>
  <c r="AF149" i="42"/>
  <c r="AE149" i="42"/>
  <c r="AD149" i="42"/>
  <c r="AC149" i="42"/>
  <c r="AB149" i="42"/>
  <c r="AA149" i="42"/>
  <c r="Z149" i="42"/>
  <c r="Y149" i="42"/>
  <c r="X149" i="42"/>
  <c r="W149" i="42"/>
  <c r="V149" i="42"/>
  <c r="AO148" i="42"/>
  <c r="AN148" i="42"/>
  <c r="AM148" i="42"/>
  <c r="AL148" i="42"/>
  <c r="AK148" i="42"/>
  <c r="AJ148" i="42"/>
  <c r="AI148" i="42"/>
  <c r="AH148" i="42"/>
  <c r="AG148" i="42"/>
  <c r="AF148" i="42"/>
  <c r="AE148" i="42"/>
  <c r="AD148" i="42"/>
  <c r="AC148" i="42"/>
  <c r="AB148" i="42"/>
  <c r="AA148" i="42"/>
  <c r="Z148" i="42"/>
  <c r="Y148" i="42"/>
  <c r="X148" i="42"/>
  <c r="W148" i="42"/>
  <c r="V148" i="42"/>
  <c r="AO147" i="42"/>
  <c r="AN147" i="42"/>
  <c r="AM147" i="42"/>
  <c r="AL147" i="42"/>
  <c r="AK147" i="42"/>
  <c r="AJ147" i="42"/>
  <c r="AI147" i="42"/>
  <c r="AH147" i="42"/>
  <c r="AG147" i="42"/>
  <c r="AF147" i="42"/>
  <c r="AE147" i="42"/>
  <c r="AD147" i="42"/>
  <c r="AC147" i="42"/>
  <c r="AB147" i="42"/>
  <c r="AA147" i="42"/>
  <c r="Z147" i="42"/>
  <c r="Y147" i="42"/>
  <c r="X147" i="42"/>
  <c r="W147" i="42"/>
  <c r="V147" i="42"/>
  <c r="AO146" i="42"/>
  <c r="AN146" i="42"/>
  <c r="AM146" i="42"/>
  <c r="AL146" i="42"/>
  <c r="AK146" i="42"/>
  <c r="AJ146" i="42"/>
  <c r="AI146" i="42"/>
  <c r="AH146" i="42"/>
  <c r="AG146" i="42"/>
  <c r="AF146" i="42"/>
  <c r="AE146" i="42"/>
  <c r="AD146" i="42"/>
  <c r="AC146" i="42"/>
  <c r="AB146" i="42"/>
  <c r="AA146" i="42"/>
  <c r="Z146" i="42"/>
  <c r="Y146" i="42"/>
  <c r="X146" i="42"/>
  <c r="W146" i="42"/>
  <c r="V146" i="42"/>
  <c r="AO145" i="42"/>
  <c r="AN145" i="42"/>
  <c r="AM145" i="42"/>
  <c r="AL145" i="42"/>
  <c r="AK145" i="42"/>
  <c r="AJ145" i="42"/>
  <c r="AI145" i="42"/>
  <c r="AH145" i="42"/>
  <c r="AG145" i="42"/>
  <c r="AF145" i="42"/>
  <c r="AE145" i="42"/>
  <c r="AD145" i="42"/>
  <c r="AC145" i="42"/>
  <c r="AB145" i="42"/>
  <c r="AA145" i="42"/>
  <c r="Z145" i="42"/>
  <c r="Y145" i="42"/>
  <c r="X145" i="42"/>
  <c r="W145" i="42"/>
  <c r="V145" i="42"/>
  <c r="AO144" i="42"/>
  <c r="AN144" i="42"/>
  <c r="AM144" i="42"/>
  <c r="AL144" i="42"/>
  <c r="AK144" i="42"/>
  <c r="AJ144" i="42"/>
  <c r="AI144" i="42"/>
  <c r="AH144" i="42"/>
  <c r="AG144" i="42"/>
  <c r="AF144" i="42"/>
  <c r="AE144" i="42"/>
  <c r="AD144" i="42"/>
  <c r="AC144" i="42"/>
  <c r="AB144" i="42"/>
  <c r="AA144" i="42"/>
  <c r="Z144" i="42"/>
  <c r="Y144" i="42"/>
  <c r="X144" i="42"/>
  <c r="W144" i="42"/>
  <c r="V144" i="42"/>
  <c r="AO143" i="42"/>
  <c r="AN143" i="42"/>
  <c r="AM143" i="42"/>
  <c r="AL143" i="42"/>
  <c r="AK143" i="42"/>
  <c r="AJ143" i="42"/>
  <c r="AI143" i="42"/>
  <c r="AH143" i="42"/>
  <c r="AG143" i="42"/>
  <c r="AF143" i="42"/>
  <c r="AE143" i="42"/>
  <c r="AD143" i="42"/>
  <c r="AC143" i="42"/>
  <c r="AB143" i="42"/>
  <c r="AA143" i="42"/>
  <c r="Z143" i="42"/>
  <c r="Y143" i="42"/>
  <c r="X143" i="42"/>
  <c r="W143" i="42"/>
  <c r="V143" i="42"/>
  <c r="AO142" i="42"/>
  <c r="AN142" i="42"/>
  <c r="AM142" i="42"/>
  <c r="AL142" i="42"/>
  <c r="AK142" i="42"/>
  <c r="AJ142" i="42"/>
  <c r="AI142" i="42"/>
  <c r="AH142" i="42"/>
  <c r="AG142" i="42"/>
  <c r="AF142" i="42"/>
  <c r="AE142" i="42"/>
  <c r="AD142" i="42"/>
  <c r="AC142" i="42"/>
  <c r="AB142" i="42"/>
  <c r="AA142" i="42"/>
  <c r="Z142" i="42"/>
  <c r="Y142" i="42"/>
  <c r="X142" i="42"/>
  <c r="W142" i="42"/>
  <c r="V142" i="42"/>
  <c r="AO141" i="42"/>
  <c r="AN141" i="42"/>
  <c r="AM141" i="42"/>
  <c r="AL141" i="42"/>
  <c r="AK141" i="42"/>
  <c r="AJ141" i="42"/>
  <c r="AI141" i="42"/>
  <c r="AH141" i="42"/>
  <c r="AG141" i="42"/>
  <c r="AF141" i="42"/>
  <c r="AE141" i="42"/>
  <c r="AD141" i="42"/>
  <c r="AC141" i="42"/>
  <c r="AB141" i="42"/>
  <c r="AA141" i="42"/>
  <c r="Z141" i="42"/>
  <c r="Y141" i="42"/>
  <c r="X141" i="42"/>
  <c r="W141" i="42"/>
  <c r="V141" i="42"/>
  <c r="AO140" i="42"/>
  <c r="AN140" i="42"/>
  <c r="AM140" i="42"/>
  <c r="AL140" i="42"/>
  <c r="AK140" i="42"/>
  <c r="AJ140" i="42"/>
  <c r="AI140" i="42"/>
  <c r="AH140" i="42"/>
  <c r="AG140" i="42"/>
  <c r="AF140" i="42"/>
  <c r="AE140" i="42"/>
  <c r="AD140" i="42"/>
  <c r="AC140" i="42"/>
  <c r="AB140" i="42"/>
  <c r="AA140" i="42"/>
  <c r="Z140" i="42"/>
  <c r="Y140" i="42"/>
  <c r="X140" i="42"/>
  <c r="W140" i="42"/>
  <c r="V140" i="42"/>
  <c r="AO139" i="42"/>
  <c r="AN139" i="42"/>
  <c r="AM139" i="42"/>
  <c r="AL139" i="42"/>
  <c r="AK139" i="42"/>
  <c r="AJ139" i="42"/>
  <c r="AI139" i="42"/>
  <c r="AH139" i="42"/>
  <c r="AG139" i="42"/>
  <c r="AF139" i="42"/>
  <c r="AE139" i="42"/>
  <c r="AD139" i="42"/>
  <c r="AC139" i="42"/>
  <c r="AB139" i="42"/>
  <c r="AA139" i="42"/>
  <c r="Z139" i="42"/>
  <c r="Y139" i="42"/>
  <c r="X139" i="42"/>
  <c r="W139" i="42"/>
  <c r="V139" i="42"/>
  <c r="AO138" i="42"/>
  <c r="AN138" i="42"/>
  <c r="AM138" i="42"/>
  <c r="AL138" i="42"/>
  <c r="AK138" i="42"/>
  <c r="AJ138" i="42"/>
  <c r="AI138" i="42"/>
  <c r="AH138" i="42"/>
  <c r="AG138" i="42"/>
  <c r="AF138" i="42"/>
  <c r="AE138" i="42"/>
  <c r="AD138" i="42"/>
  <c r="AC138" i="42"/>
  <c r="AB138" i="42"/>
  <c r="AA138" i="42"/>
  <c r="Z138" i="42"/>
  <c r="Y138" i="42"/>
  <c r="X138" i="42"/>
  <c r="W138" i="42"/>
  <c r="V138" i="42"/>
  <c r="AO137" i="42"/>
  <c r="AN137" i="42"/>
  <c r="AM137" i="42"/>
  <c r="AL137" i="42"/>
  <c r="AK137" i="42"/>
  <c r="AJ137" i="42"/>
  <c r="AI137" i="42"/>
  <c r="AH137" i="42"/>
  <c r="AG137" i="42"/>
  <c r="AF137" i="42"/>
  <c r="AE137" i="42"/>
  <c r="AD137" i="42"/>
  <c r="AC137" i="42"/>
  <c r="AB137" i="42"/>
  <c r="AA137" i="42"/>
  <c r="Z137" i="42"/>
  <c r="Y137" i="42"/>
  <c r="X137" i="42"/>
  <c r="W137" i="42"/>
  <c r="V137" i="42"/>
  <c r="AO136" i="42"/>
  <c r="AN136" i="42"/>
  <c r="AM136" i="42"/>
  <c r="AL136" i="42"/>
  <c r="AK136" i="42"/>
  <c r="AJ136" i="42"/>
  <c r="AI136" i="42"/>
  <c r="AH136" i="42"/>
  <c r="AG136" i="42"/>
  <c r="AF136" i="42"/>
  <c r="AE136" i="42"/>
  <c r="AD136" i="42"/>
  <c r="AC136" i="42"/>
  <c r="AB136" i="42"/>
  <c r="AA136" i="42"/>
  <c r="Z136" i="42"/>
  <c r="Y136" i="42"/>
  <c r="X136" i="42"/>
  <c r="W136" i="42"/>
  <c r="V136" i="42"/>
  <c r="AO135" i="42"/>
  <c r="AN135" i="42"/>
  <c r="AM135" i="42"/>
  <c r="AL135" i="42"/>
  <c r="AK135" i="42"/>
  <c r="AJ135" i="42"/>
  <c r="AI135" i="42"/>
  <c r="AH135" i="42"/>
  <c r="AG135" i="42"/>
  <c r="AF135" i="42"/>
  <c r="AE135" i="42"/>
  <c r="AD135" i="42"/>
  <c r="AC135" i="42"/>
  <c r="AB135" i="42"/>
  <c r="AA135" i="42"/>
  <c r="Z135" i="42"/>
  <c r="Y135" i="42"/>
  <c r="X135" i="42"/>
  <c r="W135" i="42"/>
  <c r="V135" i="42"/>
  <c r="AO134" i="42"/>
  <c r="AN134" i="42"/>
  <c r="AM134" i="42"/>
  <c r="AL134" i="42"/>
  <c r="AK134" i="42"/>
  <c r="AJ134" i="42"/>
  <c r="AI134" i="42"/>
  <c r="AH134" i="42"/>
  <c r="AG134" i="42"/>
  <c r="AF134" i="42"/>
  <c r="AE134" i="42"/>
  <c r="AD134" i="42"/>
  <c r="AC134" i="42"/>
  <c r="AB134" i="42"/>
  <c r="AA134" i="42"/>
  <c r="Z134" i="42"/>
  <c r="Y134" i="42"/>
  <c r="X134" i="42"/>
  <c r="W134" i="42"/>
  <c r="V134" i="42"/>
  <c r="AO133" i="42"/>
  <c r="AN133" i="42"/>
  <c r="AM133" i="42"/>
  <c r="AL133" i="42"/>
  <c r="AK133" i="42"/>
  <c r="AJ133" i="42"/>
  <c r="AI133" i="42"/>
  <c r="AH133" i="42"/>
  <c r="AG133" i="42"/>
  <c r="AF133" i="42"/>
  <c r="AE133" i="42"/>
  <c r="AD133" i="42"/>
  <c r="AC133" i="42"/>
  <c r="AB133" i="42"/>
  <c r="AA133" i="42"/>
  <c r="Z133" i="42"/>
  <c r="Y133" i="42"/>
  <c r="X133" i="42"/>
  <c r="W133" i="42"/>
  <c r="V133" i="42"/>
  <c r="AO132" i="42"/>
  <c r="AN132" i="42"/>
  <c r="AM132" i="42"/>
  <c r="AL132" i="42"/>
  <c r="AK132" i="42"/>
  <c r="AJ132" i="42"/>
  <c r="AI132" i="42"/>
  <c r="AH132" i="42"/>
  <c r="AG132" i="42"/>
  <c r="AF132" i="42"/>
  <c r="AE132" i="42"/>
  <c r="AD132" i="42"/>
  <c r="AC132" i="42"/>
  <c r="AB132" i="42"/>
  <c r="AA132" i="42"/>
  <c r="Z132" i="42"/>
  <c r="Y132" i="42"/>
  <c r="X132" i="42"/>
  <c r="W132" i="42"/>
  <c r="V132" i="42"/>
  <c r="AO131" i="42"/>
  <c r="AN131" i="42"/>
  <c r="AM131" i="42"/>
  <c r="AL131" i="42"/>
  <c r="AK131" i="42"/>
  <c r="AJ131" i="42"/>
  <c r="AI131" i="42"/>
  <c r="AH131" i="42"/>
  <c r="AG131" i="42"/>
  <c r="AF131" i="42"/>
  <c r="AE131" i="42"/>
  <c r="AD131" i="42"/>
  <c r="AC131" i="42"/>
  <c r="AB131" i="42"/>
  <c r="AA131" i="42"/>
  <c r="Z131" i="42"/>
  <c r="Y131" i="42"/>
  <c r="X131" i="42"/>
  <c r="W131" i="42"/>
  <c r="V131" i="42"/>
  <c r="AO130" i="42"/>
  <c r="AN130" i="42"/>
  <c r="AM130" i="42"/>
  <c r="AL130" i="42"/>
  <c r="AK130" i="42"/>
  <c r="AJ130" i="42"/>
  <c r="AI130" i="42"/>
  <c r="AH130" i="42"/>
  <c r="AG130" i="42"/>
  <c r="AF130" i="42"/>
  <c r="AE130" i="42"/>
  <c r="AD130" i="42"/>
  <c r="AC130" i="42"/>
  <c r="AB130" i="42"/>
  <c r="AA130" i="42"/>
  <c r="Z130" i="42"/>
  <c r="Y130" i="42"/>
  <c r="X130" i="42"/>
  <c r="W130" i="42"/>
  <c r="V130" i="42"/>
  <c r="AO129" i="42"/>
  <c r="AN129" i="42"/>
  <c r="AM129" i="42"/>
  <c r="AL129" i="42"/>
  <c r="AK129" i="42"/>
  <c r="AJ129" i="42"/>
  <c r="AI129" i="42"/>
  <c r="AH129" i="42"/>
  <c r="AG129" i="42"/>
  <c r="AF129" i="42"/>
  <c r="AE129" i="42"/>
  <c r="AD129" i="42"/>
  <c r="AC129" i="42"/>
  <c r="AB129" i="42"/>
  <c r="AA129" i="42"/>
  <c r="Z129" i="42"/>
  <c r="Y129" i="42"/>
  <c r="X129" i="42"/>
  <c r="W129" i="42"/>
  <c r="V129" i="42"/>
  <c r="AO128" i="42"/>
  <c r="AN128" i="42"/>
  <c r="AM128" i="42"/>
  <c r="AL128" i="42"/>
  <c r="AK128" i="42"/>
  <c r="AJ128" i="42"/>
  <c r="AI128" i="42"/>
  <c r="AH128" i="42"/>
  <c r="AG128" i="42"/>
  <c r="AF128" i="42"/>
  <c r="AE128" i="42"/>
  <c r="AD128" i="42"/>
  <c r="AC128" i="42"/>
  <c r="AB128" i="42"/>
  <c r="AA128" i="42"/>
  <c r="Z128" i="42"/>
  <c r="Y128" i="42"/>
  <c r="X128" i="42"/>
  <c r="W128" i="42"/>
  <c r="V128" i="42"/>
  <c r="AO127" i="42"/>
  <c r="AN127" i="42"/>
  <c r="AM127" i="42"/>
  <c r="AL127" i="42"/>
  <c r="AK127" i="42"/>
  <c r="AJ127" i="42"/>
  <c r="AI127" i="42"/>
  <c r="AH127" i="42"/>
  <c r="AG127" i="42"/>
  <c r="AF127" i="42"/>
  <c r="AE127" i="42"/>
  <c r="AD127" i="42"/>
  <c r="AC127" i="42"/>
  <c r="AB127" i="42"/>
  <c r="AA127" i="42"/>
  <c r="Z127" i="42"/>
  <c r="Y127" i="42"/>
  <c r="X127" i="42"/>
  <c r="W127" i="42"/>
  <c r="V127" i="42"/>
  <c r="AO126" i="42"/>
  <c r="AN126" i="42"/>
  <c r="AM126" i="42"/>
  <c r="AL126" i="42"/>
  <c r="AK126" i="42"/>
  <c r="AJ126" i="42"/>
  <c r="AI126" i="42"/>
  <c r="AH126" i="42"/>
  <c r="AG126" i="42"/>
  <c r="AF126" i="42"/>
  <c r="AE126" i="42"/>
  <c r="AD126" i="42"/>
  <c r="AC126" i="42"/>
  <c r="AB126" i="42"/>
  <c r="AA126" i="42"/>
  <c r="Z126" i="42"/>
  <c r="Y126" i="42"/>
  <c r="X126" i="42"/>
  <c r="W126" i="42"/>
  <c r="V126" i="42"/>
  <c r="AO125" i="42"/>
  <c r="AN125" i="42"/>
  <c r="AM125" i="42"/>
  <c r="AL125" i="42"/>
  <c r="AK125" i="42"/>
  <c r="AJ125" i="42"/>
  <c r="AI125" i="42"/>
  <c r="AH125" i="42"/>
  <c r="AG125" i="42"/>
  <c r="AF125" i="42"/>
  <c r="AE125" i="42"/>
  <c r="AD125" i="42"/>
  <c r="AC125" i="42"/>
  <c r="AB125" i="42"/>
  <c r="AA125" i="42"/>
  <c r="Z125" i="42"/>
  <c r="Y125" i="42"/>
  <c r="X125" i="42"/>
  <c r="W125" i="42"/>
  <c r="V125" i="42"/>
  <c r="AO124" i="42"/>
  <c r="AN124" i="42"/>
  <c r="AM124" i="42"/>
  <c r="AL124" i="42"/>
  <c r="AK124" i="42"/>
  <c r="AJ124" i="42"/>
  <c r="AI124" i="42"/>
  <c r="AH124" i="42"/>
  <c r="AG124" i="42"/>
  <c r="AF124" i="42"/>
  <c r="AE124" i="42"/>
  <c r="AD124" i="42"/>
  <c r="AC124" i="42"/>
  <c r="AB124" i="42"/>
  <c r="AA124" i="42"/>
  <c r="Z124" i="42"/>
  <c r="Y124" i="42"/>
  <c r="X124" i="42"/>
  <c r="W124" i="42"/>
  <c r="V124" i="42"/>
  <c r="AO123" i="42"/>
  <c r="AN123" i="42"/>
  <c r="AM123" i="42"/>
  <c r="AL123" i="42"/>
  <c r="AK123" i="42"/>
  <c r="AJ123" i="42"/>
  <c r="AI123" i="42"/>
  <c r="AH123" i="42"/>
  <c r="AG123" i="42"/>
  <c r="AF123" i="42"/>
  <c r="AE123" i="42"/>
  <c r="AD123" i="42"/>
  <c r="AC123" i="42"/>
  <c r="AB123" i="42"/>
  <c r="AA123" i="42"/>
  <c r="Z123" i="42"/>
  <c r="Y123" i="42"/>
  <c r="X123" i="42"/>
  <c r="W123" i="42"/>
  <c r="V123" i="42"/>
  <c r="AO122" i="42"/>
  <c r="AN122" i="42"/>
  <c r="AM122" i="42"/>
  <c r="AL122" i="42"/>
  <c r="AK122" i="42"/>
  <c r="AJ122" i="42"/>
  <c r="AI122" i="42"/>
  <c r="AH122" i="42"/>
  <c r="AG122" i="42"/>
  <c r="AF122" i="42"/>
  <c r="AE122" i="42"/>
  <c r="AD122" i="42"/>
  <c r="AC122" i="42"/>
  <c r="AB122" i="42"/>
  <c r="AA122" i="42"/>
  <c r="Z122" i="42"/>
  <c r="Y122" i="42"/>
  <c r="X122" i="42"/>
  <c r="W122" i="42"/>
  <c r="V122" i="42"/>
  <c r="AO121" i="42"/>
  <c r="AN121" i="42"/>
  <c r="AM121" i="42"/>
  <c r="AL121" i="42"/>
  <c r="AK121" i="42"/>
  <c r="AJ121" i="42"/>
  <c r="AI121" i="42"/>
  <c r="AH121" i="42"/>
  <c r="AG121" i="42"/>
  <c r="AF121" i="42"/>
  <c r="AE121" i="42"/>
  <c r="AD121" i="42"/>
  <c r="AC121" i="42"/>
  <c r="AB121" i="42"/>
  <c r="AA121" i="42"/>
  <c r="Z121" i="42"/>
  <c r="Y121" i="42"/>
  <c r="X121" i="42"/>
  <c r="W121" i="42"/>
  <c r="V121" i="42"/>
  <c r="AO120" i="42"/>
  <c r="AN120" i="42"/>
  <c r="AM120" i="42"/>
  <c r="AL120" i="42"/>
  <c r="AK120" i="42"/>
  <c r="AJ120" i="42"/>
  <c r="AI120" i="42"/>
  <c r="AH120" i="42"/>
  <c r="AG120" i="42"/>
  <c r="AF120" i="42"/>
  <c r="AE120" i="42"/>
  <c r="AD120" i="42"/>
  <c r="AC120" i="42"/>
  <c r="AB120" i="42"/>
  <c r="AA120" i="42"/>
  <c r="Z120" i="42"/>
  <c r="Y120" i="42"/>
  <c r="X120" i="42"/>
  <c r="W120" i="42"/>
  <c r="V120" i="42"/>
  <c r="AO119" i="42"/>
  <c r="AN119" i="42"/>
  <c r="AM119" i="42"/>
  <c r="AL119" i="42"/>
  <c r="AK119" i="42"/>
  <c r="AJ119" i="42"/>
  <c r="AI119" i="42"/>
  <c r="AH119" i="42"/>
  <c r="AG119" i="42"/>
  <c r="AF119" i="42"/>
  <c r="AE119" i="42"/>
  <c r="AD119" i="42"/>
  <c r="AC119" i="42"/>
  <c r="AB119" i="42"/>
  <c r="AA119" i="42"/>
  <c r="Z119" i="42"/>
  <c r="Y119" i="42"/>
  <c r="X119" i="42"/>
  <c r="W119" i="42"/>
  <c r="V119" i="42"/>
  <c r="AO118" i="42"/>
  <c r="AN118" i="42"/>
  <c r="AM118" i="42"/>
  <c r="AL118" i="42"/>
  <c r="AK118" i="42"/>
  <c r="AJ118" i="42"/>
  <c r="AI118" i="42"/>
  <c r="AH118" i="42"/>
  <c r="AG118" i="42"/>
  <c r="AF118" i="42"/>
  <c r="AE118" i="42"/>
  <c r="AD118" i="42"/>
  <c r="AC118" i="42"/>
  <c r="AB118" i="42"/>
  <c r="AA118" i="42"/>
  <c r="Z118" i="42"/>
  <c r="Y118" i="42"/>
  <c r="X118" i="42"/>
  <c r="W118" i="42"/>
  <c r="V118" i="42"/>
  <c r="AO117" i="42"/>
  <c r="AN117" i="42"/>
  <c r="AM117" i="42"/>
  <c r="AL117" i="42"/>
  <c r="AK117" i="42"/>
  <c r="AJ117" i="42"/>
  <c r="AI117" i="42"/>
  <c r="AH117" i="42"/>
  <c r="AG117" i="42"/>
  <c r="AF117" i="42"/>
  <c r="AE117" i="42"/>
  <c r="AD117" i="42"/>
  <c r="AC117" i="42"/>
  <c r="AB117" i="42"/>
  <c r="AA117" i="42"/>
  <c r="Z117" i="42"/>
  <c r="Y117" i="42"/>
  <c r="X117" i="42"/>
  <c r="W117" i="42"/>
  <c r="V117" i="42"/>
  <c r="AO116" i="42"/>
  <c r="AN116" i="42"/>
  <c r="AM116" i="42"/>
  <c r="AL116" i="42"/>
  <c r="AK116" i="42"/>
  <c r="AJ116" i="42"/>
  <c r="AI116" i="42"/>
  <c r="AH116" i="42"/>
  <c r="AG116" i="42"/>
  <c r="AF116" i="42"/>
  <c r="AE116" i="42"/>
  <c r="AD116" i="42"/>
  <c r="AC116" i="42"/>
  <c r="AB116" i="42"/>
  <c r="AA116" i="42"/>
  <c r="Z116" i="42"/>
  <c r="Y116" i="42"/>
  <c r="X116" i="42"/>
  <c r="W116" i="42"/>
  <c r="V116" i="42"/>
  <c r="AO115" i="42"/>
  <c r="AN115" i="42"/>
  <c r="AM115" i="42"/>
  <c r="AL115" i="42"/>
  <c r="AK115" i="42"/>
  <c r="AJ115" i="42"/>
  <c r="AI115" i="42"/>
  <c r="AH115" i="42"/>
  <c r="AG115" i="42"/>
  <c r="AF115" i="42"/>
  <c r="AE115" i="42"/>
  <c r="AD115" i="42"/>
  <c r="AC115" i="42"/>
  <c r="AB115" i="42"/>
  <c r="AA115" i="42"/>
  <c r="Z115" i="42"/>
  <c r="Y115" i="42"/>
  <c r="X115" i="42"/>
  <c r="W115" i="42"/>
  <c r="V115" i="42"/>
  <c r="AO114" i="42"/>
  <c r="AN114" i="42"/>
  <c r="AM114" i="42"/>
  <c r="AL114" i="42"/>
  <c r="AK114" i="42"/>
  <c r="AJ114" i="42"/>
  <c r="AI114" i="42"/>
  <c r="AH114" i="42"/>
  <c r="AG114" i="42"/>
  <c r="AF114" i="42"/>
  <c r="AE114" i="42"/>
  <c r="AD114" i="42"/>
  <c r="AC114" i="42"/>
  <c r="AB114" i="42"/>
  <c r="AA114" i="42"/>
  <c r="Z114" i="42"/>
  <c r="Y114" i="42"/>
  <c r="X114" i="42"/>
  <c r="W114" i="42"/>
  <c r="V114" i="42"/>
  <c r="AO113" i="42"/>
  <c r="AN113" i="42"/>
  <c r="AM113" i="42"/>
  <c r="AL113" i="42"/>
  <c r="AK113" i="42"/>
  <c r="AJ113" i="42"/>
  <c r="AI113" i="42"/>
  <c r="AH113" i="42"/>
  <c r="AG113" i="42"/>
  <c r="AF113" i="42"/>
  <c r="AE113" i="42"/>
  <c r="AD113" i="42"/>
  <c r="AC113" i="42"/>
  <c r="AB113" i="42"/>
  <c r="AA113" i="42"/>
  <c r="Z113" i="42"/>
  <c r="Y113" i="42"/>
  <c r="X113" i="42"/>
  <c r="W113" i="42"/>
  <c r="V113" i="42"/>
  <c r="AO112" i="42"/>
  <c r="AN112" i="42"/>
  <c r="AM112" i="42"/>
  <c r="AL112" i="42"/>
  <c r="AK112" i="42"/>
  <c r="AJ112" i="42"/>
  <c r="AI112" i="42"/>
  <c r="AH112" i="42"/>
  <c r="AG112" i="42"/>
  <c r="AF112" i="42"/>
  <c r="AE112" i="42"/>
  <c r="AD112" i="42"/>
  <c r="AC112" i="42"/>
  <c r="AB112" i="42"/>
  <c r="AA112" i="42"/>
  <c r="Z112" i="42"/>
  <c r="Y112" i="42"/>
  <c r="X112" i="42"/>
  <c r="W112" i="42"/>
  <c r="V112" i="42"/>
  <c r="AO111" i="42"/>
  <c r="AN111" i="42"/>
  <c r="AM111" i="42"/>
  <c r="AL111" i="42"/>
  <c r="AK111" i="42"/>
  <c r="AJ111" i="42"/>
  <c r="AI111" i="42"/>
  <c r="AH111" i="42"/>
  <c r="AG111" i="42"/>
  <c r="AF111" i="42"/>
  <c r="AE111" i="42"/>
  <c r="AD111" i="42"/>
  <c r="AC111" i="42"/>
  <c r="AB111" i="42"/>
  <c r="AA111" i="42"/>
  <c r="Z111" i="42"/>
  <c r="Y111" i="42"/>
  <c r="X111" i="42"/>
  <c r="W111" i="42"/>
  <c r="V111" i="42"/>
  <c r="AO110" i="42"/>
  <c r="AN110" i="42"/>
  <c r="AM110" i="42"/>
  <c r="AL110" i="42"/>
  <c r="AK110" i="42"/>
  <c r="AJ110" i="42"/>
  <c r="AI110" i="42"/>
  <c r="AH110" i="42"/>
  <c r="AG110" i="42"/>
  <c r="AF110" i="42"/>
  <c r="AE110" i="42"/>
  <c r="AD110" i="42"/>
  <c r="AC110" i="42"/>
  <c r="AB110" i="42"/>
  <c r="AA110" i="42"/>
  <c r="Z110" i="42"/>
  <c r="Y110" i="42"/>
  <c r="X110" i="42"/>
  <c r="W110" i="42"/>
  <c r="V110" i="42"/>
  <c r="AO109" i="42"/>
  <c r="AN109" i="42"/>
  <c r="AM109" i="42"/>
  <c r="AL109" i="42"/>
  <c r="AK109" i="42"/>
  <c r="AJ109" i="42"/>
  <c r="AI109" i="42"/>
  <c r="AH109" i="42"/>
  <c r="AG109" i="42"/>
  <c r="AF109" i="42"/>
  <c r="AE109" i="42"/>
  <c r="AD109" i="42"/>
  <c r="AC109" i="42"/>
  <c r="AB109" i="42"/>
  <c r="AA109" i="42"/>
  <c r="Z109" i="42"/>
  <c r="Y109" i="42"/>
  <c r="X109" i="42"/>
  <c r="W109" i="42"/>
  <c r="V109" i="42"/>
  <c r="AO108" i="42"/>
  <c r="AN108" i="42"/>
  <c r="AM108" i="42"/>
  <c r="AL108" i="42"/>
  <c r="AK108" i="42"/>
  <c r="AJ108" i="42"/>
  <c r="AI108" i="42"/>
  <c r="AH108" i="42"/>
  <c r="AG108" i="42"/>
  <c r="AF108" i="42"/>
  <c r="AE108" i="42"/>
  <c r="AD108" i="42"/>
  <c r="AC108" i="42"/>
  <c r="AB108" i="42"/>
  <c r="AA108" i="42"/>
  <c r="Z108" i="42"/>
  <c r="Y108" i="42"/>
  <c r="X108" i="42"/>
  <c r="W108" i="42"/>
  <c r="V108" i="42"/>
  <c r="AO107" i="42"/>
  <c r="AN107" i="42"/>
  <c r="AM107" i="42"/>
  <c r="AL107" i="42"/>
  <c r="AK107" i="42"/>
  <c r="AJ107" i="42"/>
  <c r="AI107" i="42"/>
  <c r="AH107" i="42"/>
  <c r="AG107" i="42"/>
  <c r="AF107" i="42"/>
  <c r="AE107" i="42"/>
  <c r="AD107" i="42"/>
  <c r="AC107" i="42"/>
  <c r="AB107" i="42"/>
  <c r="AA107" i="42"/>
  <c r="Z107" i="42"/>
  <c r="Y107" i="42"/>
  <c r="X107" i="42"/>
  <c r="W107" i="42"/>
  <c r="V107" i="42"/>
  <c r="AO106" i="42"/>
  <c r="AN106" i="42"/>
  <c r="AM106" i="42"/>
  <c r="AL106" i="42"/>
  <c r="AK106" i="42"/>
  <c r="AJ106" i="42"/>
  <c r="AI106" i="42"/>
  <c r="AH106" i="42"/>
  <c r="AG106" i="42"/>
  <c r="AF106" i="42"/>
  <c r="AE106" i="42"/>
  <c r="AD106" i="42"/>
  <c r="AC106" i="42"/>
  <c r="AB106" i="42"/>
  <c r="AA106" i="42"/>
  <c r="Z106" i="42"/>
  <c r="Y106" i="42"/>
  <c r="X106" i="42"/>
  <c r="W106" i="42"/>
  <c r="V106" i="42"/>
  <c r="AO105" i="42"/>
  <c r="AN105" i="42"/>
  <c r="AM105" i="42"/>
  <c r="AL105" i="42"/>
  <c r="AK105" i="42"/>
  <c r="AJ105" i="42"/>
  <c r="AI105" i="42"/>
  <c r="AH105" i="42"/>
  <c r="AG105" i="42"/>
  <c r="AF105" i="42"/>
  <c r="AE105" i="42"/>
  <c r="AD105" i="42"/>
  <c r="AC105" i="42"/>
  <c r="AB105" i="42"/>
  <c r="AA105" i="42"/>
  <c r="Z105" i="42"/>
  <c r="Y105" i="42"/>
  <c r="X105" i="42"/>
  <c r="W105" i="42"/>
  <c r="V105" i="42"/>
  <c r="AO104" i="42"/>
  <c r="AN104" i="42"/>
  <c r="AM104" i="42"/>
  <c r="AL104" i="42"/>
  <c r="AK104" i="42"/>
  <c r="AJ104" i="42"/>
  <c r="AI104" i="42"/>
  <c r="AH104" i="42"/>
  <c r="AG104" i="42"/>
  <c r="AF104" i="42"/>
  <c r="AE104" i="42"/>
  <c r="AD104" i="42"/>
  <c r="AC104" i="42"/>
  <c r="AB104" i="42"/>
  <c r="AA104" i="42"/>
  <c r="Z104" i="42"/>
  <c r="Y104" i="42"/>
  <c r="X104" i="42"/>
  <c r="W104" i="42"/>
  <c r="V104" i="42"/>
  <c r="AO103" i="42"/>
  <c r="AN103" i="42"/>
  <c r="AM103" i="42"/>
  <c r="AL103" i="42"/>
  <c r="AK103" i="42"/>
  <c r="AJ103" i="42"/>
  <c r="AI103" i="42"/>
  <c r="AH103" i="42"/>
  <c r="AG103" i="42"/>
  <c r="AF103" i="42"/>
  <c r="AE103" i="42"/>
  <c r="AD103" i="42"/>
  <c r="AC103" i="42"/>
  <c r="AB103" i="42"/>
  <c r="AA103" i="42"/>
  <c r="Z103" i="42"/>
  <c r="Y103" i="42"/>
  <c r="X103" i="42"/>
  <c r="W103" i="42"/>
  <c r="V103" i="42"/>
  <c r="AO102" i="42"/>
  <c r="AN102" i="42"/>
  <c r="AM102" i="42"/>
  <c r="AL102" i="42"/>
  <c r="AK102" i="42"/>
  <c r="AJ102" i="42"/>
  <c r="AI102" i="42"/>
  <c r="AH102" i="42"/>
  <c r="AG102" i="42"/>
  <c r="AF102" i="42"/>
  <c r="AE102" i="42"/>
  <c r="AD102" i="42"/>
  <c r="AC102" i="42"/>
  <c r="AB102" i="42"/>
  <c r="AA102" i="42"/>
  <c r="Z102" i="42"/>
  <c r="Y102" i="42"/>
  <c r="X102" i="42"/>
  <c r="W102" i="42"/>
  <c r="V102" i="42"/>
  <c r="AO101" i="42"/>
  <c r="AN101" i="42"/>
  <c r="AM101" i="42"/>
  <c r="AL101" i="42"/>
  <c r="AK101" i="42"/>
  <c r="AJ101" i="42"/>
  <c r="AI101" i="42"/>
  <c r="AH101" i="42"/>
  <c r="AG101" i="42"/>
  <c r="AF101" i="42"/>
  <c r="AE101" i="42"/>
  <c r="AD101" i="42"/>
  <c r="AC101" i="42"/>
  <c r="AB101" i="42"/>
  <c r="AA101" i="42"/>
  <c r="Z101" i="42"/>
  <c r="Y101" i="42"/>
  <c r="X101" i="42"/>
  <c r="W101" i="42"/>
  <c r="V101" i="42"/>
  <c r="AO100" i="42"/>
  <c r="AN100" i="42"/>
  <c r="AM100" i="42"/>
  <c r="AL100" i="42"/>
  <c r="AK100" i="42"/>
  <c r="AJ100" i="42"/>
  <c r="AI100" i="42"/>
  <c r="AH100" i="42"/>
  <c r="AG100" i="42"/>
  <c r="AF100" i="42"/>
  <c r="AE100" i="42"/>
  <c r="AD100" i="42"/>
  <c r="AC100" i="42"/>
  <c r="AB100" i="42"/>
  <c r="AA100" i="42"/>
  <c r="Z100" i="42"/>
  <c r="Y100" i="42"/>
  <c r="X100" i="42"/>
  <c r="W100" i="42"/>
  <c r="V100" i="42"/>
  <c r="AV95" i="42"/>
  <c r="AD95" i="42"/>
  <c r="AA95" i="42"/>
  <c r="Z95" i="42"/>
  <c r="Y95" i="42"/>
  <c r="AV94" i="42"/>
  <c r="AC94" i="42"/>
  <c r="AA94" i="42"/>
  <c r="Z94" i="42"/>
  <c r="X94" i="42"/>
  <c r="W94" i="42"/>
  <c r="AV93" i="42"/>
  <c r="AC93" i="42"/>
  <c r="AB93" i="42"/>
  <c r="Y93" i="42"/>
  <c r="W93" i="42"/>
  <c r="V93" i="42"/>
  <c r="AV92" i="42"/>
  <c r="AD92" i="42"/>
  <c r="AA92" i="42"/>
  <c r="Y92" i="42"/>
  <c r="X92" i="42"/>
  <c r="AV91" i="42"/>
  <c r="AC91" i="42"/>
  <c r="AA91" i="42"/>
  <c r="Z91" i="42"/>
  <c r="X91" i="42"/>
  <c r="W91" i="42"/>
  <c r="AV90" i="42"/>
  <c r="AC90" i="42"/>
  <c r="AB90" i="42"/>
  <c r="Y90" i="42"/>
  <c r="W90" i="42"/>
  <c r="V90" i="42"/>
  <c r="AV89" i="42"/>
  <c r="AD89" i="42"/>
  <c r="AA89" i="42"/>
  <c r="Y89" i="42"/>
  <c r="AV88" i="42"/>
  <c r="AC88" i="42"/>
  <c r="AB88" i="42"/>
  <c r="AA88" i="42"/>
  <c r="Z88" i="42"/>
  <c r="X88" i="42"/>
  <c r="W88" i="42"/>
  <c r="AV87" i="42"/>
  <c r="AC87" i="42"/>
  <c r="AB87" i="42"/>
  <c r="AE87" i="42" s="1"/>
  <c r="Y87" i="42"/>
  <c r="W87" i="42"/>
  <c r="V87" i="42"/>
  <c r="AV86" i="42"/>
  <c r="AV85" i="42"/>
  <c r="AV84" i="42"/>
  <c r="AV83" i="42"/>
  <c r="AV82" i="42"/>
  <c r="Z82" i="42"/>
  <c r="Y82" i="42"/>
  <c r="X82" i="42"/>
  <c r="W82" i="42"/>
  <c r="V82" i="42"/>
  <c r="AV81" i="42"/>
  <c r="Z81" i="42"/>
  <c r="Y81" i="42"/>
  <c r="X81" i="42"/>
  <c r="W81" i="42"/>
  <c r="V81" i="42"/>
  <c r="AV80" i="42"/>
  <c r="Z80" i="42"/>
  <c r="Y80" i="42"/>
  <c r="X80" i="42"/>
  <c r="W80" i="42"/>
  <c r="V80" i="42"/>
  <c r="AV79" i="42"/>
  <c r="Z79" i="42"/>
  <c r="Y79" i="42"/>
  <c r="X79" i="42"/>
  <c r="W79" i="42"/>
  <c r="V79" i="42"/>
  <c r="AV78" i="42"/>
  <c r="Z78" i="42"/>
  <c r="Y78" i="42"/>
  <c r="X78" i="42"/>
  <c r="W78" i="42"/>
  <c r="V78" i="42"/>
  <c r="AV77" i="42"/>
  <c r="Z77" i="42"/>
  <c r="Y77" i="42"/>
  <c r="X77" i="42"/>
  <c r="W77" i="42"/>
  <c r="V77" i="42"/>
  <c r="AV76" i="42"/>
  <c r="Z76" i="42"/>
  <c r="Y76" i="42"/>
  <c r="X76" i="42"/>
  <c r="W76" i="42"/>
  <c r="V76" i="42"/>
  <c r="AV75" i="42"/>
  <c r="Z75" i="42"/>
  <c r="Y75" i="42"/>
  <c r="X75" i="42"/>
  <c r="W75" i="42"/>
  <c r="V75" i="42"/>
  <c r="AV74" i="42"/>
  <c r="Z74" i="42"/>
  <c r="Y74" i="42"/>
  <c r="X74" i="42"/>
  <c r="W74" i="42"/>
  <c r="V74" i="42"/>
  <c r="AV73" i="42"/>
  <c r="Z73" i="42"/>
  <c r="Y73" i="42"/>
  <c r="X73" i="42"/>
  <c r="W73" i="42"/>
  <c r="V73" i="42"/>
  <c r="AV72" i="42"/>
  <c r="AV71" i="42"/>
  <c r="AV70" i="42"/>
  <c r="AV69" i="42"/>
  <c r="AV68" i="42"/>
  <c r="AA68" i="42"/>
  <c r="Z68" i="42"/>
  <c r="Y68" i="42"/>
  <c r="X68" i="42"/>
  <c r="W68" i="42"/>
  <c r="V68" i="42"/>
  <c r="AV67" i="42"/>
  <c r="AA67" i="42"/>
  <c r="Z67" i="42"/>
  <c r="Y67" i="42"/>
  <c r="X67" i="42"/>
  <c r="W67" i="42"/>
  <c r="V67" i="42"/>
  <c r="AV66" i="42"/>
  <c r="AA66" i="42"/>
  <c r="Z66" i="42"/>
  <c r="Y66" i="42"/>
  <c r="X66" i="42"/>
  <c r="W66" i="42"/>
  <c r="V66" i="42"/>
  <c r="AV65" i="42"/>
  <c r="AA65" i="42"/>
  <c r="Z65" i="42"/>
  <c r="Y65" i="42"/>
  <c r="X65" i="42"/>
  <c r="W65" i="42"/>
  <c r="V65" i="42"/>
  <c r="AV64" i="42"/>
  <c r="AA64" i="42"/>
  <c r="Z64" i="42"/>
  <c r="Y64" i="42"/>
  <c r="X64" i="42"/>
  <c r="W64" i="42"/>
  <c r="V64" i="42"/>
  <c r="AV63" i="42"/>
  <c r="AA63" i="42"/>
  <c r="Z63" i="42"/>
  <c r="Y63" i="42"/>
  <c r="X63" i="42"/>
  <c r="W63" i="42"/>
  <c r="V63" i="42"/>
  <c r="AV62" i="42"/>
  <c r="AA62" i="42"/>
  <c r="Z62" i="42"/>
  <c r="Y62" i="42"/>
  <c r="X62" i="42"/>
  <c r="W62" i="42"/>
  <c r="V62" i="42"/>
  <c r="AV61" i="42"/>
  <c r="AA61" i="42"/>
  <c r="Z61" i="42"/>
  <c r="Y61" i="42"/>
  <c r="X61" i="42"/>
  <c r="W61" i="42"/>
  <c r="V61" i="42"/>
  <c r="AV60" i="42"/>
  <c r="AA60" i="42"/>
  <c r="Z60" i="42"/>
  <c r="Y60" i="42"/>
  <c r="X60" i="42"/>
  <c r="W60" i="42"/>
  <c r="V60" i="42"/>
  <c r="AV59" i="42"/>
  <c r="AA59" i="42"/>
  <c r="Z59" i="42"/>
  <c r="Y59" i="42"/>
  <c r="X59" i="42"/>
  <c r="W59" i="42"/>
  <c r="V59" i="42"/>
  <c r="AV58" i="42"/>
  <c r="AQ58" i="42"/>
  <c r="AA58" i="42"/>
  <c r="Z58" i="42"/>
  <c r="Y58" i="42"/>
  <c r="X58" i="42"/>
  <c r="W58" i="42"/>
  <c r="V58" i="42"/>
  <c r="AV57" i="42"/>
  <c r="AA57" i="42"/>
  <c r="Z57" i="42"/>
  <c r="Y57" i="42"/>
  <c r="X57" i="42"/>
  <c r="W57" i="42"/>
  <c r="V57" i="42"/>
  <c r="AV56" i="42"/>
  <c r="AA56" i="42"/>
  <c r="Z56" i="42"/>
  <c r="Y56" i="42"/>
  <c r="X56" i="42"/>
  <c r="W56" i="42"/>
  <c r="V56" i="42"/>
  <c r="V50" i="42" s="1"/>
  <c r="AV55" i="42"/>
  <c r="AV54" i="42"/>
  <c r="AV53" i="42"/>
  <c r="AV52" i="42"/>
  <c r="AV51" i="42"/>
  <c r="AP44" i="42"/>
  <c r="B59" i="42" s="1"/>
  <c r="AP43" i="42"/>
  <c r="B58" i="42" s="1"/>
  <c r="AP42" i="42"/>
  <c r="B57" i="42" s="1"/>
  <c r="AP41" i="42"/>
  <c r="B56" i="42" s="1"/>
  <c r="AP40" i="42"/>
  <c r="B55" i="42" s="1"/>
  <c r="B40" i="42"/>
  <c r="P35" i="42"/>
  <c r="E18" i="42" s="1"/>
  <c r="V26" i="42" s="1"/>
  <c r="B35" i="42"/>
  <c r="J34" i="42"/>
  <c r="E35" i="42" s="1"/>
  <c r="AL30" i="42"/>
  <c r="AL29" i="42"/>
  <c r="AG29" i="42"/>
  <c r="B29" i="42"/>
  <c r="AQ27" i="42" s="1"/>
  <c r="AL28" i="42"/>
  <c r="AG28" i="42"/>
  <c r="AL27" i="42"/>
  <c r="AG27" i="42"/>
  <c r="B27" i="42"/>
  <c r="P25" i="42"/>
  <c r="P24" i="42" s="1"/>
  <c r="G24" i="42"/>
  <c r="E24" i="42"/>
  <c r="C24" i="42"/>
  <c r="I23" i="42"/>
  <c r="G23" i="42"/>
  <c r="E23" i="42"/>
  <c r="C23" i="42"/>
  <c r="I22" i="42"/>
  <c r="G22" i="42"/>
  <c r="E22" i="42"/>
  <c r="C22" i="42"/>
  <c r="I21" i="42"/>
  <c r="G21" i="42"/>
  <c r="E21" i="42"/>
  <c r="C21" i="42"/>
  <c r="AQ20" i="42"/>
  <c r="AI20" i="42"/>
  <c r="I20" i="42"/>
  <c r="AQ19" i="42"/>
  <c r="AI19" i="42"/>
  <c r="AQ18" i="42"/>
  <c r="B47" i="42" s="1"/>
  <c r="AQ34" i="42" s="1"/>
  <c r="AI18" i="42"/>
  <c r="I18" i="42"/>
  <c r="AI17" i="42"/>
  <c r="AI16" i="42"/>
  <c r="AI15" i="42"/>
  <c r="AJ15" i="42" s="1"/>
  <c r="AK15" i="42" s="1"/>
  <c r="AU26" i="42" s="1"/>
  <c r="AQ14" i="42"/>
  <c r="AI14" i="42"/>
  <c r="I14" i="42"/>
  <c r="AQ13" i="42"/>
  <c r="AI13" i="42"/>
  <c r="AQ12" i="42"/>
  <c r="AI12" i="42"/>
  <c r="AI11" i="42"/>
  <c r="AI10" i="42"/>
  <c r="AI9" i="42"/>
  <c r="AJ9" i="42" s="1"/>
  <c r="AQ8" i="42"/>
  <c r="AQ7" i="42"/>
  <c r="Y7" i="42"/>
  <c r="AQ6" i="42"/>
  <c r="AO179" i="41"/>
  <c r="AN179" i="41"/>
  <c r="AM179" i="41"/>
  <c r="AL179" i="41"/>
  <c r="AK179" i="41"/>
  <c r="AJ179" i="41"/>
  <c r="AI179" i="41"/>
  <c r="AH179" i="41"/>
  <c r="AG179" i="41"/>
  <c r="AF179" i="41"/>
  <c r="AE179" i="41"/>
  <c r="AD179" i="41"/>
  <c r="AC179" i="41"/>
  <c r="AB179" i="41"/>
  <c r="AA179" i="41"/>
  <c r="Z179" i="41"/>
  <c r="Y179" i="41"/>
  <c r="X179" i="41"/>
  <c r="W179" i="41"/>
  <c r="V179" i="41"/>
  <c r="AO178" i="41"/>
  <c r="AN178" i="41"/>
  <c r="AM178" i="41"/>
  <c r="AL178" i="41"/>
  <c r="AK178" i="41"/>
  <c r="AJ178" i="41"/>
  <c r="AI178" i="41"/>
  <c r="AH178" i="41"/>
  <c r="AG178" i="41"/>
  <c r="AF178" i="41"/>
  <c r="AE178" i="41"/>
  <c r="AD178" i="41"/>
  <c r="AC178" i="41"/>
  <c r="AB178" i="41"/>
  <c r="AA178" i="41"/>
  <c r="Z178" i="41"/>
  <c r="Y178" i="41"/>
  <c r="X178" i="41"/>
  <c r="W178" i="41"/>
  <c r="V178" i="41"/>
  <c r="AO177" i="41"/>
  <c r="AN177" i="41"/>
  <c r="AM177" i="41"/>
  <c r="AL177" i="41"/>
  <c r="AK177" i="41"/>
  <c r="AJ177" i="41"/>
  <c r="AI177" i="41"/>
  <c r="AH177" i="41"/>
  <c r="AG177" i="41"/>
  <c r="AF177" i="41"/>
  <c r="AE177" i="41"/>
  <c r="AD177" i="41"/>
  <c r="AC177" i="41"/>
  <c r="AB177" i="41"/>
  <c r="AA177" i="41"/>
  <c r="Z177" i="41"/>
  <c r="Y177" i="41"/>
  <c r="X177" i="41"/>
  <c r="W177" i="41"/>
  <c r="V177" i="41"/>
  <c r="AO176" i="41"/>
  <c r="AN176" i="41"/>
  <c r="AM176" i="41"/>
  <c r="AL176" i="41"/>
  <c r="AK176" i="41"/>
  <c r="AJ176" i="41"/>
  <c r="AI176" i="41"/>
  <c r="AH176" i="41"/>
  <c r="AG176" i="41"/>
  <c r="AF176" i="41"/>
  <c r="AE176" i="41"/>
  <c r="AD176" i="41"/>
  <c r="AC176" i="41"/>
  <c r="AB176" i="41"/>
  <c r="AA176" i="41"/>
  <c r="Z176" i="41"/>
  <c r="Y176" i="41"/>
  <c r="X176" i="41"/>
  <c r="W176" i="41"/>
  <c r="V176" i="41"/>
  <c r="AO175" i="41"/>
  <c r="AN175" i="41"/>
  <c r="AM175" i="41"/>
  <c r="AL175" i="41"/>
  <c r="AK175" i="41"/>
  <c r="AJ175" i="41"/>
  <c r="AI175" i="41"/>
  <c r="AH175" i="41"/>
  <c r="AG175" i="41"/>
  <c r="AF175" i="41"/>
  <c r="AE175" i="41"/>
  <c r="AD175" i="41"/>
  <c r="AC175" i="41"/>
  <c r="AB175" i="41"/>
  <c r="AA175" i="41"/>
  <c r="Z175" i="41"/>
  <c r="Y175" i="41"/>
  <c r="X175" i="41"/>
  <c r="W175" i="41"/>
  <c r="V175" i="41"/>
  <c r="AO174" i="41"/>
  <c r="AN174" i="41"/>
  <c r="AM174" i="41"/>
  <c r="AL174" i="41"/>
  <c r="AK174" i="41"/>
  <c r="AJ174" i="41"/>
  <c r="AI174" i="41"/>
  <c r="AH174" i="41"/>
  <c r="AG174" i="41"/>
  <c r="AF174" i="41"/>
  <c r="AE174" i="41"/>
  <c r="AD174" i="41"/>
  <c r="AC174" i="41"/>
  <c r="AB174" i="41"/>
  <c r="AA174" i="41"/>
  <c r="Z174" i="41"/>
  <c r="Y174" i="41"/>
  <c r="X174" i="41"/>
  <c r="W174" i="41"/>
  <c r="V174" i="41"/>
  <c r="AO173" i="41"/>
  <c r="AN173" i="41"/>
  <c r="AM173" i="41"/>
  <c r="AL173" i="41"/>
  <c r="AK173" i="41"/>
  <c r="AJ173" i="41"/>
  <c r="AI173" i="41"/>
  <c r="AH173" i="41"/>
  <c r="AG173" i="41"/>
  <c r="AF173" i="41"/>
  <c r="AE173" i="41"/>
  <c r="AD173" i="41"/>
  <c r="AC173" i="41"/>
  <c r="AB173" i="41"/>
  <c r="AA173" i="41"/>
  <c r="Z173" i="41"/>
  <c r="Y173" i="41"/>
  <c r="X173" i="41"/>
  <c r="W173" i="41"/>
  <c r="V173" i="41"/>
  <c r="AO172" i="41"/>
  <c r="AN172" i="41"/>
  <c r="AM172" i="41"/>
  <c r="AL172" i="41"/>
  <c r="AK172" i="41"/>
  <c r="AJ172" i="41"/>
  <c r="AI172" i="41"/>
  <c r="AH172" i="41"/>
  <c r="AG172" i="41"/>
  <c r="AF172" i="41"/>
  <c r="AE172" i="41"/>
  <c r="AD172" i="41"/>
  <c r="AC172" i="41"/>
  <c r="AB172" i="41"/>
  <c r="AA172" i="41"/>
  <c r="Z172" i="41"/>
  <c r="Y172" i="41"/>
  <c r="X172" i="41"/>
  <c r="W172" i="41"/>
  <c r="V172" i="41"/>
  <c r="AO171" i="41"/>
  <c r="AN171" i="41"/>
  <c r="AM171" i="41"/>
  <c r="AL171" i="41"/>
  <c r="AK171" i="41"/>
  <c r="AJ171" i="41"/>
  <c r="AI171" i="41"/>
  <c r="AH171" i="41"/>
  <c r="AG171" i="41"/>
  <c r="AF171" i="41"/>
  <c r="AE171" i="41"/>
  <c r="AD171" i="41"/>
  <c r="AC171" i="41"/>
  <c r="AB171" i="41"/>
  <c r="AA171" i="41"/>
  <c r="Z171" i="41"/>
  <c r="Y171" i="41"/>
  <c r="X171" i="41"/>
  <c r="W171" i="41"/>
  <c r="V171" i="41"/>
  <c r="AO170" i="41"/>
  <c r="AN170" i="41"/>
  <c r="AM170" i="41"/>
  <c r="AL170" i="41"/>
  <c r="AK170" i="41"/>
  <c r="AJ170" i="41"/>
  <c r="AI170" i="41"/>
  <c r="AH170" i="41"/>
  <c r="AG170" i="41"/>
  <c r="AF170" i="41"/>
  <c r="AE170" i="41"/>
  <c r="AD170" i="41"/>
  <c r="AC170" i="41"/>
  <c r="AB170" i="41"/>
  <c r="AA170" i="41"/>
  <c r="Z170" i="41"/>
  <c r="Y170" i="41"/>
  <c r="X170" i="41"/>
  <c r="W170" i="41"/>
  <c r="V170" i="41"/>
  <c r="AO169" i="41"/>
  <c r="AN169" i="41"/>
  <c r="AM169" i="41"/>
  <c r="AL169" i="41"/>
  <c r="AK169" i="41"/>
  <c r="AJ169" i="41"/>
  <c r="AI169" i="41"/>
  <c r="AH169" i="41"/>
  <c r="AG169" i="41"/>
  <c r="AF169" i="41"/>
  <c r="AE169" i="41"/>
  <c r="AD169" i="41"/>
  <c r="AC169" i="41"/>
  <c r="AB169" i="41"/>
  <c r="AA169" i="41"/>
  <c r="Z169" i="41"/>
  <c r="Y169" i="41"/>
  <c r="X169" i="41"/>
  <c r="W169" i="41"/>
  <c r="V169" i="41"/>
  <c r="AO168" i="41"/>
  <c r="AN168" i="41"/>
  <c r="AM168" i="41"/>
  <c r="AL168" i="41"/>
  <c r="AK168" i="41"/>
  <c r="AJ168" i="41"/>
  <c r="AI168" i="41"/>
  <c r="AH168" i="41"/>
  <c r="AG168" i="41"/>
  <c r="AF168" i="41"/>
  <c r="AE168" i="41"/>
  <c r="AD168" i="41"/>
  <c r="AD95" i="41" s="1"/>
  <c r="AC168" i="41"/>
  <c r="AC95" i="41" s="1"/>
  <c r="AB168" i="41"/>
  <c r="AB95" i="41" s="1"/>
  <c r="AA168" i="41"/>
  <c r="Z168" i="41"/>
  <c r="Y168" i="41"/>
  <c r="X168" i="41"/>
  <c r="W168" i="41"/>
  <c r="W95" i="41" s="1"/>
  <c r="V168" i="41"/>
  <c r="V95" i="41" s="1"/>
  <c r="AO167" i="41"/>
  <c r="AN167" i="41"/>
  <c r="AM167" i="41"/>
  <c r="AL167" i="41"/>
  <c r="AK167" i="41"/>
  <c r="AJ167" i="41"/>
  <c r="AI167" i="41"/>
  <c r="AH167" i="41"/>
  <c r="AG167" i="41"/>
  <c r="AF167" i="41"/>
  <c r="AE167" i="41"/>
  <c r="AD167" i="41"/>
  <c r="AD94" i="41" s="1"/>
  <c r="AC167" i="41"/>
  <c r="AB167" i="41"/>
  <c r="AA167" i="41"/>
  <c r="Z167" i="41"/>
  <c r="Z94" i="41" s="1"/>
  <c r="Y167" i="41"/>
  <c r="Y94" i="41" s="1"/>
  <c r="X167" i="41"/>
  <c r="W167" i="41"/>
  <c r="V167" i="41"/>
  <c r="AO166" i="41"/>
  <c r="AN166" i="41"/>
  <c r="AM166" i="41"/>
  <c r="AL166" i="41"/>
  <c r="X93" i="41" s="1"/>
  <c r="AK166" i="41"/>
  <c r="AJ166" i="41"/>
  <c r="AI166" i="41"/>
  <c r="AH166" i="41"/>
  <c r="AG166" i="41"/>
  <c r="AF166" i="41"/>
  <c r="AE166" i="41"/>
  <c r="AD166" i="41"/>
  <c r="AC166" i="41"/>
  <c r="AB166" i="41"/>
  <c r="AB93" i="41" s="1"/>
  <c r="AE93" i="41" s="1"/>
  <c r="AA166" i="41"/>
  <c r="AA93" i="41" s="1"/>
  <c r="Z166" i="41"/>
  <c r="Z93" i="41" s="1"/>
  <c r="Y166" i="41"/>
  <c r="X166" i="41"/>
  <c r="W166" i="41"/>
  <c r="V166" i="41"/>
  <c r="V93" i="41" s="1"/>
  <c r="AO165" i="41"/>
  <c r="AN165" i="41"/>
  <c r="AM165" i="41"/>
  <c r="AL165" i="41"/>
  <c r="AK165" i="41"/>
  <c r="AJ165" i="41"/>
  <c r="AI165" i="41"/>
  <c r="AH165" i="41"/>
  <c r="AG165" i="41"/>
  <c r="AF165" i="41"/>
  <c r="AE165" i="41"/>
  <c r="AD165" i="41"/>
  <c r="AC165" i="41"/>
  <c r="AC92" i="41" s="1"/>
  <c r="AB165" i="41"/>
  <c r="AB92" i="41" s="1"/>
  <c r="AA165" i="41"/>
  <c r="Z165" i="41"/>
  <c r="Y165" i="41"/>
  <c r="X165" i="41"/>
  <c r="W165" i="41"/>
  <c r="W92" i="41" s="1"/>
  <c r="V165" i="41"/>
  <c r="V92" i="41" s="1"/>
  <c r="AO164" i="41"/>
  <c r="AN164" i="41"/>
  <c r="AM164" i="41"/>
  <c r="AL164" i="41"/>
  <c r="X91" i="41" s="1"/>
  <c r="AK164" i="41"/>
  <c r="AJ164" i="41"/>
  <c r="AI164" i="41"/>
  <c r="AH164" i="41"/>
  <c r="AG164" i="41"/>
  <c r="AF164" i="41"/>
  <c r="AE164" i="41"/>
  <c r="AD164" i="41"/>
  <c r="AD91" i="41" s="1"/>
  <c r="AC164" i="41"/>
  <c r="AB164" i="41"/>
  <c r="AA164" i="41"/>
  <c r="Z164" i="41"/>
  <c r="Z91" i="41" s="1"/>
  <c r="Y164" i="41"/>
  <c r="Y91" i="41" s="1"/>
  <c r="X164" i="41"/>
  <c r="W164" i="41"/>
  <c r="V164" i="41"/>
  <c r="AO163" i="41"/>
  <c r="AN163" i="41"/>
  <c r="AM163" i="41"/>
  <c r="AL163" i="41"/>
  <c r="X90" i="41" s="1"/>
  <c r="AK163" i="41"/>
  <c r="AJ163" i="41"/>
  <c r="AI163" i="41"/>
  <c r="AH163" i="41"/>
  <c r="AG163" i="41"/>
  <c r="AF163" i="41"/>
  <c r="AE163" i="41"/>
  <c r="AD163" i="41"/>
  <c r="AC163" i="41"/>
  <c r="AB163" i="41"/>
  <c r="AB90" i="41" s="1"/>
  <c r="AE90" i="41" s="1"/>
  <c r="AA163" i="41"/>
  <c r="AA90" i="41" s="1"/>
  <c r="Z163" i="41"/>
  <c r="Z90" i="41" s="1"/>
  <c r="Y163" i="41"/>
  <c r="X163" i="41"/>
  <c r="W163" i="41"/>
  <c r="V163" i="41"/>
  <c r="V90" i="41" s="1"/>
  <c r="AO162" i="41"/>
  <c r="AN162" i="41"/>
  <c r="AM162" i="41"/>
  <c r="AL162" i="41"/>
  <c r="AK162" i="41"/>
  <c r="AJ162" i="41"/>
  <c r="AI162" i="41"/>
  <c r="AH162" i="41"/>
  <c r="AG162" i="41"/>
  <c r="AF162" i="41"/>
  <c r="AE162" i="41"/>
  <c r="AD162" i="41"/>
  <c r="AD89" i="41" s="1"/>
  <c r="AC162" i="41"/>
  <c r="AC89" i="41" s="1"/>
  <c r="AB162" i="41"/>
  <c r="AB89" i="41" s="1"/>
  <c r="AA162" i="41"/>
  <c r="Z162" i="41"/>
  <c r="Y162" i="41"/>
  <c r="X162" i="41"/>
  <c r="W162" i="41"/>
  <c r="W89" i="41" s="1"/>
  <c r="V162" i="41"/>
  <c r="V89" i="41" s="1"/>
  <c r="AO161" i="41"/>
  <c r="AN161" i="41"/>
  <c r="AM161" i="41"/>
  <c r="AL161" i="41"/>
  <c r="X88" i="41" s="1"/>
  <c r="AK161" i="41"/>
  <c r="AJ161" i="41"/>
  <c r="AI161" i="41"/>
  <c r="AH161" i="41"/>
  <c r="AG161" i="41"/>
  <c r="AF161" i="41"/>
  <c r="AE161" i="41"/>
  <c r="AD161" i="41"/>
  <c r="AD88" i="41" s="1"/>
  <c r="AC161" i="41"/>
  <c r="AB161" i="41"/>
  <c r="AA161" i="41"/>
  <c r="Z161" i="41"/>
  <c r="Y161" i="41"/>
  <c r="Y88" i="41" s="1"/>
  <c r="X161" i="41"/>
  <c r="W161" i="41"/>
  <c r="V161" i="41"/>
  <c r="AO160" i="41"/>
  <c r="AN160" i="41"/>
  <c r="AM160" i="41"/>
  <c r="AL160" i="41"/>
  <c r="X87" i="41" s="1"/>
  <c r="AK160" i="41"/>
  <c r="AJ160" i="41"/>
  <c r="AI160" i="41"/>
  <c r="AH160" i="41"/>
  <c r="AG160" i="41"/>
  <c r="AF160" i="41"/>
  <c r="AE160" i="41"/>
  <c r="AD160" i="41"/>
  <c r="AC160" i="41"/>
  <c r="AB160" i="41"/>
  <c r="AB87" i="41" s="1"/>
  <c r="AE87" i="41" s="1"/>
  <c r="AA160" i="41"/>
  <c r="AA87" i="41" s="1"/>
  <c r="Z160" i="41"/>
  <c r="Z87" i="41" s="1"/>
  <c r="Y160" i="41"/>
  <c r="X160" i="41"/>
  <c r="W160" i="41"/>
  <c r="V160" i="41"/>
  <c r="V87" i="41" s="1"/>
  <c r="AO159" i="41"/>
  <c r="AN159" i="41"/>
  <c r="AM159" i="41"/>
  <c r="AL159" i="41"/>
  <c r="AK159" i="41"/>
  <c r="AJ159" i="41"/>
  <c r="AI159" i="41"/>
  <c r="AH159" i="41"/>
  <c r="AG159" i="41"/>
  <c r="AF159" i="41"/>
  <c r="AE159" i="41"/>
  <c r="AD159" i="41"/>
  <c r="AC159" i="41"/>
  <c r="AB159" i="41"/>
  <c r="AA159" i="41"/>
  <c r="Z159" i="41"/>
  <c r="Y159" i="41"/>
  <c r="X159" i="41"/>
  <c r="W159" i="41"/>
  <c r="V159" i="41"/>
  <c r="AO158" i="41"/>
  <c r="AN158" i="41"/>
  <c r="AM158" i="41"/>
  <c r="AL158" i="41"/>
  <c r="AK158" i="41"/>
  <c r="AJ158" i="41"/>
  <c r="AI158" i="41"/>
  <c r="AH158" i="41"/>
  <c r="AG158" i="41"/>
  <c r="AF158" i="41"/>
  <c r="AE158" i="41"/>
  <c r="AD158" i="41"/>
  <c r="AC158" i="41"/>
  <c r="AB158" i="41"/>
  <c r="AA158" i="41"/>
  <c r="Z158" i="41"/>
  <c r="Y158" i="41"/>
  <c r="X158" i="41"/>
  <c r="W158" i="41"/>
  <c r="V158" i="41"/>
  <c r="AO157" i="41"/>
  <c r="AN157" i="41"/>
  <c r="AM157" i="41"/>
  <c r="AL157" i="41"/>
  <c r="AK157" i="41"/>
  <c r="AJ157" i="41"/>
  <c r="AI157" i="41"/>
  <c r="AH157" i="41"/>
  <c r="AG157" i="41"/>
  <c r="AF157" i="41"/>
  <c r="AE157" i="41"/>
  <c r="AD157" i="41"/>
  <c r="AC157" i="41"/>
  <c r="AB157" i="41"/>
  <c r="AA157" i="41"/>
  <c r="Z157" i="41"/>
  <c r="Y157" i="41"/>
  <c r="X157" i="41"/>
  <c r="W157" i="41"/>
  <c r="V157" i="41"/>
  <c r="AO156" i="41"/>
  <c r="AN156" i="41"/>
  <c r="AM156" i="41"/>
  <c r="AL156" i="41"/>
  <c r="AK156" i="41"/>
  <c r="AJ156" i="41"/>
  <c r="AI156" i="41"/>
  <c r="AH156" i="41"/>
  <c r="AG156" i="41"/>
  <c r="AF156" i="41"/>
  <c r="AE156" i="41"/>
  <c r="AD156" i="41"/>
  <c r="AC156" i="41"/>
  <c r="AB156" i="41"/>
  <c r="AA156" i="41"/>
  <c r="Z156" i="41"/>
  <c r="Y156" i="41"/>
  <c r="X156" i="41"/>
  <c r="W156" i="41"/>
  <c r="V156" i="41"/>
  <c r="AO155" i="41"/>
  <c r="AN155" i="41"/>
  <c r="AM155" i="41"/>
  <c r="AL155" i="41"/>
  <c r="AK155" i="41"/>
  <c r="AJ155" i="41"/>
  <c r="AI155" i="41"/>
  <c r="AH155" i="41"/>
  <c r="AG155" i="41"/>
  <c r="AF155" i="41"/>
  <c r="AE155" i="41"/>
  <c r="AD155" i="41"/>
  <c r="AC155" i="41"/>
  <c r="AB155" i="41"/>
  <c r="AA155" i="41"/>
  <c r="Z155" i="41"/>
  <c r="Y155" i="41"/>
  <c r="X155" i="41"/>
  <c r="W155" i="41"/>
  <c r="V155" i="41"/>
  <c r="AO154" i="41"/>
  <c r="AN154" i="41"/>
  <c r="AM154" i="41"/>
  <c r="AL154" i="41"/>
  <c r="AK154" i="41"/>
  <c r="AJ154" i="41"/>
  <c r="AI154" i="41"/>
  <c r="AH154" i="41"/>
  <c r="AG154" i="41"/>
  <c r="AF154" i="41"/>
  <c r="AE154" i="41"/>
  <c r="AD154" i="41"/>
  <c r="AC154" i="41"/>
  <c r="AB154" i="41"/>
  <c r="AA154" i="41"/>
  <c r="Z154" i="41"/>
  <c r="Y154" i="41"/>
  <c r="X154" i="41"/>
  <c r="W154" i="41"/>
  <c r="V154" i="41"/>
  <c r="AO153" i="41"/>
  <c r="AN153" i="41"/>
  <c r="AM153" i="41"/>
  <c r="AL153" i="41"/>
  <c r="AK153" i="41"/>
  <c r="AJ153" i="41"/>
  <c r="AI153" i="41"/>
  <c r="AH153" i="41"/>
  <c r="AG153" i="41"/>
  <c r="AF153" i="41"/>
  <c r="AE153" i="41"/>
  <c r="AD153" i="41"/>
  <c r="AC153" i="41"/>
  <c r="AB153" i="41"/>
  <c r="AA153" i="41"/>
  <c r="Z153" i="41"/>
  <c r="Y153" i="41"/>
  <c r="X153" i="41"/>
  <c r="W153" i="41"/>
  <c r="V153" i="41"/>
  <c r="AO152" i="41"/>
  <c r="AN152" i="41"/>
  <c r="AM152" i="41"/>
  <c r="AL152" i="41"/>
  <c r="AK152" i="41"/>
  <c r="AJ152" i="41"/>
  <c r="AI152" i="41"/>
  <c r="AH152" i="41"/>
  <c r="AG152" i="41"/>
  <c r="AF152" i="41"/>
  <c r="AE152" i="41"/>
  <c r="AD152" i="41"/>
  <c r="AC152" i="41"/>
  <c r="AB152" i="41"/>
  <c r="AA152" i="41"/>
  <c r="Z152" i="41"/>
  <c r="Y152" i="41"/>
  <c r="X152" i="41"/>
  <c r="W152" i="41"/>
  <c r="V152" i="41"/>
  <c r="AO151" i="41"/>
  <c r="AN151" i="41"/>
  <c r="AM151" i="41"/>
  <c r="AL151" i="41"/>
  <c r="AK151" i="41"/>
  <c r="AJ151" i="41"/>
  <c r="AI151" i="41"/>
  <c r="AH151" i="41"/>
  <c r="AG151" i="41"/>
  <c r="AF151" i="41"/>
  <c r="AE151" i="41"/>
  <c r="AD151" i="41"/>
  <c r="AC151" i="41"/>
  <c r="AB151" i="41"/>
  <c r="AA151" i="41"/>
  <c r="Z151" i="41"/>
  <c r="Y151" i="41"/>
  <c r="X151" i="41"/>
  <c r="W151" i="41"/>
  <c r="V151" i="41"/>
  <c r="AO150" i="41"/>
  <c r="AN150" i="41"/>
  <c r="AM150" i="41"/>
  <c r="AL150" i="41"/>
  <c r="AK150" i="41"/>
  <c r="AJ150" i="41"/>
  <c r="AI150" i="41"/>
  <c r="AH150" i="41"/>
  <c r="AG150" i="41"/>
  <c r="AF150" i="41"/>
  <c r="AE150" i="41"/>
  <c r="AD150" i="41"/>
  <c r="AC150" i="41"/>
  <c r="AB150" i="41"/>
  <c r="AA150" i="41"/>
  <c r="Z150" i="41"/>
  <c r="Y150" i="41"/>
  <c r="X150" i="41"/>
  <c r="W150" i="41"/>
  <c r="V150" i="41"/>
  <c r="AO149" i="41"/>
  <c r="AN149" i="41"/>
  <c r="AM149" i="41"/>
  <c r="AL149" i="41"/>
  <c r="AK149" i="41"/>
  <c r="AJ149" i="41"/>
  <c r="AI149" i="41"/>
  <c r="AH149" i="41"/>
  <c r="AG149" i="41"/>
  <c r="AF149" i="41"/>
  <c r="AE149" i="41"/>
  <c r="AD149" i="41"/>
  <c r="AC149" i="41"/>
  <c r="AB149" i="41"/>
  <c r="AA149" i="41"/>
  <c r="Z149" i="41"/>
  <c r="Y149" i="41"/>
  <c r="X149" i="41"/>
  <c r="W149" i="41"/>
  <c r="V149" i="41"/>
  <c r="AO148" i="41"/>
  <c r="AN148" i="41"/>
  <c r="AM148" i="41"/>
  <c r="AL148" i="41"/>
  <c r="AK148" i="41"/>
  <c r="AJ148" i="41"/>
  <c r="AI148" i="41"/>
  <c r="AH148" i="41"/>
  <c r="AG148" i="41"/>
  <c r="AF148" i="41"/>
  <c r="AE148" i="41"/>
  <c r="AD148" i="41"/>
  <c r="AC148" i="41"/>
  <c r="AB148" i="41"/>
  <c r="AA148" i="41"/>
  <c r="Z148" i="41"/>
  <c r="Y148" i="41"/>
  <c r="X148" i="41"/>
  <c r="W148" i="41"/>
  <c r="V148" i="41"/>
  <c r="AO147" i="41"/>
  <c r="AN147" i="41"/>
  <c r="AM147" i="41"/>
  <c r="AL147" i="41"/>
  <c r="AK147" i="41"/>
  <c r="AJ147" i="41"/>
  <c r="AI147" i="41"/>
  <c r="AH147" i="41"/>
  <c r="AG147" i="41"/>
  <c r="AF147" i="41"/>
  <c r="AE147" i="41"/>
  <c r="AD147" i="41"/>
  <c r="AC147" i="41"/>
  <c r="AB147" i="41"/>
  <c r="AA147" i="41"/>
  <c r="Z147" i="41"/>
  <c r="Y147" i="41"/>
  <c r="X147" i="41"/>
  <c r="W147" i="41"/>
  <c r="V147" i="41"/>
  <c r="AO146" i="41"/>
  <c r="AN146" i="41"/>
  <c r="AM146" i="41"/>
  <c r="AL146" i="41"/>
  <c r="AK146" i="41"/>
  <c r="AJ146" i="41"/>
  <c r="AI146" i="41"/>
  <c r="AH146" i="41"/>
  <c r="AG146" i="41"/>
  <c r="AF146" i="41"/>
  <c r="AE146" i="41"/>
  <c r="AD146" i="41"/>
  <c r="AC146" i="41"/>
  <c r="AB146" i="41"/>
  <c r="AA146" i="41"/>
  <c r="Z146" i="41"/>
  <c r="Y146" i="41"/>
  <c r="X146" i="41"/>
  <c r="W146" i="41"/>
  <c r="V146" i="41"/>
  <c r="AO145" i="41"/>
  <c r="AN145" i="41"/>
  <c r="AM145" i="41"/>
  <c r="AL145" i="41"/>
  <c r="AK145" i="41"/>
  <c r="AJ145" i="41"/>
  <c r="AI145" i="41"/>
  <c r="AH145" i="41"/>
  <c r="AG145" i="41"/>
  <c r="AF145" i="41"/>
  <c r="AE145" i="41"/>
  <c r="AD145" i="41"/>
  <c r="AC145" i="41"/>
  <c r="AB145" i="41"/>
  <c r="AA145" i="41"/>
  <c r="Z145" i="41"/>
  <c r="Y145" i="41"/>
  <c r="X145" i="41"/>
  <c r="W145" i="41"/>
  <c r="V145" i="41"/>
  <c r="AO144" i="41"/>
  <c r="AN144" i="41"/>
  <c r="AM144" i="41"/>
  <c r="AL144" i="41"/>
  <c r="AK144" i="41"/>
  <c r="AJ144" i="41"/>
  <c r="AI144" i="41"/>
  <c r="AH144" i="41"/>
  <c r="AG144" i="41"/>
  <c r="AF144" i="41"/>
  <c r="AE144" i="41"/>
  <c r="AD144" i="41"/>
  <c r="AC144" i="41"/>
  <c r="AB144" i="41"/>
  <c r="AA144" i="41"/>
  <c r="Z144" i="41"/>
  <c r="Y144" i="41"/>
  <c r="X144" i="41"/>
  <c r="W144" i="41"/>
  <c r="V144" i="41"/>
  <c r="AO143" i="41"/>
  <c r="AN143" i="41"/>
  <c r="AM143" i="41"/>
  <c r="AL143" i="41"/>
  <c r="AK143" i="41"/>
  <c r="AJ143" i="41"/>
  <c r="AI143" i="41"/>
  <c r="AH143" i="41"/>
  <c r="AG143" i="41"/>
  <c r="AF143" i="41"/>
  <c r="AE143" i="41"/>
  <c r="AD143" i="41"/>
  <c r="AC143" i="41"/>
  <c r="AB143" i="41"/>
  <c r="AA143" i="41"/>
  <c r="Z143" i="41"/>
  <c r="Y143" i="41"/>
  <c r="X143" i="41"/>
  <c r="W143" i="41"/>
  <c r="V143" i="41"/>
  <c r="AO142" i="41"/>
  <c r="AN142" i="41"/>
  <c r="AM142" i="41"/>
  <c r="AL142" i="41"/>
  <c r="AK142" i="41"/>
  <c r="AJ142" i="41"/>
  <c r="AI142" i="41"/>
  <c r="AH142" i="41"/>
  <c r="AG142" i="41"/>
  <c r="AF142" i="41"/>
  <c r="AE142" i="41"/>
  <c r="AD142" i="41"/>
  <c r="AC142" i="41"/>
  <c r="AB142" i="41"/>
  <c r="AA142" i="41"/>
  <c r="Z142" i="41"/>
  <c r="Y142" i="41"/>
  <c r="X142" i="41"/>
  <c r="W142" i="41"/>
  <c r="V142" i="41"/>
  <c r="AO141" i="41"/>
  <c r="AN141" i="41"/>
  <c r="AM141" i="41"/>
  <c r="AL141" i="41"/>
  <c r="AK141" i="41"/>
  <c r="AJ141" i="41"/>
  <c r="AI141" i="41"/>
  <c r="AH141" i="41"/>
  <c r="AG141" i="41"/>
  <c r="AF141" i="41"/>
  <c r="AE141" i="41"/>
  <c r="AD141" i="41"/>
  <c r="AC141" i="41"/>
  <c r="AB141" i="41"/>
  <c r="AA141" i="41"/>
  <c r="Z141" i="41"/>
  <c r="Y141" i="41"/>
  <c r="X141" i="41"/>
  <c r="W141" i="41"/>
  <c r="V141" i="41"/>
  <c r="AO140" i="41"/>
  <c r="AN140" i="41"/>
  <c r="AM140" i="41"/>
  <c r="AL140" i="41"/>
  <c r="AK140" i="41"/>
  <c r="AJ140" i="41"/>
  <c r="AI140" i="41"/>
  <c r="AH140" i="41"/>
  <c r="AG140" i="41"/>
  <c r="AF140" i="41"/>
  <c r="AE140" i="41"/>
  <c r="AD140" i="41"/>
  <c r="AC140" i="41"/>
  <c r="AB140" i="41"/>
  <c r="AA140" i="41"/>
  <c r="Z140" i="41"/>
  <c r="Y140" i="41"/>
  <c r="X140" i="41"/>
  <c r="W140" i="41"/>
  <c r="V140" i="41"/>
  <c r="AO139" i="41"/>
  <c r="AN139" i="41"/>
  <c r="AM139" i="41"/>
  <c r="AL139" i="41"/>
  <c r="AK139" i="41"/>
  <c r="AJ139" i="41"/>
  <c r="AI139" i="41"/>
  <c r="AH139" i="41"/>
  <c r="AG139" i="41"/>
  <c r="AF139" i="41"/>
  <c r="AE139" i="41"/>
  <c r="AD139" i="41"/>
  <c r="AC139" i="41"/>
  <c r="AB139" i="41"/>
  <c r="AA139" i="41"/>
  <c r="Z139" i="41"/>
  <c r="Y139" i="41"/>
  <c r="X139" i="41"/>
  <c r="W139" i="41"/>
  <c r="V139" i="41"/>
  <c r="AO138" i="41"/>
  <c r="AN138" i="41"/>
  <c r="AM138" i="41"/>
  <c r="AL138" i="41"/>
  <c r="AK138" i="41"/>
  <c r="AJ138" i="41"/>
  <c r="AI138" i="41"/>
  <c r="AH138" i="41"/>
  <c r="AG138" i="41"/>
  <c r="AF138" i="41"/>
  <c r="AE138" i="41"/>
  <c r="AD138" i="41"/>
  <c r="AC138" i="41"/>
  <c r="AB138" i="41"/>
  <c r="AA138" i="41"/>
  <c r="Z138" i="41"/>
  <c r="Y138" i="41"/>
  <c r="X138" i="41"/>
  <c r="W138" i="41"/>
  <c r="V138" i="41"/>
  <c r="AO137" i="41"/>
  <c r="AN137" i="41"/>
  <c r="AM137" i="41"/>
  <c r="AL137" i="41"/>
  <c r="AK137" i="41"/>
  <c r="AJ137" i="41"/>
  <c r="AI137" i="41"/>
  <c r="AH137" i="41"/>
  <c r="AG137" i="41"/>
  <c r="AF137" i="41"/>
  <c r="AE137" i="41"/>
  <c r="AD137" i="41"/>
  <c r="AC137" i="41"/>
  <c r="AB137" i="41"/>
  <c r="AA137" i="41"/>
  <c r="Z137" i="41"/>
  <c r="Y137" i="41"/>
  <c r="X137" i="41"/>
  <c r="W137" i="41"/>
  <c r="V137" i="41"/>
  <c r="AO136" i="41"/>
  <c r="AN136" i="41"/>
  <c r="AM136" i="41"/>
  <c r="AL136" i="41"/>
  <c r="AK136" i="41"/>
  <c r="AJ136" i="41"/>
  <c r="AI136" i="41"/>
  <c r="AH136" i="41"/>
  <c r="AG136" i="41"/>
  <c r="AF136" i="41"/>
  <c r="AE136" i="41"/>
  <c r="AD136" i="41"/>
  <c r="AC136" i="41"/>
  <c r="AB136" i="41"/>
  <c r="AA136" i="41"/>
  <c r="Z136" i="41"/>
  <c r="Y136" i="41"/>
  <c r="X136" i="41"/>
  <c r="W136" i="41"/>
  <c r="V136" i="41"/>
  <c r="AO135" i="41"/>
  <c r="AN135" i="41"/>
  <c r="AM135" i="41"/>
  <c r="AL135" i="41"/>
  <c r="AK135" i="41"/>
  <c r="AJ135" i="41"/>
  <c r="AI135" i="41"/>
  <c r="AH135" i="41"/>
  <c r="AG135" i="41"/>
  <c r="AF135" i="41"/>
  <c r="AE135" i="41"/>
  <c r="AD135" i="41"/>
  <c r="AC135" i="41"/>
  <c r="AB135" i="41"/>
  <c r="AA135" i="41"/>
  <c r="Z135" i="41"/>
  <c r="Y135" i="41"/>
  <c r="X135" i="41"/>
  <c r="W135" i="41"/>
  <c r="V135" i="41"/>
  <c r="AO134" i="41"/>
  <c r="AN134" i="41"/>
  <c r="AM134" i="41"/>
  <c r="AL134" i="41"/>
  <c r="AK134" i="41"/>
  <c r="AJ134" i="41"/>
  <c r="AI134" i="41"/>
  <c r="AH134" i="41"/>
  <c r="AG134" i="41"/>
  <c r="AF134" i="41"/>
  <c r="AE134" i="41"/>
  <c r="AD134" i="41"/>
  <c r="AC134" i="41"/>
  <c r="AB134" i="41"/>
  <c r="AA134" i="41"/>
  <c r="Z134" i="41"/>
  <c r="Y134" i="41"/>
  <c r="X134" i="41"/>
  <c r="W134" i="41"/>
  <c r="V134" i="41"/>
  <c r="AO133" i="41"/>
  <c r="AN133" i="41"/>
  <c r="AM133" i="41"/>
  <c r="AL133" i="41"/>
  <c r="AK133" i="41"/>
  <c r="AJ133" i="41"/>
  <c r="AI133" i="41"/>
  <c r="AH133" i="41"/>
  <c r="AG133" i="41"/>
  <c r="AF133" i="41"/>
  <c r="AE133" i="41"/>
  <c r="AD133" i="41"/>
  <c r="AC133" i="41"/>
  <c r="AB133" i="41"/>
  <c r="AA133" i="41"/>
  <c r="Z133" i="41"/>
  <c r="Y133" i="41"/>
  <c r="X133" i="41"/>
  <c r="W133" i="41"/>
  <c r="V133" i="41"/>
  <c r="AO132" i="41"/>
  <c r="AN132" i="41"/>
  <c r="AM132" i="41"/>
  <c r="AL132" i="41"/>
  <c r="AK132" i="41"/>
  <c r="AJ132" i="41"/>
  <c r="AI132" i="41"/>
  <c r="AH132" i="41"/>
  <c r="AG132" i="41"/>
  <c r="AF132" i="41"/>
  <c r="AE132" i="41"/>
  <c r="AD132" i="41"/>
  <c r="AC132" i="41"/>
  <c r="AB132" i="41"/>
  <c r="AA132" i="41"/>
  <c r="Z132" i="41"/>
  <c r="Y132" i="41"/>
  <c r="X132" i="41"/>
  <c r="W132" i="41"/>
  <c r="V132" i="41"/>
  <c r="AO131" i="41"/>
  <c r="AN131" i="41"/>
  <c r="AM131" i="41"/>
  <c r="AL131" i="41"/>
  <c r="AK131" i="41"/>
  <c r="AJ131" i="41"/>
  <c r="AI131" i="41"/>
  <c r="AH131" i="41"/>
  <c r="AG131" i="41"/>
  <c r="AF131" i="41"/>
  <c r="AE131" i="41"/>
  <c r="AD131" i="41"/>
  <c r="AC131" i="41"/>
  <c r="AB131" i="41"/>
  <c r="AA131" i="41"/>
  <c r="Z131" i="41"/>
  <c r="Y131" i="41"/>
  <c r="X131" i="41"/>
  <c r="W131" i="41"/>
  <c r="V131" i="41"/>
  <c r="AO130" i="41"/>
  <c r="AN130" i="41"/>
  <c r="AM130" i="41"/>
  <c r="AL130" i="41"/>
  <c r="AK130" i="41"/>
  <c r="AJ130" i="41"/>
  <c r="AI130" i="41"/>
  <c r="AH130" i="41"/>
  <c r="AG130" i="41"/>
  <c r="AF130" i="41"/>
  <c r="AE130" i="41"/>
  <c r="AD130" i="41"/>
  <c r="AC130" i="41"/>
  <c r="AB130" i="41"/>
  <c r="AA130" i="41"/>
  <c r="Z130" i="41"/>
  <c r="Y130" i="41"/>
  <c r="X130" i="41"/>
  <c r="W130" i="41"/>
  <c r="V130" i="41"/>
  <c r="AO129" i="41"/>
  <c r="AN129" i="41"/>
  <c r="AM129" i="41"/>
  <c r="AL129" i="41"/>
  <c r="AK129" i="41"/>
  <c r="AJ129" i="41"/>
  <c r="AI129" i="41"/>
  <c r="AH129" i="41"/>
  <c r="AG129" i="41"/>
  <c r="AF129" i="41"/>
  <c r="AE129" i="41"/>
  <c r="AD129" i="41"/>
  <c r="AC129" i="41"/>
  <c r="AB129" i="41"/>
  <c r="AA129" i="41"/>
  <c r="Z129" i="41"/>
  <c r="Y129" i="41"/>
  <c r="X129" i="41"/>
  <c r="W129" i="41"/>
  <c r="V129" i="41"/>
  <c r="AO128" i="41"/>
  <c r="AN128" i="41"/>
  <c r="AM128" i="41"/>
  <c r="AL128" i="41"/>
  <c r="AK128" i="41"/>
  <c r="AJ128" i="41"/>
  <c r="AI128" i="41"/>
  <c r="AH128" i="41"/>
  <c r="AG128" i="41"/>
  <c r="AF128" i="41"/>
  <c r="AE128" i="41"/>
  <c r="AD128" i="41"/>
  <c r="AC128" i="41"/>
  <c r="AB128" i="41"/>
  <c r="AA128" i="41"/>
  <c r="Z128" i="41"/>
  <c r="Y128" i="41"/>
  <c r="X128" i="41"/>
  <c r="W128" i="41"/>
  <c r="V128" i="41"/>
  <c r="AO127" i="41"/>
  <c r="AN127" i="41"/>
  <c r="AM127" i="41"/>
  <c r="AL127" i="41"/>
  <c r="AK127" i="41"/>
  <c r="AJ127" i="41"/>
  <c r="AI127" i="41"/>
  <c r="AH127" i="41"/>
  <c r="AG127" i="41"/>
  <c r="AF127" i="41"/>
  <c r="AE127" i="41"/>
  <c r="AD127" i="41"/>
  <c r="AC127" i="41"/>
  <c r="AB127" i="41"/>
  <c r="AA127" i="41"/>
  <c r="Z127" i="41"/>
  <c r="Y127" i="41"/>
  <c r="X127" i="41"/>
  <c r="W127" i="41"/>
  <c r="V127" i="41"/>
  <c r="AO126" i="41"/>
  <c r="AN126" i="41"/>
  <c r="AM126" i="41"/>
  <c r="AL126" i="41"/>
  <c r="AK126" i="41"/>
  <c r="AJ126" i="41"/>
  <c r="AI126" i="41"/>
  <c r="AH126" i="41"/>
  <c r="AG126" i="41"/>
  <c r="AF126" i="41"/>
  <c r="AE126" i="41"/>
  <c r="AD126" i="41"/>
  <c r="AC126" i="41"/>
  <c r="AB126" i="41"/>
  <c r="AA126" i="41"/>
  <c r="Z126" i="41"/>
  <c r="Y126" i="41"/>
  <c r="X126" i="41"/>
  <c r="W126" i="41"/>
  <c r="V126" i="41"/>
  <c r="AO125" i="41"/>
  <c r="AN125" i="41"/>
  <c r="AM125" i="41"/>
  <c r="AL125" i="41"/>
  <c r="AK125" i="41"/>
  <c r="AJ125" i="41"/>
  <c r="AI125" i="41"/>
  <c r="AH125" i="41"/>
  <c r="AG125" i="41"/>
  <c r="AF125" i="41"/>
  <c r="AE125" i="41"/>
  <c r="AD125" i="41"/>
  <c r="AC125" i="41"/>
  <c r="AB125" i="41"/>
  <c r="AA125" i="41"/>
  <c r="Z125" i="41"/>
  <c r="Y125" i="41"/>
  <c r="X125" i="41"/>
  <c r="W125" i="41"/>
  <c r="V125" i="41"/>
  <c r="AO124" i="41"/>
  <c r="AN124" i="41"/>
  <c r="AM124" i="41"/>
  <c r="AL124" i="41"/>
  <c r="AK124" i="41"/>
  <c r="AJ124" i="41"/>
  <c r="AI124" i="41"/>
  <c r="AH124" i="41"/>
  <c r="AG124" i="41"/>
  <c r="AF124" i="41"/>
  <c r="AE124" i="41"/>
  <c r="AD124" i="41"/>
  <c r="AC124" i="41"/>
  <c r="AB124" i="41"/>
  <c r="AA124" i="41"/>
  <c r="Z124" i="41"/>
  <c r="Y124" i="41"/>
  <c r="X124" i="41"/>
  <c r="W124" i="41"/>
  <c r="V124" i="41"/>
  <c r="AO123" i="41"/>
  <c r="AN123" i="41"/>
  <c r="AM123" i="41"/>
  <c r="AL123" i="41"/>
  <c r="AK123" i="41"/>
  <c r="AJ123" i="41"/>
  <c r="AI123" i="41"/>
  <c r="AH123" i="41"/>
  <c r="AG123" i="41"/>
  <c r="AF123" i="41"/>
  <c r="AE123" i="41"/>
  <c r="AD123" i="41"/>
  <c r="AC123" i="41"/>
  <c r="AB123" i="41"/>
  <c r="AA123" i="41"/>
  <c r="Z123" i="41"/>
  <c r="Y123" i="41"/>
  <c r="X123" i="41"/>
  <c r="W123" i="41"/>
  <c r="V123" i="41"/>
  <c r="AO122" i="41"/>
  <c r="AN122" i="41"/>
  <c r="AM122" i="41"/>
  <c r="AL122" i="41"/>
  <c r="AK122" i="41"/>
  <c r="AJ122" i="41"/>
  <c r="AI122" i="41"/>
  <c r="AH122" i="41"/>
  <c r="AG122" i="41"/>
  <c r="AF122" i="41"/>
  <c r="AE122" i="41"/>
  <c r="AD122" i="41"/>
  <c r="AC122" i="41"/>
  <c r="AB122" i="41"/>
  <c r="AA122" i="41"/>
  <c r="Z122" i="41"/>
  <c r="Y122" i="41"/>
  <c r="X122" i="41"/>
  <c r="W122" i="41"/>
  <c r="V122" i="41"/>
  <c r="AO121" i="41"/>
  <c r="AN121" i="41"/>
  <c r="AM121" i="41"/>
  <c r="AL121" i="41"/>
  <c r="AK121" i="41"/>
  <c r="AJ121" i="41"/>
  <c r="AI121" i="41"/>
  <c r="AH121" i="41"/>
  <c r="AG121" i="41"/>
  <c r="AF121" i="41"/>
  <c r="AE121" i="41"/>
  <c r="AD121" i="41"/>
  <c r="AC121" i="41"/>
  <c r="AB121" i="41"/>
  <c r="AA121" i="41"/>
  <c r="Z121" i="41"/>
  <c r="Y121" i="41"/>
  <c r="X121" i="41"/>
  <c r="W121" i="41"/>
  <c r="V121" i="41"/>
  <c r="AO120" i="41"/>
  <c r="AN120" i="41"/>
  <c r="AM120" i="41"/>
  <c r="AL120" i="41"/>
  <c r="AK120" i="41"/>
  <c r="AJ120" i="41"/>
  <c r="AI120" i="41"/>
  <c r="AH120" i="41"/>
  <c r="AG120" i="41"/>
  <c r="AF120" i="41"/>
  <c r="AE120" i="41"/>
  <c r="AD120" i="41"/>
  <c r="AC120" i="41"/>
  <c r="AB120" i="41"/>
  <c r="AA120" i="41"/>
  <c r="Z120" i="41"/>
  <c r="Y120" i="41"/>
  <c r="X120" i="41"/>
  <c r="W120" i="41"/>
  <c r="V120" i="41"/>
  <c r="AO119" i="41"/>
  <c r="AN119" i="41"/>
  <c r="AM119" i="41"/>
  <c r="AL119" i="41"/>
  <c r="AK119" i="41"/>
  <c r="AJ119" i="41"/>
  <c r="AI119" i="41"/>
  <c r="AH119" i="41"/>
  <c r="AG119" i="41"/>
  <c r="AF119" i="41"/>
  <c r="AE119" i="41"/>
  <c r="AD119" i="41"/>
  <c r="AC119" i="41"/>
  <c r="AB119" i="41"/>
  <c r="AA119" i="41"/>
  <c r="Z119" i="41"/>
  <c r="Y119" i="41"/>
  <c r="X119" i="41"/>
  <c r="W119" i="41"/>
  <c r="V119" i="41"/>
  <c r="AO118" i="41"/>
  <c r="AN118" i="41"/>
  <c r="AM118" i="41"/>
  <c r="AL118" i="41"/>
  <c r="AK118" i="41"/>
  <c r="AJ118" i="41"/>
  <c r="AI118" i="41"/>
  <c r="AH118" i="41"/>
  <c r="AG118" i="41"/>
  <c r="AF118" i="41"/>
  <c r="AE118" i="41"/>
  <c r="AD118" i="41"/>
  <c r="AC118" i="41"/>
  <c r="AB118" i="41"/>
  <c r="AA118" i="41"/>
  <c r="Z118" i="41"/>
  <c r="Y118" i="41"/>
  <c r="X118" i="41"/>
  <c r="W118" i="41"/>
  <c r="V118" i="41"/>
  <c r="AO117" i="41"/>
  <c r="AN117" i="41"/>
  <c r="AM117" i="41"/>
  <c r="AL117" i="41"/>
  <c r="AK117" i="41"/>
  <c r="AJ117" i="41"/>
  <c r="AI117" i="41"/>
  <c r="AH117" i="41"/>
  <c r="AG117" i="41"/>
  <c r="AF117" i="41"/>
  <c r="AE117" i="41"/>
  <c r="AD117" i="41"/>
  <c r="AC117" i="41"/>
  <c r="AB117" i="41"/>
  <c r="AA117" i="41"/>
  <c r="Z117" i="41"/>
  <c r="Y117" i="41"/>
  <c r="X117" i="41"/>
  <c r="W117" i="41"/>
  <c r="V117" i="41"/>
  <c r="AO116" i="41"/>
  <c r="AN116" i="41"/>
  <c r="AM116" i="41"/>
  <c r="AL116" i="41"/>
  <c r="AK116" i="41"/>
  <c r="AJ116" i="41"/>
  <c r="AI116" i="41"/>
  <c r="AH116" i="41"/>
  <c r="AG116" i="41"/>
  <c r="AF116" i="41"/>
  <c r="AE116" i="41"/>
  <c r="AD116" i="41"/>
  <c r="AC116" i="41"/>
  <c r="AB116" i="41"/>
  <c r="AA116" i="41"/>
  <c r="Z116" i="41"/>
  <c r="Y116" i="41"/>
  <c r="X116" i="41"/>
  <c r="W116" i="41"/>
  <c r="V116" i="41"/>
  <c r="AO115" i="41"/>
  <c r="AN115" i="41"/>
  <c r="AM115" i="41"/>
  <c r="AL115" i="41"/>
  <c r="AK115" i="41"/>
  <c r="AJ115" i="41"/>
  <c r="AI115" i="41"/>
  <c r="AH115" i="41"/>
  <c r="AG115" i="41"/>
  <c r="AF115" i="41"/>
  <c r="AE115" i="41"/>
  <c r="AD115" i="41"/>
  <c r="AC115" i="41"/>
  <c r="AB115" i="41"/>
  <c r="AA115" i="41"/>
  <c r="Z115" i="41"/>
  <c r="Y115" i="41"/>
  <c r="X115" i="41"/>
  <c r="W115" i="41"/>
  <c r="V115" i="41"/>
  <c r="AO114" i="41"/>
  <c r="AN114" i="41"/>
  <c r="AM114" i="41"/>
  <c r="AL114" i="41"/>
  <c r="AK114" i="41"/>
  <c r="AJ114" i="41"/>
  <c r="AI114" i="41"/>
  <c r="AH114" i="41"/>
  <c r="AG114" i="41"/>
  <c r="AF114" i="41"/>
  <c r="AE114" i="41"/>
  <c r="AD114" i="41"/>
  <c r="AC114" i="41"/>
  <c r="AB114" i="41"/>
  <c r="AA114" i="41"/>
  <c r="Z114" i="41"/>
  <c r="Y114" i="41"/>
  <c r="X114" i="41"/>
  <c r="W114" i="41"/>
  <c r="V114" i="41"/>
  <c r="AO113" i="41"/>
  <c r="AN113" i="41"/>
  <c r="AM113" i="41"/>
  <c r="AL113" i="41"/>
  <c r="AK113" i="41"/>
  <c r="AJ113" i="41"/>
  <c r="AI113" i="41"/>
  <c r="AH113" i="41"/>
  <c r="AG113" i="41"/>
  <c r="AF113" i="41"/>
  <c r="AE113" i="41"/>
  <c r="AD113" i="41"/>
  <c r="AC113" i="41"/>
  <c r="AB113" i="41"/>
  <c r="AA113" i="41"/>
  <c r="Z113" i="41"/>
  <c r="Y113" i="41"/>
  <c r="X113" i="41"/>
  <c r="W113" i="41"/>
  <c r="V113" i="41"/>
  <c r="AO112" i="41"/>
  <c r="AN112" i="41"/>
  <c r="AM112" i="41"/>
  <c r="AL112" i="41"/>
  <c r="AK112" i="41"/>
  <c r="AJ112" i="41"/>
  <c r="AI112" i="41"/>
  <c r="AH112" i="41"/>
  <c r="AG112" i="41"/>
  <c r="AF112" i="41"/>
  <c r="AE112" i="41"/>
  <c r="AD112" i="41"/>
  <c r="AC112" i="41"/>
  <c r="AB112" i="41"/>
  <c r="AA112" i="41"/>
  <c r="Z112" i="41"/>
  <c r="Y112" i="41"/>
  <c r="X112" i="41"/>
  <c r="W112" i="41"/>
  <c r="V112" i="41"/>
  <c r="AO111" i="41"/>
  <c r="AN111" i="41"/>
  <c r="AM111" i="41"/>
  <c r="AL111" i="41"/>
  <c r="AK111" i="41"/>
  <c r="AJ111" i="41"/>
  <c r="AI111" i="41"/>
  <c r="AH111" i="41"/>
  <c r="AG111" i="41"/>
  <c r="AF111" i="41"/>
  <c r="AE111" i="41"/>
  <c r="AD111" i="41"/>
  <c r="AC111" i="41"/>
  <c r="AB111" i="41"/>
  <c r="AA111" i="41"/>
  <c r="Z111" i="41"/>
  <c r="Y111" i="41"/>
  <c r="X111" i="41"/>
  <c r="W111" i="41"/>
  <c r="V111" i="41"/>
  <c r="AO110" i="41"/>
  <c r="AN110" i="41"/>
  <c r="AM110" i="41"/>
  <c r="AL110" i="41"/>
  <c r="AK110" i="41"/>
  <c r="AJ110" i="41"/>
  <c r="AI110" i="41"/>
  <c r="AH110" i="41"/>
  <c r="AG110" i="41"/>
  <c r="AF110" i="41"/>
  <c r="AE110" i="41"/>
  <c r="AD110" i="41"/>
  <c r="AC110" i="41"/>
  <c r="AB110" i="41"/>
  <c r="AA110" i="41"/>
  <c r="Z110" i="41"/>
  <c r="Y110" i="41"/>
  <c r="X110" i="41"/>
  <c r="W110" i="41"/>
  <c r="V110" i="41"/>
  <c r="AO109" i="41"/>
  <c r="AN109" i="41"/>
  <c r="AM109" i="41"/>
  <c r="AL109" i="41"/>
  <c r="AK109" i="41"/>
  <c r="AJ109" i="41"/>
  <c r="AI109" i="41"/>
  <c r="AH109" i="41"/>
  <c r="AG109" i="41"/>
  <c r="AF109" i="41"/>
  <c r="AE109" i="41"/>
  <c r="AD109" i="41"/>
  <c r="AC109" i="41"/>
  <c r="AB109" i="41"/>
  <c r="AA109" i="41"/>
  <c r="Z109" i="41"/>
  <c r="Y109" i="41"/>
  <c r="X109" i="41"/>
  <c r="W109" i="41"/>
  <c r="V109" i="41"/>
  <c r="AO108" i="41"/>
  <c r="AN108" i="41"/>
  <c r="AM108" i="41"/>
  <c r="AL108" i="41"/>
  <c r="AK108" i="41"/>
  <c r="AJ108" i="41"/>
  <c r="AI108" i="41"/>
  <c r="AH108" i="41"/>
  <c r="AG108" i="41"/>
  <c r="AF108" i="41"/>
  <c r="AE108" i="41"/>
  <c r="AD108" i="41"/>
  <c r="AC108" i="41"/>
  <c r="AB108" i="41"/>
  <c r="AA108" i="41"/>
  <c r="Z108" i="41"/>
  <c r="Y108" i="41"/>
  <c r="X108" i="41"/>
  <c r="W108" i="41"/>
  <c r="V108" i="41"/>
  <c r="AO107" i="41"/>
  <c r="AN107" i="41"/>
  <c r="AM107" i="41"/>
  <c r="AL107" i="41"/>
  <c r="AK107" i="41"/>
  <c r="AJ107" i="41"/>
  <c r="AI107" i="41"/>
  <c r="AH107" i="41"/>
  <c r="AG107" i="41"/>
  <c r="AF107" i="41"/>
  <c r="AE107" i="41"/>
  <c r="AD107" i="41"/>
  <c r="AC107" i="41"/>
  <c r="AB107" i="41"/>
  <c r="AA107" i="41"/>
  <c r="Z107" i="41"/>
  <c r="Y107" i="41"/>
  <c r="X107" i="41"/>
  <c r="W107" i="41"/>
  <c r="V107" i="41"/>
  <c r="AO106" i="41"/>
  <c r="AN106" i="41"/>
  <c r="AM106" i="41"/>
  <c r="AL106" i="41"/>
  <c r="AK106" i="41"/>
  <c r="AJ106" i="41"/>
  <c r="AI106" i="41"/>
  <c r="AH106" i="41"/>
  <c r="AG106" i="41"/>
  <c r="AF106" i="41"/>
  <c r="AE106" i="41"/>
  <c r="AD106" i="41"/>
  <c r="AC106" i="41"/>
  <c r="AB106" i="41"/>
  <c r="AA106" i="41"/>
  <c r="Z106" i="41"/>
  <c r="Y106" i="41"/>
  <c r="X106" i="41"/>
  <c r="W106" i="41"/>
  <c r="V106" i="41"/>
  <c r="AO105" i="41"/>
  <c r="AN105" i="41"/>
  <c r="AM105" i="41"/>
  <c r="AL105" i="41"/>
  <c r="AK105" i="41"/>
  <c r="AJ105" i="41"/>
  <c r="AI105" i="41"/>
  <c r="AH105" i="41"/>
  <c r="AG105" i="41"/>
  <c r="AF105" i="41"/>
  <c r="AE105" i="41"/>
  <c r="AD105" i="41"/>
  <c r="AC105" i="41"/>
  <c r="AB105" i="41"/>
  <c r="AA105" i="41"/>
  <c r="Z105" i="41"/>
  <c r="Y105" i="41"/>
  <c r="X105" i="41"/>
  <c r="W105" i="41"/>
  <c r="V105" i="41"/>
  <c r="AO104" i="41"/>
  <c r="AN104" i="41"/>
  <c r="AM104" i="41"/>
  <c r="AL104" i="41"/>
  <c r="AK104" i="41"/>
  <c r="AJ104" i="41"/>
  <c r="AI104" i="41"/>
  <c r="AH104" i="41"/>
  <c r="AG104" i="41"/>
  <c r="AF104" i="41"/>
  <c r="AE104" i="41"/>
  <c r="AD104" i="41"/>
  <c r="AC104" i="41"/>
  <c r="AB104" i="41"/>
  <c r="AA104" i="41"/>
  <c r="Z104" i="41"/>
  <c r="Y104" i="41"/>
  <c r="X104" i="41"/>
  <c r="W104" i="41"/>
  <c r="V104" i="41"/>
  <c r="AO103" i="41"/>
  <c r="AN103" i="41"/>
  <c r="AM103" i="41"/>
  <c r="AL103" i="41"/>
  <c r="AK103" i="41"/>
  <c r="AJ103" i="41"/>
  <c r="AI103" i="41"/>
  <c r="AH103" i="41"/>
  <c r="AG103" i="41"/>
  <c r="AF103" i="41"/>
  <c r="AE103" i="41"/>
  <c r="AD103" i="41"/>
  <c r="AC103" i="41"/>
  <c r="AB103" i="41"/>
  <c r="AA103" i="41"/>
  <c r="Z103" i="41"/>
  <c r="Y103" i="41"/>
  <c r="X103" i="41"/>
  <c r="W103" i="41"/>
  <c r="V103" i="41"/>
  <c r="AO102" i="41"/>
  <c r="AN102" i="41"/>
  <c r="AM102" i="41"/>
  <c r="AL102" i="41"/>
  <c r="AK102" i="41"/>
  <c r="AJ102" i="41"/>
  <c r="AI102" i="41"/>
  <c r="AH102" i="41"/>
  <c r="AG102" i="41"/>
  <c r="AF102" i="41"/>
  <c r="AE102" i="41"/>
  <c r="AD102" i="41"/>
  <c r="AC102" i="41"/>
  <c r="AB102" i="41"/>
  <c r="AA102" i="41"/>
  <c r="Z102" i="41"/>
  <c r="Y102" i="41"/>
  <c r="X102" i="41"/>
  <c r="W102" i="41"/>
  <c r="V102" i="41"/>
  <c r="AO101" i="41"/>
  <c r="AN101" i="41"/>
  <c r="AM101" i="41"/>
  <c r="AL101" i="41"/>
  <c r="AK101" i="41"/>
  <c r="AJ101" i="41"/>
  <c r="AI101" i="41"/>
  <c r="AH101" i="41"/>
  <c r="AG101" i="41"/>
  <c r="AF101" i="41"/>
  <c r="AE101" i="41"/>
  <c r="AD101" i="41"/>
  <c r="AC101" i="41"/>
  <c r="AB101" i="41"/>
  <c r="AA101" i="41"/>
  <c r="Z101" i="41"/>
  <c r="Y101" i="41"/>
  <c r="X101" i="41"/>
  <c r="W101" i="41"/>
  <c r="V101" i="41"/>
  <c r="AO100" i="41"/>
  <c r="AN100" i="41"/>
  <c r="AM100" i="41"/>
  <c r="AL100" i="41"/>
  <c r="AK100" i="41"/>
  <c r="AJ100" i="41"/>
  <c r="AI100" i="41"/>
  <c r="AH100" i="41"/>
  <c r="AG100" i="41"/>
  <c r="AF100" i="41"/>
  <c r="AE100" i="41"/>
  <c r="AD100" i="41"/>
  <c r="AC100" i="41"/>
  <c r="AB100" i="41"/>
  <c r="AA100" i="41"/>
  <c r="Z100" i="41"/>
  <c r="Y100" i="41"/>
  <c r="X100" i="41"/>
  <c r="W100" i="41"/>
  <c r="V100" i="41"/>
  <c r="AV95" i="41"/>
  <c r="AA95" i="41"/>
  <c r="Z95" i="41"/>
  <c r="Y95" i="41"/>
  <c r="X95" i="41"/>
  <c r="AV94" i="41"/>
  <c r="AC94" i="41"/>
  <c r="AB94" i="41"/>
  <c r="AA94" i="41"/>
  <c r="X94" i="41"/>
  <c r="W94" i="41"/>
  <c r="V94" i="41"/>
  <c r="AV93" i="41"/>
  <c r="AD93" i="41"/>
  <c r="AC93" i="41"/>
  <c r="Y93" i="41"/>
  <c r="W93" i="41"/>
  <c r="AV92" i="41"/>
  <c r="AD92" i="41"/>
  <c r="AA92" i="41"/>
  <c r="Z92" i="41"/>
  <c r="Y92" i="41"/>
  <c r="X92" i="41"/>
  <c r="AV91" i="41"/>
  <c r="AC91" i="41"/>
  <c r="AB91" i="41"/>
  <c r="AA91" i="41"/>
  <c r="W91" i="41"/>
  <c r="V91" i="41"/>
  <c r="AV90" i="41"/>
  <c r="AD90" i="41"/>
  <c r="AC90" i="41"/>
  <c r="Y90" i="41"/>
  <c r="W90" i="41"/>
  <c r="AV89" i="41"/>
  <c r="AA89" i="41"/>
  <c r="Z89" i="41"/>
  <c r="Y89" i="41"/>
  <c r="X89" i="41"/>
  <c r="AV88" i="41"/>
  <c r="AC88" i="41"/>
  <c r="AB88" i="41"/>
  <c r="AA88" i="41"/>
  <c r="Z88" i="41"/>
  <c r="W88" i="41"/>
  <c r="V88" i="41"/>
  <c r="AV87" i="41"/>
  <c r="AD87" i="41"/>
  <c r="AC87" i="41"/>
  <c r="Y87" i="41"/>
  <c r="W87" i="41"/>
  <c r="AV86" i="41"/>
  <c r="AV85" i="41"/>
  <c r="AV84" i="41"/>
  <c r="AV83" i="41"/>
  <c r="AV82" i="41"/>
  <c r="Z82" i="41"/>
  <c r="Y82" i="41"/>
  <c r="X82" i="41"/>
  <c r="W82" i="41"/>
  <c r="V82" i="41"/>
  <c r="AV81" i="41"/>
  <c r="Z81" i="41"/>
  <c r="Y81" i="41"/>
  <c r="X81" i="41"/>
  <c r="W81" i="41"/>
  <c r="V81" i="41"/>
  <c r="AV80" i="41"/>
  <c r="Z80" i="41"/>
  <c r="Y80" i="41"/>
  <c r="X80" i="41"/>
  <c r="W80" i="41"/>
  <c r="V80" i="41"/>
  <c r="AV79" i="41"/>
  <c r="Z79" i="41"/>
  <c r="Y79" i="41"/>
  <c r="X79" i="41"/>
  <c r="W79" i="41"/>
  <c r="V79" i="41"/>
  <c r="AV78" i="41"/>
  <c r="Z78" i="41"/>
  <c r="Y78" i="41"/>
  <c r="X78" i="41"/>
  <c r="W78" i="41"/>
  <c r="V78" i="41"/>
  <c r="AV77" i="41"/>
  <c r="Z77" i="41"/>
  <c r="Y77" i="41"/>
  <c r="X77" i="41"/>
  <c r="W77" i="41"/>
  <c r="V77" i="41"/>
  <c r="AV76" i="41"/>
  <c r="Z76" i="41"/>
  <c r="Y76" i="41"/>
  <c r="X76" i="41"/>
  <c r="W76" i="41"/>
  <c r="V76" i="41"/>
  <c r="AV75" i="41"/>
  <c r="Z75" i="41"/>
  <c r="Y75" i="41"/>
  <c r="X75" i="41"/>
  <c r="W75" i="41"/>
  <c r="V75" i="41"/>
  <c r="AV74" i="41"/>
  <c r="Z74" i="41"/>
  <c r="Y74" i="41"/>
  <c r="X74" i="41"/>
  <c r="W74" i="41"/>
  <c r="V74" i="41"/>
  <c r="AV73" i="41"/>
  <c r="Z73" i="41"/>
  <c r="Y73" i="41"/>
  <c r="X73" i="41"/>
  <c r="W73" i="41"/>
  <c r="V73" i="41"/>
  <c r="AV72" i="41"/>
  <c r="AV71" i="41"/>
  <c r="AV70" i="41"/>
  <c r="AV69" i="41"/>
  <c r="AV68" i="41"/>
  <c r="AA68" i="41"/>
  <c r="Z68" i="41"/>
  <c r="Y68" i="41"/>
  <c r="X68" i="41"/>
  <c r="W68" i="41"/>
  <c r="V68" i="41"/>
  <c r="AV67" i="41"/>
  <c r="AA67" i="41"/>
  <c r="Z67" i="41"/>
  <c r="Y67" i="41"/>
  <c r="X67" i="41"/>
  <c r="W67" i="41"/>
  <c r="V67" i="41"/>
  <c r="AV66" i="41"/>
  <c r="AA66" i="41"/>
  <c r="Z66" i="41"/>
  <c r="Y66" i="41"/>
  <c r="X66" i="41"/>
  <c r="W66" i="41"/>
  <c r="V66" i="41"/>
  <c r="AV65" i="41"/>
  <c r="AA65" i="41"/>
  <c r="Z65" i="41"/>
  <c r="Y65" i="41"/>
  <c r="X65" i="41"/>
  <c r="W65" i="41"/>
  <c r="V65" i="41"/>
  <c r="AV64" i="41"/>
  <c r="AA64" i="41"/>
  <c r="Z64" i="41"/>
  <c r="Y64" i="41"/>
  <c r="X64" i="41"/>
  <c r="W64" i="41"/>
  <c r="V64" i="41"/>
  <c r="AV63" i="41"/>
  <c r="AA63" i="41"/>
  <c r="Z63" i="41"/>
  <c r="Y63" i="41"/>
  <c r="X63" i="41"/>
  <c r="W63" i="41"/>
  <c r="V63" i="41"/>
  <c r="AV62" i="41"/>
  <c r="AA62" i="41"/>
  <c r="Z62" i="41"/>
  <c r="Y62" i="41"/>
  <c r="X62" i="41"/>
  <c r="W62" i="41"/>
  <c r="V62" i="41"/>
  <c r="AV61" i="41"/>
  <c r="AA61" i="41"/>
  <c r="Z61" i="41"/>
  <c r="Y61" i="41"/>
  <c r="X61" i="41"/>
  <c r="W61" i="41"/>
  <c r="V61" i="41"/>
  <c r="AV60" i="41"/>
  <c r="AA60" i="41"/>
  <c r="Z60" i="41"/>
  <c r="Y60" i="41"/>
  <c r="X60" i="41"/>
  <c r="W60" i="41"/>
  <c r="V60" i="41"/>
  <c r="AV59" i="41"/>
  <c r="AA59" i="41"/>
  <c r="Z59" i="41"/>
  <c r="Y59" i="41"/>
  <c r="X59" i="41"/>
  <c r="W59" i="41"/>
  <c r="V59" i="41"/>
  <c r="AV58" i="41"/>
  <c r="AQ58" i="41"/>
  <c r="AA58" i="41"/>
  <c r="Z58" i="41"/>
  <c r="Y58" i="41"/>
  <c r="X58" i="41"/>
  <c r="W58" i="41"/>
  <c r="V58" i="41"/>
  <c r="AV57" i="41"/>
  <c r="AA57" i="41"/>
  <c r="Z57" i="41"/>
  <c r="Y57" i="41"/>
  <c r="X57" i="41"/>
  <c r="W57" i="41"/>
  <c r="V57" i="41"/>
  <c r="AV56" i="41"/>
  <c r="AA56" i="41"/>
  <c r="Z56" i="41"/>
  <c r="Y56" i="41"/>
  <c r="X56" i="41"/>
  <c r="W56" i="41"/>
  <c r="V56" i="41"/>
  <c r="V50" i="41" s="1"/>
  <c r="AV55" i="41"/>
  <c r="B55" i="41"/>
  <c r="AV54" i="41"/>
  <c r="AV53" i="41"/>
  <c r="AV52" i="41"/>
  <c r="AV51" i="41"/>
  <c r="AH46" i="41"/>
  <c r="AH45" i="41"/>
  <c r="AP44" i="41"/>
  <c r="B59" i="41" s="1"/>
  <c r="AH44" i="41"/>
  <c r="AP43" i="41"/>
  <c r="B58" i="41" s="1"/>
  <c r="AH43" i="41"/>
  <c r="AP42" i="41"/>
  <c r="B57" i="41" s="1"/>
  <c r="AH42" i="41"/>
  <c r="AP41" i="41"/>
  <c r="B56" i="41" s="1"/>
  <c r="AH41" i="41"/>
  <c r="AP40" i="41"/>
  <c r="AH40" i="41"/>
  <c r="B40" i="41"/>
  <c r="AH39" i="41"/>
  <c r="AH38" i="41"/>
  <c r="AC38" i="41"/>
  <c r="AH37" i="41"/>
  <c r="AC37" i="41"/>
  <c r="AH36" i="41"/>
  <c r="AC36" i="41"/>
  <c r="AH35" i="41"/>
  <c r="AC35" i="41"/>
  <c r="Q35" i="41"/>
  <c r="P35" i="41"/>
  <c r="J35" i="41"/>
  <c r="D36" i="41" s="1"/>
  <c r="B35" i="41"/>
  <c r="AH34" i="41"/>
  <c r="AC34" i="41"/>
  <c r="J34" i="41"/>
  <c r="E35" i="41" s="1"/>
  <c r="AH33" i="41"/>
  <c r="AC33" i="41"/>
  <c r="AH32" i="41"/>
  <c r="AC32" i="41"/>
  <c r="AH31" i="41"/>
  <c r="AC31" i="41"/>
  <c r="AH30" i="41"/>
  <c r="AC30" i="41"/>
  <c r="AH29" i="41"/>
  <c r="AC29" i="41"/>
  <c r="B29" i="41"/>
  <c r="AQ27" i="41" s="1"/>
  <c r="AH28" i="41"/>
  <c r="AC28" i="41"/>
  <c r="AH27" i="41"/>
  <c r="AC27" i="41"/>
  <c r="B27" i="41"/>
  <c r="P25" i="41"/>
  <c r="P24" i="41" s="1"/>
  <c r="G24" i="41"/>
  <c r="E24" i="41"/>
  <c r="C24" i="41"/>
  <c r="I23" i="41"/>
  <c r="G23" i="41"/>
  <c r="E23" i="41"/>
  <c r="C23" i="41"/>
  <c r="I22" i="41"/>
  <c r="G22" i="41"/>
  <c r="E22" i="41"/>
  <c r="C22" i="41"/>
  <c r="I21" i="41"/>
  <c r="G21" i="41"/>
  <c r="E21" i="41"/>
  <c r="C21" i="41"/>
  <c r="AQ20" i="41"/>
  <c r="B49" i="41" s="1"/>
  <c r="AQ36" i="41" s="1"/>
  <c r="AI20" i="41"/>
  <c r="I20" i="41"/>
  <c r="AQ19" i="41"/>
  <c r="AI19" i="41"/>
  <c r="V19" i="41"/>
  <c r="AQ18" i="41"/>
  <c r="B47" i="41" s="1"/>
  <c r="AQ34" i="41" s="1"/>
  <c r="AI18" i="41"/>
  <c r="V18" i="41"/>
  <c r="I18" i="41"/>
  <c r="AI17" i="41"/>
  <c r="V17" i="41"/>
  <c r="AI16" i="41"/>
  <c r="V16" i="41"/>
  <c r="AI15" i="41"/>
  <c r="V15" i="41"/>
  <c r="W18" i="41" s="1"/>
  <c r="U35" i="41" s="1"/>
  <c r="AQ14" i="41"/>
  <c r="AI14" i="41"/>
  <c r="I14" i="41"/>
  <c r="AQ13" i="41"/>
  <c r="AI13" i="41"/>
  <c r="AQ12" i="41"/>
  <c r="B44" i="41" s="1"/>
  <c r="AQ31" i="41" s="1"/>
  <c r="AI12" i="41"/>
  <c r="AI11" i="41"/>
  <c r="V11" i="41"/>
  <c r="AI10" i="41"/>
  <c r="V10" i="41"/>
  <c r="AI9" i="41"/>
  <c r="AJ9" i="41" s="1"/>
  <c r="V9" i="41"/>
  <c r="AQ8" i="41"/>
  <c r="AQ7" i="41"/>
  <c r="Y7" i="41"/>
  <c r="AQ6" i="41"/>
  <c r="AU28" i="54" l="1"/>
  <c r="AT28" i="54"/>
  <c r="AV36" i="54"/>
  <c r="AT36" i="54"/>
  <c r="AU36" i="54"/>
  <c r="I28" i="55"/>
  <c r="D28" i="55"/>
  <c r="E28" i="55"/>
  <c r="AV6" i="55"/>
  <c r="AV7" i="55"/>
  <c r="AV8" i="55"/>
  <c r="I46" i="55"/>
  <c r="I45" i="55" s="1"/>
  <c r="D45" i="55"/>
  <c r="E31" i="55"/>
  <c r="D31" i="55"/>
  <c r="E39" i="55"/>
  <c r="D39" i="55"/>
  <c r="AV8" i="54"/>
  <c r="AV7" i="54"/>
  <c r="AV6" i="54"/>
  <c r="I46" i="54"/>
  <c r="I45" i="54" s="1"/>
  <c r="D45" i="54"/>
  <c r="I28" i="54"/>
  <c r="J31" i="54"/>
  <c r="E30" i="54"/>
  <c r="D30" i="54"/>
  <c r="I30" i="54" s="1"/>
  <c r="I31" i="54" s="1"/>
  <c r="AT32" i="54"/>
  <c r="AT30" i="54"/>
  <c r="AV27" i="54"/>
  <c r="AT33" i="54"/>
  <c r="AV35" i="54"/>
  <c r="AS27" i="54"/>
  <c r="AV30" i="54"/>
  <c r="AV33" i="54"/>
  <c r="AU32" i="54"/>
  <c r="AU35" i="54"/>
  <c r="AU30" i="54"/>
  <c r="AS35" i="54"/>
  <c r="AS33" i="54"/>
  <c r="AS32" i="54"/>
  <c r="AS30" i="54"/>
  <c r="AT35" i="54"/>
  <c r="AT27" i="54"/>
  <c r="AU27" i="54"/>
  <c r="AU33" i="54"/>
  <c r="AV32" i="54"/>
  <c r="AS28" i="54"/>
  <c r="D28" i="54"/>
  <c r="E28" i="54"/>
  <c r="J44" i="52"/>
  <c r="AS6" i="52"/>
  <c r="AT6" i="52"/>
  <c r="AU6" i="52"/>
  <c r="I46" i="52"/>
  <c r="I45" i="52" s="1"/>
  <c r="D45" i="52"/>
  <c r="E30" i="52"/>
  <c r="D30" i="52"/>
  <c r="I30" i="52" s="1"/>
  <c r="I31" i="52" s="1"/>
  <c r="J31" i="52"/>
  <c r="AT35" i="52"/>
  <c r="AU32" i="52"/>
  <c r="AT33" i="52"/>
  <c r="AV36" i="52"/>
  <c r="AV33" i="52"/>
  <c r="AS28" i="52"/>
  <c r="AT32" i="52"/>
  <c r="AV28" i="52"/>
  <c r="AU30" i="52"/>
  <c r="AU35" i="52"/>
  <c r="AS30" i="52"/>
  <c r="AS32" i="52"/>
  <c r="AT28" i="52"/>
  <c r="AS35" i="52"/>
  <c r="AT30" i="52"/>
  <c r="AV32" i="52"/>
  <c r="AU36" i="52"/>
  <c r="AV27" i="52"/>
  <c r="AU27" i="52"/>
  <c r="AS36" i="52"/>
  <c r="AT27" i="52"/>
  <c r="AT36" i="52"/>
  <c r="AS27" i="52"/>
  <c r="AV35" i="52"/>
  <c r="AU28" i="52"/>
  <c r="AV30" i="52"/>
  <c r="AU33" i="52"/>
  <c r="AS33" i="52"/>
  <c r="E28" i="52"/>
  <c r="D28" i="52"/>
  <c r="I28" i="52"/>
  <c r="AS7" i="52"/>
  <c r="J45" i="52"/>
  <c r="AU7" i="52"/>
  <c r="AT7" i="52"/>
  <c r="J46" i="52"/>
  <c r="AT8" i="52"/>
  <c r="AU8" i="52"/>
  <c r="AS8" i="52"/>
  <c r="N114" i="49"/>
  <c r="J30" i="49"/>
  <c r="D29" i="49"/>
  <c r="AT27" i="49"/>
  <c r="E29" i="49"/>
  <c r="AS27" i="49"/>
  <c r="J28" i="49"/>
  <c r="E27" i="49"/>
  <c r="D27" i="49"/>
  <c r="AT5" i="49"/>
  <c r="P99" i="49"/>
  <c r="AV27" i="49"/>
  <c r="AU27" i="49"/>
  <c r="AS5" i="49"/>
  <c r="O99" i="49"/>
  <c r="AU5" i="49"/>
  <c r="Q99" i="49"/>
  <c r="J30" i="48"/>
  <c r="D29" i="48"/>
  <c r="E29" i="48"/>
  <c r="AS27" i="48"/>
  <c r="AV27" i="48"/>
  <c r="AU27" i="48"/>
  <c r="AT27" i="48"/>
  <c r="O99" i="48"/>
  <c r="AS5" i="48"/>
  <c r="P114" i="48"/>
  <c r="AU5" i="48"/>
  <c r="Q99" i="48"/>
  <c r="AV8" i="48"/>
  <c r="AV7" i="48"/>
  <c r="AV6" i="48"/>
  <c r="E27" i="48"/>
  <c r="D27" i="48"/>
  <c r="J28" i="48"/>
  <c r="N114" i="48"/>
  <c r="E40" i="47"/>
  <c r="Q99" i="47"/>
  <c r="J30" i="47"/>
  <c r="D29" i="47"/>
  <c r="E29" i="47"/>
  <c r="AV27" i="47"/>
  <c r="AS27" i="47"/>
  <c r="AU27" i="47"/>
  <c r="AT27" i="47"/>
  <c r="O99" i="47"/>
  <c r="AS5" i="47"/>
  <c r="N114" i="47"/>
  <c r="D28" i="47"/>
  <c r="E28" i="47"/>
  <c r="AT5" i="47"/>
  <c r="P99" i="47"/>
  <c r="D40" i="43"/>
  <c r="B46" i="43"/>
  <c r="AQ33" i="43" s="1"/>
  <c r="V27" i="43"/>
  <c r="O114" i="43"/>
  <c r="Q114" i="43"/>
  <c r="V47" i="43"/>
  <c r="V48" i="43" s="1"/>
  <c r="V51" i="43" s="1"/>
  <c r="J27" i="43" s="1"/>
  <c r="G20" i="43"/>
  <c r="B49" i="43"/>
  <c r="AQ36" i="43" s="1"/>
  <c r="AL12" i="43"/>
  <c r="AL18" i="43"/>
  <c r="AL15" i="43"/>
  <c r="AL9" i="43"/>
  <c r="AK9" i="43" s="1"/>
  <c r="AS26" i="43" s="1"/>
  <c r="AE91" i="43"/>
  <c r="Z46" i="43" s="1"/>
  <c r="Z47" i="43" s="1"/>
  <c r="Z48" i="43" s="1"/>
  <c r="Z49" i="43" s="1"/>
  <c r="J29" i="43" s="1"/>
  <c r="P114" i="43"/>
  <c r="V28" i="43"/>
  <c r="B48" i="43"/>
  <c r="AQ35" i="43" s="1"/>
  <c r="D36" i="43"/>
  <c r="B41" i="43"/>
  <c r="AQ28" i="43" s="1"/>
  <c r="W17" i="42"/>
  <c r="U35" i="42" s="1"/>
  <c r="U32" i="42"/>
  <c r="AE90" i="42"/>
  <c r="J35" i="42"/>
  <c r="D36" i="42" s="1"/>
  <c r="AE89" i="42"/>
  <c r="AE92" i="42"/>
  <c r="AE95" i="42"/>
  <c r="AJ18" i="42"/>
  <c r="AK18" i="42" s="1"/>
  <c r="AV26" i="42" s="1"/>
  <c r="Q114" i="42" s="1"/>
  <c r="V49" i="42"/>
  <c r="V47" i="42" s="1"/>
  <c r="V48" i="42" s="1"/>
  <c r="V51" i="42" s="1"/>
  <c r="J27" i="42" s="1"/>
  <c r="AQ59" i="42"/>
  <c r="D40" i="42" s="1"/>
  <c r="I24" i="42"/>
  <c r="AL12" i="42"/>
  <c r="AL18" i="42"/>
  <c r="AL15" i="42"/>
  <c r="AL9" i="42"/>
  <c r="AK9" i="42" s="1"/>
  <c r="AS26" i="42" s="1"/>
  <c r="B42" i="42"/>
  <c r="AQ29" i="42" s="1"/>
  <c r="P114" i="42"/>
  <c r="B43" i="42"/>
  <c r="AQ30" i="42" s="1"/>
  <c r="B45" i="42"/>
  <c r="AQ32" i="42" s="1"/>
  <c r="G20" i="42"/>
  <c r="AE91" i="42"/>
  <c r="Z46" i="42" s="1"/>
  <c r="E40" i="42"/>
  <c r="B48" i="42"/>
  <c r="AQ35" i="42" s="1"/>
  <c r="AE88" i="42"/>
  <c r="B44" i="42"/>
  <c r="AQ31" i="42" s="1"/>
  <c r="B41" i="42"/>
  <c r="AQ28" i="42" s="1"/>
  <c r="AJ12" i="42"/>
  <c r="AK12" i="42" s="1"/>
  <c r="AT26" i="42" s="1"/>
  <c r="AE94" i="42"/>
  <c r="B46" i="42"/>
  <c r="AQ33" i="42" s="1"/>
  <c r="D35" i="42"/>
  <c r="B49" i="42"/>
  <c r="AQ36" i="42" s="1"/>
  <c r="V28" i="41"/>
  <c r="AU5" i="41" s="1"/>
  <c r="E18" i="41"/>
  <c r="V26" i="41" s="1"/>
  <c r="V49" i="41"/>
  <c r="W8" i="41"/>
  <c r="U32" i="41" s="1"/>
  <c r="V27" i="41" s="1"/>
  <c r="AT5" i="41" s="1"/>
  <c r="AJ12" i="41"/>
  <c r="AK12" i="41" s="1"/>
  <c r="AT26" i="41" s="1"/>
  <c r="AJ15" i="41"/>
  <c r="AK15" i="41" s="1"/>
  <c r="AU26" i="41" s="1"/>
  <c r="P114" i="41" s="1"/>
  <c r="AJ18" i="41"/>
  <c r="AK18" i="41" s="1"/>
  <c r="AV26" i="41" s="1"/>
  <c r="Q114" i="41" s="1"/>
  <c r="AE88" i="41"/>
  <c r="AE89" i="41"/>
  <c r="AE92" i="41"/>
  <c r="AE94" i="41"/>
  <c r="AE95" i="41"/>
  <c r="AQ59" i="41"/>
  <c r="D40" i="41" s="1"/>
  <c r="O114" i="41"/>
  <c r="G20" i="41"/>
  <c r="V47" i="41"/>
  <c r="V48" i="41" s="1"/>
  <c r="V51" i="41" s="1"/>
  <c r="J27" i="41" s="1"/>
  <c r="B43" i="41"/>
  <c r="AQ30" i="41" s="1"/>
  <c r="AL12" i="41"/>
  <c r="AL18" i="41"/>
  <c r="AL15" i="41"/>
  <c r="AL9" i="41"/>
  <c r="AK9" i="41" s="1"/>
  <c r="AS26" i="41" s="1"/>
  <c r="AE91" i="41"/>
  <c r="Z46" i="41" s="1"/>
  <c r="Z47" i="41" s="1"/>
  <c r="Z48" i="41" s="1"/>
  <c r="Z49" i="41" s="1"/>
  <c r="J29" i="41" s="1"/>
  <c r="B41" i="41"/>
  <c r="AQ28" i="41" s="1"/>
  <c r="B42" i="41"/>
  <c r="AQ29" i="41" s="1"/>
  <c r="B45" i="41"/>
  <c r="AQ32" i="41" s="1"/>
  <c r="I24" i="41"/>
  <c r="E36" i="41"/>
  <c r="B46" i="41"/>
  <c r="AQ33" i="41" s="1"/>
  <c r="D35" i="41"/>
  <c r="B48" i="41"/>
  <c r="AQ35" i="41" s="1"/>
  <c r="V9" i="40"/>
  <c r="V10" i="40"/>
  <c r="V11" i="40"/>
  <c r="V19" i="40"/>
  <c r="V18" i="40"/>
  <c r="V17" i="40"/>
  <c r="V16" i="40"/>
  <c r="V15" i="40"/>
  <c r="AH51" i="40"/>
  <c r="AH50" i="40"/>
  <c r="AH49" i="40"/>
  <c r="AH48" i="40"/>
  <c r="AH47" i="40"/>
  <c r="AH46" i="40"/>
  <c r="AH45" i="40"/>
  <c r="AH44" i="40"/>
  <c r="AH43" i="40"/>
  <c r="AH42" i="40"/>
  <c r="AH41" i="40"/>
  <c r="AH40" i="40"/>
  <c r="AH39" i="40"/>
  <c r="AH38" i="40"/>
  <c r="AH37" i="40"/>
  <c r="AH36" i="40"/>
  <c r="AH35" i="40"/>
  <c r="AH34" i="40"/>
  <c r="AH33" i="40"/>
  <c r="AH32" i="40"/>
  <c r="AH31" i="40"/>
  <c r="AH30" i="40"/>
  <c r="AH29" i="40"/>
  <c r="AH28" i="40"/>
  <c r="AH27" i="40"/>
  <c r="AC41" i="40"/>
  <c r="AC40" i="40"/>
  <c r="AC39" i="40"/>
  <c r="AC38" i="40"/>
  <c r="AC37" i="40"/>
  <c r="AC36" i="40"/>
  <c r="AC35" i="40"/>
  <c r="AC34" i="40"/>
  <c r="AC33" i="40"/>
  <c r="AC32" i="40"/>
  <c r="AC31" i="40"/>
  <c r="AC30" i="40"/>
  <c r="AC29" i="40"/>
  <c r="AC28" i="40"/>
  <c r="AC27" i="40"/>
  <c r="AO179" i="40"/>
  <c r="AN179" i="40"/>
  <c r="AM179" i="40"/>
  <c r="AL179" i="40"/>
  <c r="AK179" i="40"/>
  <c r="AJ179" i="40"/>
  <c r="AI179" i="40"/>
  <c r="AH179" i="40"/>
  <c r="AG179" i="40"/>
  <c r="AF179" i="40"/>
  <c r="AE179" i="40"/>
  <c r="AD179" i="40"/>
  <c r="AC179" i="40"/>
  <c r="AB179" i="40"/>
  <c r="AA179" i="40"/>
  <c r="Z179" i="40"/>
  <c r="Y179" i="40"/>
  <c r="X179" i="40"/>
  <c r="W179" i="40"/>
  <c r="V179" i="40"/>
  <c r="AO178" i="40"/>
  <c r="AN178" i="40"/>
  <c r="AM178" i="40"/>
  <c r="AL178" i="40"/>
  <c r="AK178" i="40"/>
  <c r="AJ178" i="40"/>
  <c r="AI178" i="40"/>
  <c r="AH178" i="40"/>
  <c r="AG178" i="40"/>
  <c r="AF178" i="40"/>
  <c r="AE178" i="40"/>
  <c r="AD178" i="40"/>
  <c r="AC178" i="40"/>
  <c r="AB178" i="40"/>
  <c r="AA178" i="40"/>
  <c r="Z178" i="40"/>
  <c r="Y178" i="40"/>
  <c r="X178" i="40"/>
  <c r="W178" i="40"/>
  <c r="V178" i="40"/>
  <c r="AO177" i="40"/>
  <c r="AN177" i="40"/>
  <c r="AM177" i="40"/>
  <c r="AL177" i="40"/>
  <c r="AK177" i="40"/>
  <c r="AJ177" i="40"/>
  <c r="AI177" i="40"/>
  <c r="AH177" i="40"/>
  <c r="AG177" i="40"/>
  <c r="AF177" i="40"/>
  <c r="AE177" i="40"/>
  <c r="AD177" i="40"/>
  <c r="AC177" i="40"/>
  <c r="AB177" i="40"/>
  <c r="AA177" i="40"/>
  <c r="Z177" i="40"/>
  <c r="Y177" i="40"/>
  <c r="X177" i="40"/>
  <c r="W177" i="40"/>
  <c r="V177" i="40"/>
  <c r="AO176" i="40"/>
  <c r="AN176" i="40"/>
  <c r="AM176" i="40"/>
  <c r="AL176" i="40"/>
  <c r="AK176" i="40"/>
  <c r="AJ176" i="40"/>
  <c r="AI176" i="40"/>
  <c r="AH176" i="40"/>
  <c r="AG176" i="40"/>
  <c r="AF176" i="40"/>
  <c r="AE176" i="40"/>
  <c r="AD176" i="40"/>
  <c r="AC176" i="40"/>
  <c r="AB176" i="40"/>
  <c r="AA176" i="40"/>
  <c r="Z176" i="40"/>
  <c r="Y176" i="40"/>
  <c r="X176" i="40"/>
  <c r="W176" i="40"/>
  <c r="V176" i="40"/>
  <c r="AO175" i="40"/>
  <c r="AN175" i="40"/>
  <c r="AM175" i="40"/>
  <c r="AL175" i="40"/>
  <c r="AK175" i="40"/>
  <c r="AJ175" i="40"/>
  <c r="AI175" i="40"/>
  <c r="AH175" i="40"/>
  <c r="AG175" i="40"/>
  <c r="AF175" i="40"/>
  <c r="AE175" i="40"/>
  <c r="AD175" i="40"/>
  <c r="AC175" i="40"/>
  <c r="AB175" i="40"/>
  <c r="AA175" i="40"/>
  <c r="Z175" i="40"/>
  <c r="Y175" i="40"/>
  <c r="X175" i="40"/>
  <c r="W175" i="40"/>
  <c r="V175" i="40"/>
  <c r="AO174" i="40"/>
  <c r="AN174" i="40"/>
  <c r="AM174" i="40"/>
  <c r="AL174" i="40"/>
  <c r="AK174" i="40"/>
  <c r="AJ174" i="40"/>
  <c r="AI174" i="40"/>
  <c r="AH174" i="40"/>
  <c r="AG174" i="40"/>
  <c r="AF174" i="40"/>
  <c r="AE174" i="40"/>
  <c r="AD174" i="40"/>
  <c r="AC174" i="40"/>
  <c r="AB174" i="40"/>
  <c r="AA174" i="40"/>
  <c r="Z174" i="40"/>
  <c r="Y174" i="40"/>
  <c r="X174" i="40"/>
  <c r="W174" i="40"/>
  <c r="V174" i="40"/>
  <c r="AO173" i="40"/>
  <c r="AN173" i="40"/>
  <c r="AM173" i="40"/>
  <c r="AL173" i="40"/>
  <c r="AK173" i="40"/>
  <c r="AJ173" i="40"/>
  <c r="AI173" i="40"/>
  <c r="AH173" i="40"/>
  <c r="AG173" i="40"/>
  <c r="AF173" i="40"/>
  <c r="AE173" i="40"/>
  <c r="AD173" i="40"/>
  <c r="AC173" i="40"/>
  <c r="AB173" i="40"/>
  <c r="AA173" i="40"/>
  <c r="Z173" i="40"/>
  <c r="Y173" i="40"/>
  <c r="X173" i="40"/>
  <c r="W173" i="40"/>
  <c r="V173" i="40"/>
  <c r="AO172" i="40"/>
  <c r="AN172" i="40"/>
  <c r="AM172" i="40"/>
  <c r="AL172" i="40"/>
  <c r="AK172" i="40"/>
  <c r="AJ172" i="40"/>
  <c r="AI172" i="40"/>
  <c r="AH172" i="40"/>
  <c r="AG172" i="40"/>
  <c r="AF172" i="40"/>
  <c r="AE172" i="40"/>
  <c r="AD172" i="40"/>
  <c r="AC172" i="40"/>
  <c r="AB172" i="40"/>
  <c r="AA172" i="40"/>
  <c r="Z172" i="40"/>
  <c r="Y172" i="40"/>
  <c r="X172" i="40"/>
  <c r="W172" i="40"/>
  <c r="V172" i="40"/>
  <c r="AO171" i="40"/>
  <c r="AN171" i="40"/>
  <c r="AM171" i="40"/>
  <c r="AL171" i="40"/>
  <c r="AK171" i="40"/>
  <c r="AJ171" i="40"/>
  <c r="AI171" i="40"/>
  <c r="AH171" i="40"/>
  <c r="AG171" i="40"/>
  <c r="AF171" i="40"/>
  <c r="AE171" i="40"/>
  <c r="AD171" i="40"/>
  <c r="AC171" i="40"/>
  <c r="AB171" i="40"/>
  <c r="AA171" i="40"/>
  <c r="Z171" i="40"/>
  <c r="Y171" i="40"/>
  <c r="X171" i="40"/>
  <c r="W171" i="40"/>
  <c r="V171" i="40"/>
  <c r="AO170" i="40"/>
  <c r="AN170" i="40"/>
  <c r="AM170" i="40"/>
  <c r="AL170" i="40"/>
  <c r="AK170" i="40"/>
  <c r="AJ170" i="40"/>
  <c r="AI170" i="40"/>
  <c r="AH170" i="40"/>
  <c r="AG170" i="40"/>
  <c r="AF170" i="40"/>
  <c r="AE170" i="40"/>
  <c r="AD170" i="40"/>
  <c r="AC170" i="40"/>
  <c r="AB170" i="40"/>
  <c r="AA170" i="40"/>
  <c r="Z170" i="40"/>
  <c r="Y170" i="40"/>
  <c r="X170" i="40"/>
  <c r="W170" i="40"/>
  <c r="V170" i="40"/>
  <c r="AO169" i="40"/>
  <c r="AN169" i="40"/>
  <c r="AM169" i="40"/>
  <c r="AL169" i="40"/>
  <c r="AK169" i="40"/>
  <c r="AJ169" i="40"/>
  <c r="AI169" i="40"/>
  <c r="AH169" i="40"/>
  <c r="AG169" i="40"/>
  <c r="AF169" i="40"/>
  <c r="AE169" i="40"/>
  <c r="AD169" i="40"/>
  <c r="AC169" i="40"/>
  <c r="AB169" i="40"/>
  <c r="AA169" i="40"/>
  <c r="Z169" i="40"/>
  <c r="Y169" i="40"/>
  <c r="X169" i="40"/>
  <c r="W169" i="40"/>
  <c r="V169" i="40"/>
  <c r="AO168" i="40"/>
  <c r="AN168" i="40"/>
  <c r="AM168" i="40"/>
  <c r="AL168" i="40"/>
  <c r="AK168" i="40"/>
  <c r="AJ168" i="40"/>
  <c r="AI168" i="40"/>
  <c r="AH168" i="40"/>
  <c r="AG168" i="40"/>
  <c r="AF168" i="40"/>
  <c r="AE168" i="40"/>
  <c r="AD168" i="40"/>
  <c r="AC168" i="40"/>
  <c r="AC95" i="40" s="1"/>
  <c r="AB168" i="40"/>
  <c r="AA168" i="40"/>
  <c r="Z168" i="40"/>
  <c r="Y168" i="40"/>
  <c r="X168" i="40"/>
  <c r="W168" i="40"/>
  <c r="W95" i="40" s="1"/>
  <c r="V168" i="40"/>
  <c r="AO167" i="40"/>
  <c r="AN167" i="40"/>
  <c r="AM167" i="40"/>
  <c r="AL167" i="40"/>
  <c r="AK167" i="40"/>
  <c r="AJ167" i="40"/>
  <c r="AI167" i="40"/>
  <c r="AH167" i="40"/>
  <c r="AG167" i="40"/>
  <c r="AF167" i="40"/>
  <c r="AE167" i="40"/>
  <c r="AD167" i="40"/>
  <c r="AC167" i="40"/>
  <c r="AB167" i="40"/>
  <c r="AA167" i="40"/>
  <c r="Z167" i="40"/>
  <c r="Y167" i="40"/>
  <c r="Y94" i="40" s="1"/>
  <c r="X167" i="40"/>
  <c r="W167" i="40"/>
  <c r="V167" i="40"/>
  <c r="AO166" i="40"/>
  <c r="AN166" i="40"/>
  <c r="AM166" i="40"/>
  <c r="AL166" i="40"/>
  <c r="AK166" i="40"/>
  <c r="AJ166" i="40"/>
  <c r="AI166" i="40"/>
  <c r="AH166" i="40"/>
  <c r="AG166" i="40"/>
  <c r="AF166" i="40"/>
  <c r="AE166" i="40"/>
  <c r="AD166" i="40"/>
  <c r="AC166" i="40"/>
  <c r="AB166" i="40"/>
  <c r="AA166" i="40"/>
  <c r="Z166" i="40"/>
  <c r="Y166" i="40"/>
  <c r="X166" i="40"/>
  <c r="W166" i="40"/>
  <c r="V166" i="40"/>
  <c r="AO165" i="40"/>
  <c r="AN165" i="40"/>
  <c r="AM165" i="40"/>
  <c r="AL165" i="40"/>
  <c r="AK165" i="40"/>
  <c r="AJ165" i="40"/>
  <c r="AI165" i="40"/>
  <c r="AH165" i="40"/>
  <c r="AG165" i="40"/>
  <c r="AF165" i="40"/>
  <c r="AE165" i="40"/>
  <c r="AD165" i="40"/>
  <c r="AC165" i="40"/>
  <c r="AC92" i="40" s="1"/>
  <c r="AB165" i="40"/>
  <c r="AA165" i="40"/>
  <c r="Z165" i="40"/>
  <c r="Y165" i="40"/>
  <c r="X165" i="40"/>
  <c r="W165" i="40"/>
  <c r="W92" i="40" s="1"/>
  <c r="V165" i="40"/>
  <c r="AO164" i="40"/>
  <c r="AN164" i="40"/>
  <c r="AM164" i="40"/>
  <c r="AL164" i="40"/>
  <c r="AK164" i="40"/>
  <c r="AJ164" i="40"/>
  <c r="AI164" i="40"/>
  <c r="AH164" i="40"/>
  <c r="AG164" i="40"/>
  <c r="AF164" i="40"/>
  <c r="AE164" i="40"/>
  <c r="AD164" i="40"/>
  <c r="AC164" i="40"/>
  <c r="AB164" i="40"/>
  <c r="AA164" i="40"/>
  <c r="Z164" i="40"/>
  <c r="Y164" i="40"/>
  <c r="Y91" i="40" s="1"/>
  <c r="X164" i="40"/>
  <c r="W164" i="40"/>
  <c r="V164" i="40"/>
  <c r="AO163" i="40"/>
  <c r="AN163" i="40"/>
  <c r="AM163" i="40"/>
  <c r="AL163" i="40"/>
  <c r="AK163" i="40"/>
  <c r="AJ163" i="40"/>
  <c r="AI163" i="40"/>
  <c r="AH163" i="40"/>
  <c r="AG163" i="40"/>
  <c r="AF163" i="40"/>
  <c r="AE163" i="40"/>
  <c r="AD163" i="40"/>
  <c r="AC163" i="40"/>
  <c r="AB163" i="40"/>
  <c r="AA163" i="40"/>
  <c r="Z163" i="40"/>
  <c r="Y163" i="40"/>
  <c r="X163" i="40"/>
  <c r="W163" i="40"/>
  <c r="V163" i="40"/>
  <c r="AO162" i="40"/>
  <c r="AN162" i="40"/>
  <c r="AM162" i="40"/>
  <c r="AL162" i="40"/>
  <c r="AK162" i="40"/>
  <c r="AJ162" i="40"/>
  <c r="AI162" i="40"/>
  <c r="AH162" i="40"/>
  <c r="AG162" i="40"/>
  <c r="AF162" i="40"/>
  <c r="AE162" i="40"/>
  <c r="AD162" i="40"/>
  <c r="AC162" i="40"/>
  <c r="AC89" i="40" s="1"/>
  <c r="AB162" i="40"/>
  <c r="AA162" i="40"/>
  <c r="Z162" i="40"/>
  <c r="Y162" i="40"/>
  <c r="X162" i="40"/>
  <c r="W162" i="40"/>
  <c r="W89" i="40" s="1"/>
  <c r="V162" i="40"/>
  <c r="AO161" i="40"/>
  <c r="AN161" i="40"/>
  <c r="AM161" i="40"/>
  <c r="AL161" i="40"/>
  <c r="AK161" i="40"/>
  <c r="AJ161" i="40"/>
  <c r="AI161" i="40"/>
  <c r="AH161" i="40"/>
  <c r="AG161" i="40"/>
  <c r="AF161" i="40"/>
  <c r="AE161" i="40"/>
  <c r="AD161" i="40"/>
  <c r="AC161" i="40"/>
  <c r="AB161" i="40"/>
  <c r="AA161" i="40"/>
  <c r="Z161" i="40"/>
  <c r="Y161" i="40"/>
  <c r="Y88" i="40" s="1"/>
  <c r="X161" i="40"/>
  <c r="W161" i="40"/>
  <c r="V161" i="40"/>
  <c r="AO160" i="40"/>
  <c r="AN160" i="40"/>
  <c r="AM160" i="40"/>
  <c r="AL160" i="40"/>
  <c r="AK160" i="40"/>
  <c r="AJ160" i="40"/>
  <c r="AI160" i="40"/>
  <c r="AH160" i="40"/>
  <c r="AG160" i="40"/>
  <c r="AF160" i="40"/>
  <c r="AE160" i="40"/>
  <c r="AD160" i="40"/>
  <c r="AC160" i="40"/>
  <c r="AB160" i="40"/>
  <c r="AA160" i="40"/>
  <c r="Z160" i="40"/>
  <c r="Y160" i="40"/>
  <c r="X160" i="40"/>
  <c r="W160" i="40"/>
  <c r="V160" i="40"/>
  <c r="AO159" i="40"/>
  <c r="AN159" i="40"/>
  <c r="AM159" i="40"/>
  <c r="AL159" i="40"/>
  <c r="AK159" i="40"/>
  <c r="AJ159" i="40"/>
  <c r="AI159" i="40"/>
  <c r="AH159" i="40"/>
  <c r="AG159" i="40"/>
  <c r="AF159" i="40"/>
  <c r="AE159" i="40"/>
  <c r="AD159" i="40"/>
  <c r="AC159" i="40"/>
  <c r="AB159" i="40"/>
  <c r="AA159" i="40"/>
  <c r="Z159" i="40"/>
  <c r="Y159" i="40"/>
  <c r="X159" i="40"/>
  <c r="W159" i="40"/>
  <c r="V159" i="40"/>
  <c r="AO158" i="40"/>
  <c r="AN158" i="40"/>
  <c r="AM158" i="40"/>
  <c r="AL158" i="40"/>
  <c r="AK158" i="40"/>
  <c r="AJ158" i="40"/>
  <c r="AI158" i="40"/>
  <c r="AH158" i="40"/>
  <c r="AG158" i="40"/>
  <c r="AF158" i="40"/>
  <c r="AE158" i="40"/>
  <c r="AD158" i="40"/>
  <c r="AC158" i="40"/>
  <c r="AB158" i="40"/>
  <c r="AA158" i="40"/>
  <c r="Z158" i="40"/>
  <c r="Y158" i="40"/>
  <c r="X158" i="40"/>
  <c r="W158" i="40"/>
  <c r="V158" i="40"/>
  <c r="AO157" i="40"/>
  <c r="AN157" i="40"/>
  <c r="AM157" i="40"/>
  <c r="AL157" i="40"/>
  <c r="AK157" i="40"/>
  <c r="AJ157" i="40"/>
  <c r="AI157" i="40"/>
  <c r="AH157" i="40"/>
  <c r="AG157" i="40"/>
  <c r="AF157" i="40"/>
  <c r="AE157" i="40"/>
  <c r="AD157" i="40"/>
  <c r="AC157" i="40"/>
  <c r="AB157" i="40"/>
  <c r="AA157" i="40"/>
  <c r="Z157" i="40"/>
  <c r="Y157" i="40"/>
  <c r="X157" i="40"/>
  <c r="W157" i="40"/>
  <c r="V157" i="40"/>
  <c r="AO156" i="40"/>
  <c r="AN156" i="40"/>
  <c r="AM156" i="40"/>
  <c r="AL156" i="40"/>
  <c r="AK156" i="40"/>
  <c r="AJ156" i="40"/>
  <c r="AI156" i="40"/>
  <c r="AH156" i="40"/>
  <c r="AG156" i="40"/>
  <c r="AF156" i="40"/>
  <c r="AE156" i="40"/>
  <c r="AD156" i="40"/>
  <c r="AC156" i="40"/>
  <c r="AB156" i="40"/>
  <c r="AA156" i="40"/>
  <c r="Z156" i="40"/>
  <c r="Y156" i="40"/>
  <c r="X156" i="40"/>
  <c r="W156" i="40"/>
  <c r="V156" i="40"/>
  <c r="AO155" i="40"/>
  <c r="AN155" i="40"/>
  <c r="AM155" i="40"/>
  <c r="AL155" i="40"/>
  <c r="AK155" i="40"/>
  <c r="AJ155" i="40"/>
  <c r="AI155" i="40"/>
  <c r="AH155" i="40"/>
  <c r="AG155" i="40"/>
  <c r="AF155" i="40"/>
  <c r="AE155" i="40"/>
  <c r="AD155" i="40"/>
  <c r="AC155" i="40"/>
  <c r="AB155" i="40"/>
  <c r="AA155" i="40"/>
  <c r="Z155" i="40"/>
  <c r="Y155" i="40"/>
  <c r="X155" i="40"/>
  <c r="W155" i="40"/>
  <c r="V155" i="40"/>
  <c r="AO154" i="40"/>
  <c r="AN154" i="40"/>
  <c r="AM154" i="40"/>
  <c r="AL154" i="40"/>
  <c r="AK154" i="40"/>
  <c r="AJ154" i="40"/>
  <c r="AI154" i="40"/>
  <c r="AH154" i="40"/>
  <c r="AG154" i="40"/>
  <c r="AF154" i="40"/>
  <c r="AE154" i="40"/>
  <c r="AD154" i="40"/>
  <c r="AC154" i="40"/>
  <c r="AB154" i="40"/>
  <c r="AA154" i="40"/>
  <c r="Z154" i="40"/>
  <c r="Y154" i="40"/>
  <c r="X154" i="40"/>
  <c r="W154" i="40"/>
  <c r="V154" i="40"/>
  <c r="AO153" i="40"/>
  <c r="AN153" i="40"/>
  <c r="AM153" i="40"/>
  <c r="AL153" i="40"/>
  <c r="AK153" i="40"/>
  <c r="AJ153" i="40"/>
  <c r="AI153" i="40"/>
  <c r="AH153" i="40"/>
  <c r="AG153" i="40"/>
  <c r="AF153" i="40"/>
  <c r="AE153" i="40"/>
  <c r="AD153" i="40"/>
  <c r="AC153" i="40"/>
  <c r="AB153" i="40"/>
  <c r="AA153" i="40"/>
  <c r="Z153" i="40"/>
  <c r="Y153" i="40"/>
  <c r="X153" i="40"/>
  <c r="W153" i="40"/>
  <c r="V153" i="40"/>
  <c r="AO152" i="40"/>
  <c r="AN152" i="40"/>
  <c r="AM152" i="40"/>
  <c r="AL152" i="40"/>
  <c r="AK152" i="40"/>
  <c r="AJ152" i="40"/>
  <c r="AI152" i="40"/>
  <c r="AH152" i="40"/>
  <c r="AG152" i="40"/>
  <c r="AF152" i="40"/>
  <c r="AE152" i="40"/>
  <c r="AD152" i="40"/>
  <c r="AC152" i="40"/>
  <c r="AB152" i="40"/>
  <c r="AA152" i="40"/>
  <c r="Z152" i="40"/>
  <c r="Y152" i="40"/>
  <c r="X152" i="40"/>
  <c r="W152" i="40"/>
  <c r="V152" i="40"/>
  <c r="AO151" i="40"/>
  <c r="AN151" i="40"/>
  <c r="AM151" i="40"/>
  <c r="AL151" i="40"/>
  <c r="AK151" i="40"/>
  <c r="AJ151" i="40"/>
  <c r="AI151" i="40"/>
  <c r="AH151" i="40"/>
  <c r="AG151" i="40"/>
  <c r="AF151" i="40"/>
  <c r="AE151" i="40"/>
  <c r="AD151" i="40"/>
  <c r="AC151" i="40"/>
  <c r="AB151" i="40"/>
  <c r="AA151" i="40"/>
  <c r="Z151" i="40"/>
  <c r="Y151" i="40"/>
  <c r="X151" i="40"/>
  <c r="W151" i="40"/>
  <c r="V151" i="40"/>
  <c r="AO150" i="40"/>
  <c r="AN150" i="40"/>
  <c r="AM150" i="40"/>
  <c r="AL150" i="40"/>
  <c r="AK150" i="40"/>
  <c r="AJ150" i="40"/>
  <c r="AI150" i="40"/>
  <c r="AH150" i="40"/>
  <c r="AG150" i="40"/>
  <c r="AF150" i="40"/>
  <c r="AE150" i="40"/>
  <c r="AD150" i="40"/>
  <c r="AC150" i="40"/>
  <c r="AB150" i="40"/>
  <c r="AA150" i="40"/>
  <c r="Z150" i="40"/>
  <c r="Y150" i="40"/>
  <c r="X150" i="40"/>
  <c r="W150" i="40"/>
  <c r="V150" i="40"/>
  <c r="AO149" i="40"/>
  <c r="AN149" i="40"/>
  <c r="AM149" i="40"/>
  <c r="AL149" i="40"/>
  <c r="AK149" i="40"/>
  <c r="AJ149" i="40"/>
  <c r="AI149" i="40"/>
  <c r="AH149" i="40"/>
  <c r="AG149" i="40"/>
  <c r="AF149" i="40"/>
  <c r="AE149" i="40"/>
  <c r="AD149" i="40"/>
  <c r="AC149" i="40"/>
  <c r="AB149" i="40"/>
  <c r="AA149" i="40"/>
  <c r="Z149" i="40"/>
  <c r="Y149" i="40"/>
  <c r="X149" i="40"/>
  <c r="W149" i="40"/>
  <c r="V149" i="40"/>
  <c r="AO148" i="40"/>
  <c r="AN148" i="40"/>
  <c r="AM148" i="40"/>
  <c r="AL148" i="40"/>
  <c r="AK148" i="40"/>
  <c r="AJ148" i="40"/>
  <c r="AI148" i="40"/>
  <c r="AH148" i="40"/>
  <c r="AG148" i="40"/>
  <c r="AF148" i="40"/>
  <c r="AE148" i="40"/>
  <c r="AD148" i="40"/>
  <c r="AC148" i="40"/>
  <c r="AB148" i="40"/>
  <c r="AA148" i="40"/>
  <c r="Z148" i="40"/>
  <c r="Y148" i="40"/>
  <c r="X148" i="40"/>
  <c r="W148" i="40"/>
  <c r="V148" i="40"/>
  <c r="AO147" i="40"/>
  <c r="AN147" i="40"/>
  <c r="AM147" i="40"/>
  <c r="AL147" i="40"/>
  <c r="AK147" i="40"/>
  <c r="AJ147" i="40"/>
  <c r="AI147" i="40"/>
  <c r="AH147" i="40"/>
  <c r="AG147" i="40"/>
  <c r="AF147" i="40"/>
  <c r="AE147" i="40"/>
  <c r="AD147" i="40"/>
  <c r="AC147" i="40"/>
  <c r="AB147" i="40"/>
  <c r="AA147" i="40"/>
  <c r="Z147" i="40"/>
  <c r="Y147" i="40"/>
  <c r="X147" i="40"/>
  <c r="W147" i="40"/>
  <c r="V147" i="40"/>
  <c r="AO146" i="40"/>
  <c r="AN146" i="40"/>
  <c r="AM146" i="40"/>
  <c r="AL146" i="40"/>
  <c r="AK146" i="40"/>
  <c r="AJ146" i="40"/>
  <c r="AI146" i="40"/>
  <c r="AH146" i="40"/>
  <c r="AG146" i="40"/>
  <c r="AF146" i="40"/>
  <c r="AE146" i="40"/>
  <c r="AD146" i="40"/>
  <c r="AC146" i="40"/>
  <c r="AB146" i="40"/>
  <c r="AA146" i="40"/>
  <c r="Z146" i="40"/>
  <c r="Y146" i="40"/>
  <c r="X146" i="40"/>
  <c r="W146" i="40"/>
  <c r="V146" i="40"/>
  <c r="AO145" i="40"/>
  <c r="AN145" i="40"/>
  <c r="AM145" i="40"/>
  <c r="AL145" i="40"/>
  <c r="AK145" i="40"/>
  <c r="AJ145" i="40"/>
  <c r="AI145" i="40"/>
  <c r="AH145" i="40"/>
  <c r="AG145" i="40"/>
  <c r="AF145" i="40"/>
  <c r="AE145" i="40"/>
  <c r="AD145" i="40"/>
  <c r="AC145" i="40"/>
  <c r="AB145" i="40"/>
  <c r="AA145" i="40"/>
  <c r="Z145" i="40"/>
  <c r="Y145" i="40"/>
  <c r="X145" i="40"/>
  <c r="W145" i="40"/>
  <c r="V145" i="40"/>
  <c r="AO144" i="40"/>
  <c r="AN144" i="40"/>
  <c r="AM144" i="40"/>
  <c r="AL144" i="40"/>
  <c r="AK144" i="40"/>
  <c r="AJ144" i="40"/>
  <c r="AI144" i="40"/>
  <c r="AH144" i="40"/>
  <c r="AG144" i="40"/>
  <c r="AF144" i="40"/>
  <c r="AE144" i="40"/>
  <c r="AD144" i="40"/>
  <c r="AC144" i="40"/>
  <c r="AB144" i="40"/>
  <c r="AA144" i="40"/>
  <c r="Z144" i="40"/>
  <c r="Y144" i="40"/>
  <c r="X144" i="40"/>
  <c r="W144" i="40"/>
  <c r="V144" i="40"/>
  <c r="AO143" i="40"/>
  <c r="AN143" i="40"/>
  <c r="AM143" i="40"/>
  <c r="AL143" i="40"/>
  <c r="AK143" i="40"/>
  <c r="AJ143" i="40"/>
  <c r="AI143" i="40"/>
  <c r="AH143" i="40"/>
  <c r="AG143" i="40"/>
  <c r="AF143" i="40"/>
  <c r="AE143" i="40"/>
  <c r="AD143" i="40"/>
  <c r="AC143" i="40"/>
  <c r="AB143" i="40"/>
  <c r="AA143" i="40"/>
  <c r="Z143" i="40"/>
  <c r="Y143" i="40"/>
  <c r="X143" i="40"/>
  <c r="W143" i="40"/>
  <c r="V143" i="40"/>
  <c r="AO142" i="40"/>
  <c r="AN142" i="40"/>
  <c r="AM142" i="40"/>
  <c r="AL142" i="40"/>
  <c r="AK142" i="40"/>
  <c r="AJ142" i="40"/>
  <c r="AI142" i="40"/>
  <c r="AH142" i="40"/>
  <c r="AG142" i="40"/>
  <c r="AF142" i="40"/>
  <c r="AE142" i="40"/>
  <c r="AD142" i="40"/>
  <c r="AC142" i="40"/>
  <c r="AB142" i="40"/>
  <c r="AA142" i="40"/>
  <c r="Z142" i="40"/>
  <c r="Y142" i="40"/>
  <c r="X142" i="40"/>
  <c r="W142" i="40"/>
  <c r="V142" i="40"/>
  <c r="AO141" i="40"/>
  <c r="AN141" i="40"/>
  <c r="AM141" i="40"/>
  <c r="AL141" i="40"/>
  <c r="AK141" i="40"/>
  <c r="AJ141" i="40"/>
  <c r="AI141" i="40"/>
  <c r="AH141" i="40"/>
  <c r="AG141" i="40"/>
  <c r="AF141" i="40"/>
  <c r="AE141" i="40"/>
  <c r="AD141" i="40"/>
  <c r="AC141" i="40"/>
  <c r="AB141" i="40"/>
  <c r="AA141" i="40"/>
  <c r="Z141" i="40"/>
  <c r="Y141" i="40"/>
  <c r="X141" i="40"/>
  <c r="W141" i="40"/>
  <c r="V141" i="40"/>
  <c r="AO140" i="40"/>
  <c r="AN140" i="40"/>
  <c r="AM140" i="40"/>
  <c r="AL140" i="40"/>
  <c r="AK140" i="40"/>
  <c r="AJ140" i="40"/>
  <c r="AI140" i="40"/>
  <c r="AH140" i="40"/>
  <c r="AG140" i="40"/>
  <c r="AF140" i="40"/>
  <c r="AE140" i="40"/>
  <c r="AD140" i="40"/>
  <c r="AC140" i="40"/>
  <c r="AB140" i="40"/>
  <c r="AA140" i="40"/>
  <c r="Z140" i="40"/>
  <c r="Y140" i="40"/>
  <c r="X140" i="40"/>
  <c r="W140" i="40"/>
  <c r="V140" i="40"/>
  <c r="AO139" i="40"/>
  <c r="AN139" i="40"/>
  <c r="AM139" i="40"/>
  <c r="AL139" i="40"/>
  <c r="AK139" i="40"/>
  <c r="AJ139" i="40"/>
  <c r="AI139" i="40"/>
  <c r="AH139" i="40"/>
  <c r="AG139" i="40"/>
  <c r="AF139" i="40"/>
  <c r="AE139" i="40"/>
  <c r="AD139" i="40"/>
  <c r="AC139" i="40"/>
  <c r="AB139" i="40"/>
  <c r="AA139" i="40"/>
  <c r="Z139" i="40"/>
  <c r="Y139" i="40"/>
  <c r="X139" i="40"/>
  <c r="W139" i="40"/>
  <c r="V139" i="40"/>
  <c r="AO138" i="40"/>
  <c r="AN138" i="40"/>
  <c r="AM138" i="40"/>
  <c r="AL138" i="40"/>
  <c r="AK138" i="40"/>
  <c r="AJ138" i="40"/>
  <c r="AI138" i="40"/>
  <c r="AH138" i="40"/>
  <c r="AG138" i="40"/>
  <c r="AF138" i="40"/>
  <c r="AE138" i="40"/>
  <c r="AD138" i="40"/>
  <c r="AC138" i="40"/>
  <c r="AB138" i="40"/>
  <c r="AA138" i="40"/>
  <c r="Z138" i="40"/>
  <c r="Y138" i="40"/>
  <c r="X138" i="40"/>
  <c r="W138" i="40"/>
  <c r="V138" i="40"/>
  <c r="AO137" i="40"/>
  <c r="AN137" i="40"/>
  <c r="AM137" i="40"/>
  <c r="AL137" i="40"/>
  <c r="AK137" i="40"/>
  <c r="AJ137" i="40"/>
  <c r="AI137" i="40"/>
  <c r="AH137" i="40"/>
  <c r="AG137" i="40"/>
  <c r="AF137" i="40"/>
  <c r="AE137" i="40"/>
  <c r="AD137" i="40"/>
  <c r="AC137" i="40"/>
  <c r="AB137" i="40"/>
  <c r="AA137" i="40"/>
  <c r="Z137" i="40"/>
  <c r="Y137" i="40"/>
  <c r="X137" i="40"/>
  <c r="W137" i="40"/>
  <c r="V137" i="40"/>
  <c r="AO136" i="40"/>
  <c r="AN136" i="40"/>
  <c r="AM136" i="40"/>
  <c r="AL136" i="40"/>
  <c r="AK136" i="40"/>
  <c r="AJ136" i="40"/>
  <c r="AI136" i="40"/>
  <c r="AH136" i="40"/>
  <c r="AG136" i="40"/>
  <c r="AF136" i="40"/>
  <c r="AE136" i="40"/>
  <c r="AD136" i="40"/>
  <c r="AC136" i="40"/>
  <c r="AB136" i="40"/>
  <c r="AA136" i="40"/>
  <c r="Z136" i="40"/>
  <c r="Y136" i="40"/>
  <c r="X136" i="40"/>
  <c r="W136" i="40"/>
  <c r="V136" i="40"/>
  <c r="AO135" i="40"/>
  <c r="AN135" i="40"/>
  <c r="AM135" i="40"/>
  <c r="AL135" i="40"/>
  <c r="AK135" i="40"/>
  <c r="AJ135" i="40"/>
  <c r="AI135" i="40"/>
  <c r="AH135" i="40"/>
  <c r="AG135" i="40"/>
  <c r="AF135" i="40"/>
  <c r="AE135" i="40"/>
  <c r="AD135" i="40"/>
  <c r="AC135" i="40"/>
  <c r="AB135" i="40"/>
  <c r="AA135" i="40"/>
  <c r="Z135" i="40"/>
  <c r="Y135" i="40"/>
  <c r="X135" i="40"/>
  <c r="W135" i="40"/>
  <c r="V135" i="40"/>
  <c r="AO134" i="40"/>
  <c r="AN134" i="40"/>
  <c r="AM134" i="40"/>
  <c r="AL134" i="40"/>
  <c r="AK134" i="40"/>
  <c r="AJ134" i="40"/>
  <c r="AI134" i="40"/>
  <c r="AH134" i="40"/>
  <c r="AG134" i="40"/>
  <c r="AF134" i="40"/>
  <c r="AE134" i="40"/>
  <c r="AD134" i="40"/>
  <c r="AC134" i="40"/>
  <c r="AB134" i="40"/>
  <c r="AA134" i="40"/>
  <c r="Z134" i="40"/>
  <c r="Y134" i="40"/>
  <c r="X134" i="40"/>
  <c r="W134" i="40"/>
  <c r="V134" i="40"/>
  <c r="AO133" i="40"/>
  <c r="AN133" i="40"/>
  <c r="AM133" i="40"/>
  <c r="AL133" i="40"/>
  <c r="AK133" i="40"/>
  <c r="AJ133" i="40"/>
  <c r="AI133" i="40"/>
  <c r="AH133" i="40"/>
  <c r="AG133" i="40"/>
  <c r="AF133" i="40"/>
  <c r="AE133" i="40"/>
  <c r="AD133" i="40"/>
  <c r="AC133" i="40"/>
  <c r="AB133" i="40"/>
  <c r="AA133" i="40"/>
  <c r="Z133" i="40"/>
  <c r="Y133" i="40"/>
  <c r="X133" i="40"/>
  <c r="W133" i="40"/>
  <c r="V133" i="40"/>
  <c r="AO132" i="40"/>
  <c r="AN132" i="40"/>
  <c r="AM132" i="40"/>
  <c r="AL132" i="40"/>
  <c r="AK132" i="40"/>
  <c r="AJ132" i="40"/>
  <c r="AI132" i="40"/>
  <c r="AH132" i="40"/>
  <c r="AG132" i="40"/>
  <c r="AF132" i="40"/>
  <c r="AE132" i="40"/>
  <c r="AD132" i="40"/>
  <c r="AC132" i="40"/>
  <c r="AB132" i="40"/>
  <c r="AA132" i="40"/>
  <c r="Z132" i="40"/>
  <c r="Y132" i="40"/>
  <c r="X132" i="40"/>
  <c r="W132" i="40"/>
  <c r="V132" i="40"/>
  <c r="AO131" i="40"/>
  <c r="AN131" i="40"/>
  <c r="AM131" i="40"/>
  <c r="AL131" i="40"/>
  <c r="AK131" i="40"/>
  <c r="AJ131" i="40"/>
  <c r="AI131" i="40"/>
  <c r="AH131" i="40"/>
  <c r="AG131" i="40"/>
  <c r="AF131" i="40"/>
  <c r="AE131" i="40"/>
  <c r="AD131" i="40"/>
  <c r="AC131" i="40"/>
  <c r="AB131" i="40"/>
  <c r="AA131" i="40"/>
  <c r="Z131" i="40"/>
  <c r="Y131" i="40"/>
  <c r="X131" i="40"/>
  <c r="W131" i="40"/>
  <c r="V131" i="40"/>
  <c r="AO130" i="40"/>
  <c r="AN130" i="40"/>
  <c r="AM130" i="40"/>
  <c r="AL130" i="40"/>
  <c r="AK130" i="40"/>
  <c r="AJ130" i="40"/>
  <c r="AI130" i="40"/>
  <c r="AH130" i="40"/>
  <c r="AG130" i="40"/>
  <c r="AF130" i="40"/>
  <c r="AE130" i="40"/>
  <c r="AD130" i="40"/>
  <c r="AC130" i="40"/>
  <c r="AB130" i="40"/>
  <c r="AA130" i="40"/>
  <c r="Z130" i="40"/>
  <c r="Y130" i="40"/>
  <c r="X130" i="40"/>
  <c r="W130" i="40"/>
  <c r="V130" i="40"/>
  <c r="AO129" i="40"/>
  <c r="AN129" i="40"/>
  <c r="AM129" i="40"/>
  <c r="AL129" i="40"/>
  <c r="AK129" i="40"/>
  <c r="AJ129" i="40"/>
  <c r="AI129" i="40"/>
  <c r="AH129" i="40"/>
  <c r="AG129" i="40"/>
  <c r="AF129" i="40"/>
  <c r="AE129" i="40"/>
  <c r="AD129" i="40"/>
  <c r="AC129" i="40"/>
  <c r="AB129" i="40"/>
  <c r="AA129" i="40"/>
  <c r="Z129" i="40"/>
  <c r="Y129" i="40"/>
  <c r="X129" i="40"/>
  <c r="W129" i="40"/>
  <c r="V129" i="40"/>
  <c r="AO128" i="40"/>
  <c r="AN128" i="40"/>
  <c r="AM128" i="40"/>
  <c r="AL128" i="40"/>
  <c r="AK128" i="40"/>
  <c r="AJ128" i="40"/>
  <c r="AI128" i="40"/>
  <c r="AH128" i="40"/>
  <c r="AG128" i="40"/>
  <c r="AF128" i="40"/>
  <c r="AE128" i="40"/>
  <c r="AD128" i="40"/>
  <c r="AC128" i="40"/>
  <c r="AB128" i="40"/>
  <c r="AA128" i="40"/>
  <c r="Z128" i="40"/>
  <c r="Y128" i="40"/>
  <c r="X128" i="40"/>
  <c r="W128" i="40"/>
  <c r="V128" i="40"/>
  <c r="AO127" i="40"/>
  <c r="AN127" i="40"/>
  <c r="AM127" i="40"/>
  <c r="AL127" i="40"/>
  <c r="AK127" i="40"/>
  <c r="AJ127" i="40"/>
  <c r="AI127" i="40"/>
  <c r="AH127" i="40"/>
  <c r="AG127" i="40"/>
  <c r="AF127" i="40"/>
  <c r="AE127" i="40"/>
  <c r="AD127" i="40"/>
  <c r="AC127" i="40"/>
  <c r="AB127" i="40"/>
  <c r="AA127" i="40"/>
  <c r="Z127" i="40"/>
  <c r="Y127" i="40"/>
  <c r="X127" i="40"/>
  <c r="W127" i="40"/>
  <c r="V127" i="40"/>
  <c r="AO126" i="40"/>
  <c r="AN126" i="40"/>
  <c r="AM126" i="40"/>
  <c r="AL126" i="40"/>
  <c r="AK126" i="40"/>
  <c r="AJ126" i="40"/>
  <c r="AI126" i="40"/>
  <c r="AH126" i="40"/>
  <c r="AG126" i="40"/>
  <c r="AF126" i="40"/>
  <c r="AE126" i="40"/>
  <c r="AD126" i="40"/>
  <c r="AC126" i="40"/>
  <c r="AB126" i="40"/>
  <c r="AA126" i="40"/>
  <c r="Z126" i="40"/>
  <c r="Y126" i="40"/>
  <c r="X126" i="40"/>
  <c r="W126" i="40"/>
  <c r="V126" i="40"/>
  <c r="AO125" i="40"/>
  <c r="AN125" i="40"/>
  <c r="AM125" i="40"/>
  <c r="AL125" i="40"/>
  <c r="AK125" i="40"/>
  <c r="AJ125" i="40"/>
  <c r="AI125" i="40"/>
  <c r="AH125" i="40"/>
  <c r="AG125" i="40"/>
  <c r="AF125" i="40"/>
  <c r="AE125" i="40"/>
  <c r="AD125" i="40"/>
  <c r="AC125" i="40"/>
  <c r="AB125" i="40"/>
  <c r="AA125" i="40"/>
  <c r="Z125" i="40"/>
  <c r="Y125" i="40"/>
  <c r="X125" i="40"/>
  <c r="W125" i="40"/>
  <c r="V125" i="40"/>
  <c r="AO124" i="40"/>
  <c r="AN124" i="40"/>
  <c r="AM124" i="40"/>
  <c r="AL124" i="40"/>
  <c r="AK124" i="40"/>
  <c r="AJ124" i="40"/>
  <c r="AI124" i="40"/>
  <c r="AH124" i="40"/>
  <c r="AG124" i="40"/>
  <c r="AF124" i="40"/>
  <c r="AE124" i="40"/>
  <c r="AD124" i="40"/>
  <c r="AC124" i="40"/>
  <c r="AB124" i="40"/>
  <c r="AA124" i="40"/>
  <c r="Z124" i="40"/>
  <c r="Y124" i="40"/>
  <c r="X124" i="40"/>
  <c r="W124" i="40"/>
  <c r="V124" i="40"/>
  <c r="AO123" i="40"/>
  <c r="AN123" i="40"/>
  <c r="AM123" i="40"/>
  <c r="AL123" i="40"/>
  <c r="AK123" i="40"/>
  <c r="AJ123" i="40"/>
  <c r="AI123" i="40"/>
  <c r="AH123" i="40"/>
  <c r="AG123" i="40"/>
  <c r="AF123" i="40"/>
  <c r="AE123" i="40"/>
  <c r="AD123" i="40"/>
  <c r="AC123" i="40"/>
  <c r="AB123" i="40"/>
  <c r="AA123" i="40"/>
  <c r="Z123" i="40"/>
  <c r="Y123" i="40"/>
  <c r="X123" i="40"/>
  <c r="W123" i="40"/>
  <c r="V123" i="40"/>
  <c r="AO122" i="40"/>
  <c r="AN122" i="40"/>
  <c r="AM122" i="40"/>
  <c r="AL122" i="40"/>
  <c r="AK122" i="40"/>
  <c r="AJ122" i="40"/>
  <c r="AI122" i="40"/>
  <c r="AH122" i="40"/>
  <c r="AG122" i="40"/>
  <c r="AF122" i="40"/>
  <c r="AE122" i="40"/>
  <c r="AD122" i="40"/>
  <c r="AC122" i="40"/>
  <c r="AB122" i="40"/>
  <c r="AA122" i="40"/>
  <c r="Z122" i="40"/>
  <c r="Y122" i="40"/>
  <c r="X122" i="40"/>
  <c r="W122" i="40"/>
  <c r="V122" i="40"/>
  <c r="AO121" i="40"/>
  <c r="AN121" i="40"/>
  <c r="AM121" i="40"/>
  <c r="AL121" i="40"/>
  <c r="AK121" i="40"/>
  <c r="AJ121" i="40"/>
  <c r="AI121" i="40"/>
  <c r="AH121" i="40"/>
  <c r="AG121" i="40"/>
  <c r="AF121" i="40"/>
  <c r="AE121" i="40"/>
  <c r="AD121" i="40"/>
  <c r="AC121" i="40"/>
  <c r="AB121" i="40"/>
  <c r="AA121" i="40"/>
  <c r="Z121" i="40"/>
  <c r="Y121" i="40"/>
  <c r="X121" i="40"/>
  <c r="W121" i="40"/>
  <c r="V121" i="40"/>
  <c r="AO120" i="40"/>
  <c r="AN120" i="40"/>
  <c r="AM120" i="40"/>
  <c r="AL120" i="40"/>
  <c r="AK120" i="40"/>
  <c r="AJ120" i="40"/>
  <c r="AI120" i="40"/>
  <c r="AH120" i="40"/>
  <c r="AG120" i="40"/>
  <c r="AF120" i="40"/>
  <c r="AE120" i="40"/>
  <c r="AD120" i="40"/>
  <c r="AC120" i="40"/>
  <c r="AB120" i="40"/>
  <c r="AA120" i="40"/>
  <c r="Z120" i="40"/>
  <c r="Y120" i="40"/>
  <c r="X120" i="40"/>
  <c r="W120" i="40"/>
  <c r="V120" i="40"/>
  <c r="AO119" i="40"/>
  <c r="AN119" i="40"/>
  <c r="AM119" i="40"/>
  <c r="AL119" i="40"/>
  <c r="AK119" i="40"/>
  <c r="AJ119" i="40"/>
  <c r="AI119" i="40"/>
  <c r="AH119" i="40"/>
  <c r="AG119" i="40"/>
  <c r="AF119" i="40"/>
  <c r="AE119" i="40"/>
  <c r="AD119" i="40"/>
  <c r="AC119" i="40"/>
  <c r="AB119" i="40"/>
  <c r="AA119" i="40"/>
  <c r="Z119" i="40"/>
  <c r="Y119" i="40"/>
  <c r="X119" i="40"/>
  <c r="W119" i="40"/>
  <c r="V119" i="40"/>
  <c r="AO118" i="40"/>
  <c r="AN118" i="40"/>
  <c r="AM118" i="40"/>
  <c r="AL118" i="40"/>
  <c r="AK118" i="40"/>
  <c r="AJ118" i="40"/>
  <c r="AI118" i="40"/>
  <c r="AH118" i="40"/>
  <c r="AG118" i="40"/>
  <c r="AF118" i="40"/>
  <c r="AE118" i="40"/>
  <c r="AD118" i="40"/>
  <c r="AC118" i="40"/>
  <c r="AB118" i="40"/>
  <c r="AA118" i="40"/>
  <c r="Z118" i="40"/>
  <c r="Y118" i="40"/>
  <c r="X118" i="40"/>
  <c r="W118" i="40"/>
  <c r="V118" i="40"/>
  <c r="AO117" i="40"/>
  <c r="AN117" i="40"/>
  <c r="AM117" i="40"/>
  <c r="AL117" i="40"/>
  <c r="AK117" i="40"/>
  <c r="AJ117" i="40"/>
  <c r="AI117" i="40"/>
  <c r="AH117" i="40"/>
  <c r="AG117" i="40"/>
  <c r="AF117" i="40"/>
  <c r="AE117" i="40"/>
  <c r="AD117" i="40"/>
  <c r="AC117" i="40"/>
  <c r="AB117" i="40"/>
  <c r="AA117" i="40"/>
  <c r="Z117" i="40"/>
  <c r="Y117" i="40"/>
  <c r="X117" i="40"/>
  <c r="W117" i="40"/>
  <c r="V117" i="40"/>
  <c r="AO116" i="40"/>
  <c r="AN116" i="40"/>
  <c r="AM116" i="40"/>
  <c r="AL116" i="40"/>
  <c r="AK116" i="40"/>
  <c r="AJ116" i="40"/>
  <c r="AI116" i="40"/>
  <c r="AH116" i="40"/>
  <c r="AG116" i="40"/>
  <c r="AF116" i="40"/>
  <c r="AE116" i="40"/>
  <c r="AD116" i="40"/>
  <c r="AC116" i="40"/>
  <c r="AB116" i="40"/>
  <c r="AA116" i="40"/>
  <c r="Z116" i="40"/>
  <c r="Y116" i="40"/>
  <c r="X116" i="40"/>
  <c r="W116" i="40"/>
  <c r="V116" i="40"/>
  <c r="AO115" i="40"/>
  <c r="AN115" i="40"/>
  <c r="AM115" i="40"/>
  <c r="AL115" i="40"/>
  <c r="AK115" i="40"/>
  <c r="AJ115" i="40"/>
  <c r="AI115" i="40"/>
  <c r="AH115" i="40"/>
  <c r="AG115" i="40"/>
  <c r="AF115" i="40"/>
  <c r="AE115" i="40"/>
  <c r="AD115" i="40"/>
  <c r="AC115" i="40"/>
  <c r="AB115" i="40"/>
  <c r="AA115" i="40"/>
  <c r="Z115" i="40"/>
  <c r="Y115" i="40"/>
  <c r="X115" i="40"/>
  <c r="W115" i="40"/>
  <c r="V115" i="40"/>
  <c r="AO114" i="40"/>
  <c r="AN114" i="40"/>
  <c r="AM114" i="40"/>
  <c r="AL114" i="40"/>
  <c r="AK114" i="40"/>
  <c r="AJ114" i="40"/>
  <c r="AI114" i="40"/>
  <c r="AH114" i="40"/>
  <c r="AG114" i="40"/>
  <c r="AF114" i="40"/>
  <c r="AE114" i="40"/>
  <c r="AD114" i="40"/>
  <c r="AC114" i="40"/>
  <c r="AB114" i="40"/>
  <c r="AA114" i="40"/>
  <c r="Z114" i="40"/>
  <c r="Y114" i="40"/>
  <c r="X114" i="40"/>
  <c r="W114" i="40"/>
  <c r="V114" i="40"/>
  <c r="AO113" i="40"/>
  <c r="AN113" i="40"/>
  <c r="AM113" i="40"/>
  <c r="AL113" i="40"/>
  <c r="AK113" i="40"/>
  <c r="AJ113" i="40"/>
  <c r="AI113" i="40"/>
  <c r="AH113" i="40"/>
  <c r="AG113" i="40"/>
  <c r="AF113" i="40"/>
  <c r="AE113" i="40"/>
  <c r="AD113" i="40"/>
  <c r="AC113" i="40"/>
  <c r="AB113" i="40"/>
  <c r="AA113" i="40"/>
  <c r="Z113" i="40"/>
  <c r="Y113" i="40"/>
  <c r="X113" i="40"/>
  <c r="W113" i="40"/>
  <c r="V113" i="40"/>
  <c r="AO112" i="40"/>
  <c r="AN112" i="40"/>
  <c r="AM112" i="40"/>
  <c r="AL112" i="40"/>
  <c r="AK112" i="40"/>
  <c r="AJ112" i="40"/>
  <c r="AI112" i="40"/>
  <c r="AH112" i="40"/>
  <c r="AG112" i="40"/>
  <c r="AF112" i="40"/>
  <c r="AE112" i="40"/>
  <c r="AD112" i="40"/>
  <c r="AC112" i="40"/>
  <c r="AB112" i="40"/>
  <c r="AA112" i="40"/>
  <c r="Z112" i="40"/>
  <c r="Y112" i="40"/>
  <c r="X112" i="40"/>
  <c r="W112" i="40"/>
  <c r="V112" i="40"/>
  <c r="AO111" i="40"/>
  <c r="AN111" i="40"/>
  <c r="AM111" i="40"/>
  <c r="AL111" i="40"/>
  <c r="AK111" i="40"/>
  <c r="AJ111" i="40"/>
  <c r="AI111" i="40"/>
  <c r="AH111" i="40"/>
  <c r="AG111" i="40"/>
  <c r="AF111" i="40"/>
  <c r="AE111" i="40"/>
  <c r="AD111" i="40"/>
  <c r="AC111" i="40"/>
  <c r="AB111" i="40"/>
  <c r="AA111" i="40"/>
  <c r="Z111" i="40"/>
  <c r="Y111" i="40"/>
  <c r="X111" i="40"/>
  <c r="W111" i="40"/>
  <c r="V111" i="40"/>
  <c r="AO110" i="40"/>
  <c r="AN110" i="40"/>
  <c r="AM110" i="40"/>
  <c r="AL110" i="40"/>
  <c r="AK110" i="40"/>
  <c r="AJ110" i="40"/>
  <c r="AI110" i="40"/>
  <c r="AH110" i="40"/>
  <c r="AG110" i="40"/>
  <c r="AF110" i="40"/>
  <c r="AE110" i="40"/>
  <c r="AD110" i="40"/>
  <c r="AC110" i="40"/>
  <c r="AB110" i="40"/>
  <c r="AA110" i="40"/>
  <c r="Z110" i="40"/>
  <c r="Y110" i="40"/>
  <c r="X110" i="40"/>
  <c r="W110" i="40"/>
  <c r="V110" i="40"/>
  <c r="AO109" i="40"/>
  <c r="AN109" i="40"/>
  <c r="AM109" i="40"/>
  <c r="AL109" i="40"/>
  <c r="AK109" i="40"/>
  <c r="AJ109" i="40"/>
  <c r="AI109" i="40"/>
  <c r="AH109" i="40"/>
  <c r="AG109" i="40"/>
  <c r="AF109" i="40"/>
  <c r="AE109" i="40"/>
  <c r="AD109" i="40"/>
  <c r="AC109" i="40"/>
  <c r="AB109" i="40"/>
  <c r="AA109" i="40"/>
  <c r="Z109" i="40"/>
  <c r="Y109" i="40"/>
  <c r="X109" i="40"/>
  <c r="W109" i="40"/>
  <c r="V109" i="40"/>
  <c r="AO108" i="40"/>
  <c r="AN108" i="40"/>
  <c r="AM108" i="40"/>
  <c r="AL108" i="40"/>
  <c r="AK108" i="40"/>
  <c r="AJ108" i="40"/>
  <c r="AI108" i="40"/>
  <c r="AH108" i="40"/>
  <c r="AG108" i="40"/>
  <c r="AF108" i="40"/>
  <c r="AE108" i="40"/>
  <c r="AD108" i="40"/>
  <c r="AC108" i="40"/>
  <c r="AB108" i="40"/>
  <c r="AA108" i="40"/>
  <c r="Z108" i="40"/>
  <c r="Y108" i="40"/>
  <c r="X108" i="40"/>
  <c r="W108" i="40"/>
  <c r="V108" i="40"/>
  <c r="AO107" i="40"/>
  <c r="AN107" i="40"/>
  <c r="AM107" i="40"/>
  <c r="AL107" i="40"/>
  <c r="AK107" i="40"/>
  <c r="AJ107" i="40"/>
  <c r="AI107" i="40"/>
  <c r="AH107" i="40"/>
  <c r="AG107" i="40"/>
  <c r="AF107" i="40"/>
  <c r="AE107" i="40"/>
  <c r="AD107" i="40"/>
  <c r="AC107" i="40"/>
  <c r="AB107" i="40"/>
  <c r="AA107" i="40"/>
  <c r="Z107" i="40"/>
  <c r="Y107" i="40"/>
  <c r="X107" i="40"/>
  <c r="W107" i="40"/>
  <c r="V107" i="40"/>
  <c r="AO106" i="40"/>
  <c r="AN106" i="40"/>
  <c r="AM106" i="40"/>
  <c r="AL106" i="40"/>
  <c r="AK106" i="40"/>
  <c r="AJ106" i="40"/>
  <c r="AI106" i="40"/>
  <c r="AH106" i="40"/>
  <c r="AG106" i="40"/>
  <c r="AF106" i="40"/>
  <c r="AE106" i="40"/>
  <c r="AD106" i="40"/>
  <c r="AC106" i="40"/>
  <c r="AB106" i="40"/>
  <c r="AA106" i="40"/>
  <c r="Z106" i="40"/>
  <c r="Y106" i="40"/>
  <c r="X106" i="40"/>
  <c r="W106" i="40"/>
  <c r="V106" i="40"/>
  <c r="AO105" i="40"/>
  <c r="AN105" i="40"/>
  <c r="AM105" i="40"/>
  <c r="AL105" i="40"/>
  <c r="AK105" i="40"/>
  <c r="AJ105" i="40"/>
  <c r="AI105" i="40"/>
  <c r="AH105" i="40"/>
  <c r="AG105" i="40"/>
  <c r="AF105" i="40"/>
  <c r="AE105" i="40"/>
  <c r="AD105" i="40"/>
  <c r="AC105" i="40"/>
  <c r="AB105" i="40"/>
  <c r="AA105" i="40"/>
  <c r="Z105" i="40"/>
  <c r="Y105" i="40"/>
  <c r="X105" i="40"/>
  <c r="W105" i="40"/>
  <c r="V105" i="40"/>
  <c r="AO104" i="40"/>
  <c r="AN104" i="40"/>
  <c r="AM104" i="40"/>
  <c r="AL104" i="40"/>
  <c r="AK104" i="40"/>
  <c r="AJ104" i="40"/>
  <c r="AI104" i="40"/>
  <c r="AH104" i="40"/>
  <c r="AG104" i="40"/>
  <c r="AF104" i="40"/>
  <c r="AE104" i="40"/>
  <c r="AD104" i="40"/>
  <c r="AC104" i="40"/>
  <c r="AB104" i="40"/>
  <c r="AA104" i="40"/>
  <c r="Z104" i="40"/>
  <c r="Y104" i="40"/>
  <c r="X104" i="40"/>
  <c r="W104" i="40"/>
  <c r="V104" i="40"/>
  <c r="AO103" i="40"/>
  <c r="AN103" i="40"/>
  <c r="AM103" i="40"/>
  <c r="AL103" i="40"/>
  <c r="AK103" i="40"/>
  <c r="AJ103" i="40"/>
  <c r="AI103" i="40"/>
  <c r="AH103" i="40"/>
  <c r="AG103" i="40"/>
  <c r="AF103" i="40"/>
  <c r="AE103" i="40"/>
  <c r="AD103" i="40"/>
  <c r="AC103" i="40"/>
  <c r="AB103" i="40"/>
  <c r="AA103" i="40"/>
  <c r="Z103" i="40"/>
  <c r="Y103" i="40"/>
  <c r="X103" i="40"/>
  <c r="W103" i="40"/>
  <c r="V103" i="40"/>
  <c r="AO102" i="40"/>
  <c r="AN102" i="40"/>
  <c r="AM102" i="40"/>
  <c r="AL102" i="40"/>
  <c r="AK102" i="40"/>
  <c r="AJ102" i="40"/>
  <c r="AI102" i="40"/>
  <c r="AH102" i="40"/>
  <c r="AG102" i="40"/>
  <c r="AF102" i="40"/>
  <c r="AE102" i="40"/>
  <c r="AD102" i="40"/>
  <c r="AC102" i="40"/>
  <c r="AB102" i="40"/>
  <c r="AA102" i="40"/>
  <c r="Z102" i="40"/>
  <c r="Y102" i="40"/>
  <c r="X102" i="40"/>
  <c r="W102" i="40"/>
  <c r="V102" i="40"/>
  <c r="AO101" i="40"/>
  <c r="AN101" i="40"/>
  <c r="AM101" i="40"/>
  <c r="AL101" i="40"/>
  <c r="AK101" i="40"/>
  <c r="AJ101" i="40"/>
  <c r="AI101" i="40"/>
  <c r="AH101" i="40"/>
  <c r="AG101" i="40"/>
  <c r="AF101" i="40"/>
  <c r="AE101" i="40"/>
  <c r="AD101" i="40"/>
  <c r="AC101" i="40"/>
  <c r="AB101" i="40"/>
  <c r="AA101" i="40"/>
  <c r="Z101" i="40"/>
  <c r="Y101" i="40"/>
  <c r="X101" i="40"/>
  <c r="W101" i="40"/>
  <c r="V101" i="40"/>
  <c r="AO100" i="40"/>
  <c r="AN100" i="40"/>
  <c r="AM100" i="40"/>
  <c r="AL100" i="40"/>
  <c r="AK100" i="40"/>
  <c r="AJ100" i="40"/>
  <c r="AI100" i="40"/>
  <c r="AH100" i="40"/>
  <c r="AG100" i="40"/>
  <c r="AF100" i="40"/>
  <c r="AE100" i="40"/>
  <c r="AD100" i="40"/>
  <c r="AC100" i="40"/>
  <c r="AB100" i="40"/>
  <c r="AA100" i="40"/>
  <c r="Z100" i="40"/>
  <c r="Y100" i="40"/>
  <c r="X100" i="40"/>
  <c r="W100" i="40"/>
  <c r="V100" i="40"/>
  <c r="AV95" i="40"/>
  <c r="AD95" i="40"/>
  <c r="AB95" i="40"/>
  <c r="AA95" i="40"/>
  <c r="Z95" i="40"/>
  <c r="Y95" i="40"/>
  <c r="X95" i="40"/>
  <c r="V95" i="40"/>
  <c r="AV94" i="40"/>
  <c r="AD94" i="40"/>
  <c r="AC94" i="40"/>
  <c r="AB94" i="40"/>
  <c r="AA94" i="40"/>
  <c r="Z94" i="40"/>
  <c r="X94" i="40"/>
  <c r="W94" i="40"/>
  <c r="V94" i="40"/>
  <c r="AV93" i="40"/>
  <c r="AD93" i="40"/>
  <c r="AC93" i="40"/>
  <c r="AB93" i="40"/>
  <c r="AA93" i="40"/>
  <c r="Z93" i="40"/>
  <c r="Y93" i="40"/>
  <c r="X93" i="40"/>
  <c r="W93" i="40"/>
  <c r="V93" i="40"/>
  <c r="AV92" i="40"/>
  <c r="AD92" i="40"/>
  <c r="AB92" i="40"/>
  <c r="AA92" i="40"/>
  <c r="Z92" i="40"/>
  <c r="Y92" i="40"/>
  <c r="X92" i="40"/>
  <c r="V92" i="40"/>
  <c r="AV91" i="40"/>
  <c r="AD91" i="40"/>
  <c r="AC91" i="40"/>
  <c r="AB91" i="40"/>
  <c r="AA91" i="40"/>
  <c r="Z91" i="40"/>
  <c r="X91" i="40"/>
  <c r="W91" i="40"/>
  <c r="V91" i="40"/>
  <c r="AV90" i="40"/>
  <c r="AD90" i="40"/>
  <c r="AC90" i="40"/>
  <c r="AB90" i="40"/>
  <c r="AA90" i="40"/>
  <c r="Z90" i="40"/>
  <c r="Y90" i="40"/>
  <c r="X90" i="40"/>
  <c r="W90" i="40"/>
  <c r="V90" i="40"/>
  <c r="AV89" i="40"/>
  <c r="AD89" i="40"/>
  <c r="AB89" i="40"/>
  <c r="AA89" i="40"/>
  <c r="Z89" i="40"/>
  <c r="Y89" i="40"/>
  <c r="X89" i="40"/>
  <c r="V89" i="40"/>
  <c r="AV88" i="40"/>
  <c r="AD88" i="40"/>
  <c r="AC88" i="40"/>
  <c r="AB88" i="40"/>
  <c r="AA88" i="40"/>
  <c r="Z88" i="40"/>
  <c r="X88" i="40"/>
  <c r="W88" i="40"/>
  <c r="V88" i="40"/>
  <c r="AV87" i="40"/>
  <c r="AD87" i="40"/>
  <c r="AC87" i="40"/>
  <c r="AB87" i="40"/>
  <c r="AA87" i="40"/>
  <c r="Z87" i="40"/>
  <c r="Y87" i="40"/>
  <c r="X87" i="40"/>
  <c r="W87" i="40"/>
  <c r="V87" i="40"/>
  <c r="AV86" i="40"/>
  <c r="AV85" i="40"/>
  <c r="AV84" i="40"/>
  <c r="AV83" i="40"/>
  <c r="AV82" i="40"/>
  <c r="Z82" i="40"/>
  <c r="Y82" i="40"/>
  <c r="X82" i="40"/>
  <c r="W82" i="40"/>
  <c r="V82" i="40"/>
  <c r="AV81" i="40"/>
  <c r="Z81" i="40"/>
  <c r="Y81" i="40"/>
  <c r="X81" i="40"/>
  <c r="W81" i="40"/>
  <c r="V81" i="40"/>
  <c r="AV80" i="40"/>
  <c r="Z80" i="40"/>
  <c r="Y80" i="40"/>
  <c r="X80" i="40"/>
  <c r="W80" i="40"/>
  <c r="V80" i="40"/>
  <c r="AV79" i="40"/>
  <c r="Z79" i="40"/>
  <c r="Y79" i="40"/>
  <c r="X79" i="40"/>
  <c r="W79" i="40"/>
  <c r="V79" i="40"/>
  <c r="AV78" i="40"/>
  <c r="Z78" i="40"/>
  <c r="Y78" i="40"/>
  <c r="X78" i="40"/>
  <c r="W78" i="40"/>
  <c r="V78" i="40"/>
  <c r="AV77" i="40"/>
  <c r="Z77" i="40"/>
  <c r="Y77" i="40"/>
  <c r="X77" i="40"/>
  <c r="W77" i="40"/>
  <c r="V77" i="40"/>
  <c r="AV76" i="40"/>
  <c r="Z76" i="40"/>
  <c r="Y76" i="40"/>
  <c r="X76" i="40"/>
  <c r="W76" i="40"/>
  <c r="V76" i="40"/>
  <c r="AV75" i="40"/>
  <c r="Z75" i="40"/>
  <c r="Y75" i="40"/>
  <c r="X75" i="40"/>
  <c r="W75" i="40"/>
  <c r="V75" i="40"/>
  <c r="AV74" i="40"/>
  <c r="Z74" i="40"/>
  <c r="Y74" i="40"/>
  <c r="X74" i="40"/>
  <c r="W74" i="40"/>
  <c r="V74" i="40"/>
  <c r="AV73" i="40"/>
  <c r="Z73" i="40"/>
  <c r="Y73" i="40"/>
  <c r="X73" i="40"/>
  <c r="W73" i="40"/>
  <c r="V73" i="40"/>
  <c r="AV72" i="40"/>
  <c r="AV71" i="40"/>
  <c r="AV70" i="40"/>
  <c r="AV69" i="40"/>
  <c r="AV68" i="40"/>
  <c r="Z68" i="40"/>
  <c r="Y68" i="40"/>
  <c r="X68" i="40"/>
  <c r="W68" i="40"/>
  <c r="V68" i="40"/>
  <c r="AV67" i="40"/>
  <c r="Z67" i="40"/>
  <c r="Y67" i="40"/>
  <c r="X67" i="40"/>
  <c r="W67" i="40"/>
  <c r="V67" i="40"/>
  <c r="AV66" i="40"/>
  <c r="Z66" i="40"/>
  <c r="Y66" i="40"/>
  <c r="X66" i="40"/>
  <c r="W66" i="40"/>
  <c r="V66" i="40"/>
  <c r="AV65" i="40"/>
  <c r="Z65" i="40"/>
  <c r="Y65" i="40"/>
  <c r="X65" i="40"/>
  <c r="W65" i="40"/>
  <c r="V65" i="40"/>
  <c r="AV64" i="40"/>
  <c r="Z64" i="40"/>
  <c r="Y64" i="40"/>
  <c r="X64" i="40"/>
  <c r="W64" i="40"/>
  <c r="V64" i="40"/>
  <c r="AV63" i="40"/>
  <c r="Z63" i="40"/>
  <c r="Y63" i="40"/>
  <c r="X63" i="40"/>
  <c r="W63" i="40"/>
  <c r="V63" i="40"/>
  <c r="AV62" i="40"/>
  <c r="Z62" i="40"/>
  <c r="Y62" i="40"/>
  <c r="X62" i="40"/>
  <c r="W62" i="40"/>
  <c r="V62" i="40"/>
  <c r="AV61" i="40"/>
  <c r="Z61" i="40"/>
  <c r="Y61" i="40"/>
  <c r="X61" i="40"/>
  <c r="W61" i="40"/>
  <c r="V61" i="40"/>
  <c r="AV60" i="40"/>
  <c r="Z60" i="40"/>
  <c r="Y60" i="40"/>
  <c r="X60" i="40"/>
  <c r="W60" i="40"/>
  <c r="V60" i="40"/>
  <c r="AV59" i="40"/>
  <c r="Z59" i="40"/>
  <c r="Y59" i="40"/>
  <c r="X59" i="40"/>
  <c r="W59" i="40"/>
  <c r="V59" i="40"/>
  <c r="AV58" i="40"/>
  <c r="AQ58" i="40"/>
  <c r="Z58" i="40"/>
  <c r="Y58" i="40"/>
  <c r="X58" i="40"/>
  <c r="W58" i="40"/>
  <c r="V58" i="40"/>
  <c r="AV57" i="40"/>
  <c r="Z57" i="40"/>
  <c r="Y57" i="40"/>
  <c r="X57" i="40"/>
  <c r="W57" i="40"/>
  <c r="V57" i="40"/>
  <c r="AV56" i="40"/>
  <c r="Z56" i="40"/>
  <c r="Y56" i="40"/>
  <c r="X56" i="40"/>
  <c r="W56" i="40"/>
  <c r="V56" i="40"/>
  <c r="AV55" i="40"/>
  <c r="AV54" i="40"/>
  <c r="AV53" i="40"/>
  <c r="AV52" i="40"/>
  <c r="AV51" i="40"/>
  <c r="AP44" i="40"/>
  <c r="B59" i="40" s="1"/>
  <c r="AP43" i="40"/>
  <c r="B58" i="40" s="1"/>
  <c r="AP42" i="40"/>
  <c r="B57" i="40" s="1"/>
  <c r="AP41" i="40"/>
  <c r="B56" i="40" s="1"/>
  <c r="AP40" i="40"/>
  <c r="B55" i="40" s="1"/>
  <c r="B40" i="40"/>
  <c r="Q35" i="40"/>
  <c r="P35" i="40"/>
  <c r="B35" i="40"/>
  <c r="J34" i="40"/>
  <c r="D35" i="40" s="1"/>
  <c r="Y7" i="40"/>
  <c r="B29" i="40"/>
  <c r="AQ27" i="40" s="1"/>
  <c r="B27" i="40"/>
  <c r="P25" i="40"/>
  <c r="I24" i="40" s="1"/>
  <c r="G24" i="40"/>
  <c r="E24" i="40"/>
  <c r="C24" i="40"/>
  <c r="I23" i="40"/>
  <c r="G23" i="40"/>
  <c r="E23" i="40"/>
  <c r="C23" i="40"/>
  <c r="I22" i="40"/>
  <c r="G22" i="40"/>
  <c r="E22" i="40"/>
  <c r="C22" i="40"/>
  <c r="I21" i="40"/>
  <c r="G21" i="40"/>
  <c r="E21" i="40"/>
  <c r="C21" i="40"/>
  <c r="AQ20" i="40"/>
  <c r="B49" i="40" s="1"/>
  <c r="AQ36" i="40" s="1"/>
  <c r="AI20" i="40"/>
  <c r="I20" i="40"/>
  <c r="AQ19" i="40"/>
  <c r="B48" i="40" s="1"/>
  <c r="AQ35" i="40" s="1"/>
  <c r="AI19" i="40"/>
  <c r="AQ18" i="40"/>
  <c r="B47" i="40" s="1"/>
  <c r="AQ34" i="40" s="1"/>
  <c r="AI18" i="40"/>
  <c r="I18" i="40"/>
  <c r="AI17" i="40"/>
  <c r="AI16" i="40"/>
  <c r="AI15" i="40"/>
  <c r="AQ14" i="40"/>
  <c r="B46" i="40" s="1"/>
  <c r="AQ33" i="40" s="1"/>
  <c r="AI14" i="40"/>
  <c r="I14" i="40"/>
  <c r="AQ13" i="40"/>
  <c r="B45" i="40" s="1"/>
  <c r="AQ32" i="40" s="1"/>
  <c r="AI13" i="40"/>
  <c r="AQ12" i="40"/>
  <c r="B44" i="40" s="1"/>
  <c r="AQ31" i="40" s="1"/>
  <c r="AI12" i="40"/>
  <c r="AI11" i="40"/>
  <c r="AI10" i="40"/>
  <c r="AI9" i="40"/>
  <c r="AJ9" i="40" s="1"/>
  <c r="AQ8" i="40"/>
  <c r="B43" i="40" s="1"/>
  <c r="AQ30" i="40" s="1"/>
  <c r="AQ7" i="40"/>
  <c r="AQ6" i="40"/>
  <c r="B41" i="40" s="1"/>
  <c r="AQ28" i="40" s="1"/>
  <c r="AO179" i="38"/>
  <c r="AN179" i="38"/>
  <c r="AM179" i="38"/>
  <c r="AL179" i="38"/>
  <c r="AK179" i="38"/>
  <c r="AJ179" i="38"/>
  <c r="AI179" i="38"/>
  <c r="AH179" i="38"/>
  <c r="AG179" i="38"/>
  <c r="AF179" i="38"/>
  <c r="AE179" i="38"/>
  <c r="AD179" i="38"/>
  <c r="AC179" i="38"/>
  <c r="AB179" i="38"/>
  <c r="AA179" i="38"/>
  <c r="Z179" i="38"/>
  <c r="Y179" i="38"/>
  <c r="X179" i="38"/>
  <c r="W179" i="38"/>
  <c r="V179" i="38"/>
  <c r="AO178" i="38"/>
  <c r="AN178" i="38"/>
  <c r="AM178" i="38"/>
  <c r="AL178" i="38"/>
  <c r="AK178" i="38"/>
  <c r="AJ178" i="38"/>
  <c r="AI178" i="38"/>
  <c r="AH178" i="38"/>
  <c r="AG178" i="38"/>
  <c r="AF178" i="38"/>
  <c r="AE178" i="38"/>
  <c r="AD178" i="38"/>
  <c r="AC178" i="38"/>
  <c r="AB178" i="38"/>
  <c r="AA178" i="38"/>
  <c r="Z178" i="38"/>
  <c r="Y178" i="38"/>
  <c r="X178" i="38"/>
  <c r="W178" i="38"/>
  <c r="V178" i="38"/>
  <c r="AO177" i="38"/>
  <c r="AN177" i="38"/>
  <c r="AM177" i="38"/>
  <c r="AL177" i="38"/>
  <c r="AK177" i="38"/>
  <c r="AJ177" i="38"/>
  <c r="AI177" i="38"/>
  <c r="AH177" i="38"/>
  <c r="AG177" i="38"/>
  <c r="AF177" i="38"/>
  <c r="AE177" i="38"/>
  <c r="AD177" i="38"/>
  <c r="AC177" i="38"/>
  <c r="AB177" i="38"/>
  <c r="AA177" i="38"/>
  <c r="Z177" i="38"/>
  <c r="Y177" i="38"/>
  <c r="X177" i="38"/>
  <c r="W177" i="38"/>
  <c r="V177" i="38"/>
  <c r="AO176" i="38"/>
  <c r="AN176" i="38"/>
  <c r="AM176" i="38"/>
  <c r="AL176" i="38"/>
  <c r="AK176" i="38"/>
  <c r="AJ176" i="38"/>
  <c r="AI176" i="38"/>
  <c r="AH176" i="38"/>
  <c r="AG176" i="38"/>
  <c r="AF176" i="38"/>
  <c r="AE176" i="38"/>
  <c r="AD176" i="38"/>
  <c r="AC176" i="38"/>
  <c r="AB176" i="38"/>
  <c r="AA176" i="38"/>
  <c r="Z176" i="38"/>
  <c r="Y176" i="38"/>
  <c r="X176" i="38"/>
  <c r="W176" i="38"/>
  <c r="V176" i="38"/>
  <c r="AO175" i="38"/>
  <c r="AN175" i="38"/>
  <c r="AM175" i="38"/>
  <c r="AL175" i="38"/>
  <c r="AK175" i="38"/>
  <c r="AJ175" i="38"/>
  <c r="AI175" i="38"/>
  <c r="AH175" i="38"/>
  <c r="AG175" i="38"/>
  <c r="AF175" i="38"/>
  <c r="AE175" i="38"/>
  <c r="AD175" i="38"/>
  <c r="AC175" i="38"/>
  <c r="AB175" i="38"/>
  <c r="AA175" i="38"/>
  <c r="Z175" i="38"/>
  <c r="Y175" i="38"/>
  <c r="X175" i="38"/>
  <c r="W175" i="38"/>
  <c r="V175" i="38"/>
  <c r="AO174" i="38"/>
  <c r="AN174" i="38"/>
  <c r="AM174" i="38"/>
  <c r="AL174" i="38"/>
  <c r="AK174" i="38"/>
  <c r="AJ174" i="38"/>
  <c r="AI174" i="38"/>
  <c r="AH174" i="38"/>
  <c r="AG174" i="38"/>
  <c r="AF174" i="38"/>
  <c r="AE174" i="38"/>
  <c r="AD174" i="38"/>
  <c r="AC174" i="38"/>
  <c r="AB174" i="38"/>
  <c r="AA174" i="38"/>
  <c r="Z174" i="38"/>
  <c r="Y174" i="38"/>
  <c r="X174" i="38"/>
  <c r="W174" i="38"/>
  <c r="V174" i="38"/>
  <c r="AO173" i="38"/>
  <c r="AN173" i="38"/>
  <c r="AM173" i="38"/>
  <c r="AL173" i="38"/>
  <c r="AK173" i="38"/>
  <c r="AJ173" i="38"/>
  <c r="AI173" i="38"/>
  <c r="AH173" i="38"/>
  <c r="AG173" i="38"/>
  <c r="AF173" i="38"/>
  <c r="AE173" i="38"/>
  <c r="AD173" i="38"/>
  <c r="AC173" i="38"/>
  <c r="AB173" i="38"/>
  <c r="AA173" i="38"/>
  <c r="Z173" i="38"/>
  <c r="Y173" i="38"/>
  <c r="X173" i="38"/>
  <c r="W173" i="38"/>
  <c r="V173" i="38"/>
  <c r="AO172" i="38"/>
  <c r="AN172" i="38"/>
  <c r="AM172" i="38"/>
  <c r="AL172" i="38"/>
  <c r="AK172" i="38"/>
  <c r="AJ172" i="38"/>
  <c r="AI172" i="38"/>
  <c r="AH172" i="38"/>
  <c r="AG172" i="38"/>
  <c r="AF172" i="38"/>
  <c r="AE172" i="38"/>
  <c r="AD172" i="38"/>
  <c r="AC172" i="38"/>
  <c r="AB172" i="38"/>
  <c r="AA172" i="38"/>
  <c r="Z172" i="38"/>
  <c r="Y172" i="38"/>
  <c r="X172" i="38"/>
  <c r="W172" i="38"/>
  <c r="V172" i="38"/>
  <c r="AO171" i="38"/>
  <c r="AN171" i="38"/>
  <c r="AM171" i="38"/>
  <c r="AL171" i="38"/>
  <c r="AK171" i="38"/>
  <c r="AJ171" i="38"/>
  <c r="AI171" i="38"/>
  <c r="AH171" i="38"/>
  <c r="AG171" i="38"/>
  <c r="AF171" i="38"/>
  <c r="AE171" i="38"/>
  <c r="AD171" i="38"/>
  <c r="AC171" i="38"/>
  <c r="AB171" i="38"/>
  <c r="AA171" i="38"/>
  <c r="Z171" i="38"/>
  <c r="Y171" i="38"/>
  <c r="X171" i="38"/>
  <c r="W171" i="38"/>
  <c r="V171" i="38"/>
  <c r="AO170" i="38"/>
  <c r="AN170" i="38"/>
  <c r="AM170" i="38"/>
  <c r="AL170" i="38"/>
  <c r="AK170" i="38"/>
  <c r="AJ170" i="38"/>
  <c r="AI170" i="38"/>
  <c r="AH170" i="38"/>
  <c r="AG170" i="38"/>
  <c r="AF170" i="38"/>
  <c r="AE170" i="38"/>
  <c r="AD170" i="38"/>
  <c r="AC170" i="38"/>
  <c r="AB170" i="38"/>
  <c r="AA170" i="38"/>
  <c r="Z170" i="38"/>
  <c r="Y170" i="38"/>
  <c r="X170" i="38"/>
  <c r="W170" i="38"/>
  <c r="V170" i="38"/>
  <c r="AO169" i="38"/>
  <c r="AN169" i="38"/>
  <c r="AM169" i="38"/>
  <c r="AL169" i="38"/>
  <c r="AK169" i="38"/>
  <c r="AJ169" i="38"/>
  <c r="AI169" i="38"/>
  <c r="AH169" i="38"/>
  <c r="AG169" i="38"/>
  <c r="AF169" i="38"/>
  <c r="AE169" i="38"/>
  <c r="AD169" i="38"/>
  <c r="AC169" i="38"/>
  <c r="AB169" i="38"/>
  <c r="AA169" i="38"/>
  <c r="Z169" i="38"/>
  <c r="Y169" i="38"/>
  <c r="X169" i="38"/>
  <c r="W169" i="38"/>
  <c r="V169" i="38"/>
  <c r="AO168" i="38"/>
  <c r="AN168" i="38"/>
  <c r="AM168" i="38"/>
  <c r="AL168" i="38"/>
  <c r="AK168" i="38"/>
  <c r="AJ168" i="38"/>
  <c r="AI168" i="38"/>
  <c r="AH168" i="38"/>
  <c r="AG168" i="38"/>
  <c r="AF168" i="38"/>
  <c r="AE168" i="38"/>
  <c r="AD168" i="38"/>
  <c r="AD95" i="38" s="1"/>
  <c r="AC168" i="38"/>
  <c r="AB168" i="38"/>
  <c r="AA168" i="38"/>
  <c r="Z168" i="38"/>
  <c r="Y168" i="38"/>
  <c r="X168" i="38"/>
  <c r="W168" i="38"/>
  <c r="V168" i="38"/>
  <c r="AO167" i="38"/>
  <c r="AN167" i="38"/>
  <c r="AM167" i="38"/>
  <c r="AL167" i="38"/>
  <c r="X94" i="38" s="1"/>
  <c r="AK167" i="38"/>
  <c r="AJ167" i="38"/>
  <c r="AI167" i="38"/>
  <c r="AH167" i="38"/>
  <c r="AG167" i="38"/>
  <c r="AF167" i="38"/>
  <c r="AE167" i="38"/>
  <c r="AD167" i="38"/>
  <c r="AC167" i="38"/>
  <c r="AB167" i="38"/>
  <c r="AA167" i="38"/>
  <c r="Z167" i="38"/>
  <c r="Z94" i="38" s="1"/>
  <c r="Y167" i="38"/>
  <c r="X167" i="38"/>
  <c r="W167" i="38"/>
  <c r="V167" i="38"/>
  <c r="AO166" i="38"/>
  <c r="AN166" i="38"/>
  <c r="AM166" i="38"/>
  <c r="AL166" i="38"/>
  <c r="AK166" i="38"/>
  <c r="AJ166" i="38"/>
  <c r="AI166" i="38"/>
  <c r="AH166" i="38"/>
  <c r="AG166" i="38"/>
  <c r="AF166" i="38"/>
  <c r="AE166" i="38"/>
  <c r="AD166" i="38"/>
  <c r="AC166" i="38"/>
  <c r="AB166" i="38"/>
  <c r="AB93" i="38" s="1"/>
  <c r="AE93" i="38" s="1"/>
  <c r="AA166" i="38"/>
  <c r="Z166" i="38"/>
  <c r="Y166" i="38"/>
  <c r="X166" i="38"/>
  <c r="W166" i="38"/>
  <c r="V166" i="38"/>
  <c r="V93" i="38" s="1"/>
  <c r="AO165" i="38"/>
  <c r="AN165" i="38"/>
  <c r="AM165" i="38"/>
  <c r="AL165" i="38"/>
  <c r="AK165" i="38"/>
  <c r="AJ165" i="38"/>
  <c r="AI165" i="38"/>
  <c r="AH165" i="38"/>
  <c r="AG165" i="38"/>
  <c r="AF165" i="38"/>
  <c r="AE165" i="38"/>
  <c r="AD165" i="38"/>
  <c r="AD92" i="38" s="1"/>
  <c r="AC165" i="38"/>
  <c r="AB165" i="38"/>
  <c r="AA165" i="38"/>
  <c r="Z165" i="38"/>
  <c r="Y165" i="38"/>
  <c r="X165" i="38"/>
  <c r="W165" i="38"/>
  <c r="V165" i="38"/>
  <c r="AO164" i="38"/>
  <c r="AN164" i="38"/>
  <c r="AM164" i="38"/>
  <c r="AL164" i="38"/>
  <c r="X91" i="38" s="1"/>
  <c r="AK164" i="38"/>
  <c r="AJ164" i="38"/>
  <c r="AI164" i="38"/>
  <c r="AH164" i="38"/>
  <c r="AG164" i="38"/>
  <c r="AF164" i="38"/>
  <c r="AE164" i="38"/>
  <c r="AD164" i="38"/>
  <c r="AC164" i="38"/>
  <c r="AB164" i="38"/>
  <c r="AA164" i="38"/>
  <c r="Z164" i="38"/>
  <c r="Z91" i="38" s="1"/>
  <c r="Y164" i="38"/>
  <c r="X164" i="38"/>
  <c r="W164" i="38"/>
  <c r="V164" i="38"/>
  <c r="AO163" i="38"/>
  <c r="AN163" i="38"/>
  <c r="AM163" i="38"/>
  <c r="AL163" i="38"/>
  <c r="AK163" i="38"/>
  <c r="AJ163" i="38"/>
  <c r="AI163" i="38"/>
  <c r="AH163" i="38"/>
  <c r="AG163" i="38"/>
  <c r="AF163" i="38"/>
  <c r="AE163" i="38"/>
  <c r="AD163" i="38"/>
  <c r="AC163" i="38"/>
  <c r="AB163" i="38"/>
  <c r="AA163" i="38"/>
  <c r="Z163" i="38"/>
  <c r="Y163" i="38"/>
  <c r="X163" i="38"/>
  <c r="W163" i="38"/>
  <c r="V163" i="38"/>
  <c r="AO162" i="38"/>
  <c r="AN162" i="38"/>
  <c r="AM162" i="38"/>
  <c r="AL162" i="38"/>
  <c r="AK162" i="38"/>
  <c r="AJ162" i="38"/>
  <c r="AI162" i="38"/>
  <c r="AH162" i="38"/>
  <c r="AG162" i="38"/>
  <c r="AF162" i="38"/>
  <c r="AE162" i="38"/>
  <c r="AD162" i="38"/>
  <c r="AD89" i="38" s="1"/>
  <c r="AC162" i="38"/>
  <c r="AB162" i="38"/>
  <c r="AA162" i="38"/>
  <c r="Z162" i="38"/>
  <c r="Y162" i="38"/>
  <c r="X162" i="38"/>
  <c r="W162" i="38"/>
  <c r="V162" i="38"/>
  <c r="AO161" i="38"/>
  <c r="AN161" i="38"/>
  <c r="AM161" i="38"/>
  <c r="AL161" i="38"/>
  <c r="X88" i="38" s="1"/>
  <c r="AK161" i="38"/>
  <c r="AJ161" i="38"/>
  <c r="AI161" i="38"/>
  <c r="AH161" i="38"/>
  <c r="AG161" i="38"/>
  <c r="AF161" i="38"/>
  <c r="AE161" i="38"/>
  <c r="AD161" i="38"/>
  <c r="AC161" i="38"/>
  <c r="AB161" i="38"/>
  <c r="AA161" i="38"/>
  <c r="Z161" i="38"/>
  <c r="Z88" i="38" s="1"/>
  <c r="Y161" i="38"/>
  <c r="X161" i="38"/>
  <c r="W161" i="38"/>
  <c r="V161" i="38"/>
  <c r="AO160" i="38"/>
  <c r="AN160" i="38"/>
  <c r="AM160" i="38"/>
  <c r="AL160" i="38"/>
  <c r="AK160" i="38"/>
  <c r="AJ160" i="38"/>
  <c r="AI160" i="38"/>
  <c r="AH160" i="38"/>
  <c r="AG160" i="38"/>
  <c r="AF160" i="38"/>
  <c r="AE160" i="38"/>
  <c r="AD160" i="38"/>
  <c r="AC160" i="38"/>
  <c r="AB160" i="38"/>
  <c r="AB87" i="38" s="1"/>
  <c r="AE87" i="38" s="1"/>
  <c r="AA160" i="38"/>
  <c r="Z160" i="38"/>
  <c r="Y160" i="38"/>
  <c r="X160" i="38"/>
  <c r="W160" i="38"/>
  <c r="V160" i="38"/>
  <c r="V87" i="38" s="1"/>
  <c r="Z46" i="38" s="1"/>
  <c r="AO159" i="38"/>
  <c r="AN159" i="38"/>
  <c r="AM159" i="38"/>
  <c r="AL159" i="38"/>
  <c r="AK159" i="38"/>
  <c r="AJ159" i="38"/>
  <c r="AI159" i="38"/>
  <c r="AH159" i="38"/>
  <c r="AG159" i="38"/>
  <c r="AF159" i="38"/>
  <c r="AE159" i="38"/>
  <c r="AD159" i="38"/>
  <c r="AC159" i="38"/>
  <c r="AB159" i="38"/>
  <c r="AA159" i="38"/>
  <c r="Z159" i="38"/>
  <c r="Y159" i="38"/>
  <c r="X159" i="38"/>
  <c r="W159" i="38"/>
  <c r="V159" i="38"/>
  <c r="AO158" i="38"/>
  <c r="AN158" i="38"/>
  <c r="AM158" i="38"/>
  <c r="AL158" i="38"/>
  <c r="AK158" i="38"/>
  <c r="AJ158" i="38"/>
  <c r="AI158" i="38"/>
  <c r="AH158" i="38"/>
  <c r="AG158" i="38"/>
  <c r="AF158" i="38"/>
  <c r="AE158" i="38"/>
  <c r="AD158" i="38"/>
  <c r="AC158" i="38"/>
  <c r="AB158" i="38"/>
  <c r="AA158" i="38"/>
  <c r="Z158" i="38"/>
  <c r="Y158" i="38"/>
  <c r="X158" i="38"/>
  <c r="W158" i="38"/>
  <c r="V158" i="38"/>
  <c r="AO157" i="38"/>
  <c r="AN157" i="38"/>
  <c r="AM157" i="38"/>
  <c r="AL157" i="38"/>
  <c r="AK157" i="38"/>
  <c r="AJ157" i="38"/>
  <c r="AI157" i="38"/>
  <c r="AH157" i="38"/>
  <c r="AG157" i="38"/>
  <c r="AF157" i="38"/>
  <c r="AE157" i="38"/>
  <c r="AD157" i="38"/>
  <c r="AC157" i="38"/>
  <c r="AB157" i="38"/>
  <c r="AA157" i="38"/>
  <c r="Z157" i="38"/>
  <c r="Y157" i="38"/>
  <c r="X157" i="38"/>
  <c r="W157" i="38"/>
  <c r="V157" i="38"/>
  <c r="AO156" i="38"/>
  <c r="AN156" i="38"/>
  <c r="AM156" i="38"/>
  <c r="AL156" i="38"/>
  <c r="AK156" i="38"/>
  <c r="AJ156" i="38"/>
  <c r="AI156" i="38"/>
  <c r="AH156" i="38"/>
  <c r="AG156" i="38"/>
  <c r="AF156" i="38"/>
  <c r="AE156" i="38"/>
  <c r="AD156" i="38"/>
  <c r="AC156" i="38"/>
  <c r="AB156" i="38"/>
  <c r="AA156" i="38"/>
  <c r="Z156" i="38"/>
  <c r="Y156" i="38"/>
  <c r="X156" i="38"/>
  <c r="W156" i="38"/>
  <c r="V156" i="38"/>
  <c r="AO155" i="38"/>
  <c r="AN155" i="38"/>
  <c r="AM155" i="38"/>
  <c r="AL155" i="38"/>
  <c r="AK155" i="38"/>
  <c r="AJ155" i="38"/>
  <c r="AI155" i="38"/>
  <c r="AH155" i="38"/>
  <c r="AG155" i="38"/>
  <c r="AF155" i="38"/>
  <c r="AE155" i="38"/>
  <c r="AD155" i="38"/>
  <c r="AC155" i="38"/>
  <c r="AB155" i="38"/>
  <c r="AA155" i="38"/>
  <c r="Z155" i="38"/>
  <c r="Y155" i="38"/>
  <c r="X155" i="38"/>
  <c r="W155" i="38"/>
  <c r="V155" i="38"/>
  <c r="AO154" i="38"/>
  <c r="AN154" i="38"/>
  <c r="AM154" i="38"/>
  <c r="AL154" i="38"/>
  <c r="AK154" i="38"/>
  <c r="AJ154" i="38"/>
  <c r="AI154" i="38"/>
  <c r="AH154" i="38"/>
  <c r="AG154" i="38"/>
  <c r="AF154" i="38"/>
  <c r="AE154" i="38"/>
  <c r="AD154" i="38"/>
  <c r="AC154" i="38"/>
  <c r="AB154" i="38"/>
  <c r="AA154" i="38"/>
  <c r="Z154" i="38"/>
  <c r="Y154" i="38"/>
  <c r="X154" i="38"/>
  <c r="W154" i="38"/>
  <c r="V154" i="38"/>
  <c r="AO153" i="38"/>
  <c r="AN153" i="38"/>
  <c r="AM153" i="38"/>
  <c r="AL153" i="38"/>
  <c r="AK153" i="38"/>
  <c r="AJ153" i="38"/>
  <c r="AI153" i="38"/>
  <c r="AH153" i="38"/>
  <c r="AG153" i="38"/>
  <c r="AF153" i="38"/>
  <c r="AE153" i="38"/>
  <c r="AD153" i="38"/>
  <c r="AC153" i="38"/>
  <c r="AB153" i="38"/>
  <c r="AA153" i="38"/>
  <c r="Z153" i="38"/>
  <c r="Y153" i="38"/>
  <c r="X153" i="38"/>
  <c r="W153" i="38"/>
  <c r="V153" i="38"/>
  <c r="AO152" i="38"/>
  <c r="AN152" i="38"/>
  <c r="AM152" i="38"/>
  <c r="AL152" i="38"/>
  <c r="AK152" i="38"/>
  <c r="AJ152" i="38"/>
  <c r="AI152" i="38"/>
  <c r="AH152" i="38"/>
  <c r="AG152" i="38"/>
  <c r="AF152" i="38"/>
  <c r="AE152" i="38"/>
  <c r="AD152" i="38"/>
  <c r="AC152" i="38"/>
  <c r="AB152" i="38"/>
  <c r="AA152" i="38"/>
  <c r="Z152" i="38"/>
  <c r="Y152" i="38"/>
  <c r="X152" i="38"/>
  <c r="W152" i="38"/>
  <c r="V152" i="38"/>
  <c r="AO151" i="38"/>
  <c r="AN151" i="38"/>
  <c r="AM151" i="38"/>
  <c r="AL151" i="38"/>
  <c r="AK151" i="38"/>
  <c r="AJ151" i="38"/>
  <c r="AI151" i="38"/>
  <c r="AH151" i="38"/>
  <c r="AG151" i="38"/>
  <c r="AF151" i="38"/>
  <c r="AE151" i="38"/>
  <c r="AD151" i="38"/>
  <c r="AC151" i="38"/>
  <c r="AB151" i="38"/>
  <c r="AA151" i="38"/>
  <c r="Z151" i="38"/>
  <c r="Y151" i="38"/>
  <c r="X151" i="38"/>
  <c r="W151" i="38"/>
  <c r="V151" i="38"/>
  <c r="AO150" i="38"/>
  <c r="AN150" i="38"/>
  <c r="AM150" i="38"/>
  <c r="AL150" i="38"/>
  <c r="AK150" i="38"/>
  <c r="AJ150" i="38"/>
  <c r="AI150" i="38"/>
  <c r="AH150" i="38"/>
  <c r="AG150" i="38"/>
  <c r="AF150" i="38"/>
  <c r="AE150" i="38"/>
  <c r="AD150" i="38"/>
  <c r="AC150" i="38"/>
  <c r="AB150" i="38"/>
  <c r="AA150" i="38"/>
  <c r="Z150" i="38"/>
  <c r="Y150" i="38"/>
  <c r="X150" i="38"/>
  <c r="W150" i="38"/>
  <c r="V150" i="38"/>
  <c r="AO149" i="38"/>
  <c r="AN149" i="38"/>
  <c r="AM149" i="38"/>
  <c r="AL149" i="38"/>
  <c r="AK149" i="38"/>
  <c r="AJ149" i="38"/>
  <c r="AI149" i="38"/>
  <c r="AH149" i="38"/>
  <c r="AG149" i="38"/>
  <c r="AF149" i="38"/>
  <c r="AE149" i="38"/>
  <c r="AD149" i="38"/>
  <c r="AC149" i="38"/>
  <c r="AB149" i="38"/>
  <c r="AA149" i="38"/>
  <c r="Z149" i="38"/>
  <c r="Y149" i="38"/>
  <c r="X149" i="38"/>
  <c r="W149" i="38"/>
  <c r="V149" i="38"/>
  <c r="AO148" i="38"/>
  <c r="AN148" i="38"/>
  <c r="AM148" i="38"/>
  <c r="AL148" i="38"/>
  <c r="AK148" i="38"/>
  <c r="AJ148" i="38"/>
  <c r="AI148" i="38"/>
  <c r="AH148" i="38"/>
  <c r="AG148" i="38"/>
  <c r="AF148" i="38"/>
  <c r="AE148" i="38"/>
  <c r="AD148" i="38"/>
  <c r="AC148" i="38"/>
  <c r="AB148" i="38"/>
  <c r="AA148" i="38"/>
  <c r="Z148" i="38"/>
  <c r="Y148" i="38"/>
  <c r="X148" i="38"/>
  <c r="W148" i="38"/>
  <c r="V148" i="38"/>
  <c r="AO147" i="38"/>
  <c r="AN147" i="38"/>
  <c r="AM147" i="38"/>
  <c r="AL147" i="38"/>
  <c r="AK147" i="38"/>
  <c r="AJ147" i="38"/>
  <c r="AI147" i="38"/>
  <c r="AH147" i="38"/>
  <c r="AG147" i="38"/>
  <c r="AF147" i="38"/>
  <c r="AE147" i="38"/>
  <c r="AD147" i="38"/>
  <c r="AC147" i="38"/>
  <c r="AB147" i="38"/>
  <c r="AA147" i="38"/>
  <c r="Z147" i="38"/>
  <c r="Y147" i="38"/>
  <c r="X147" i="38"/>
  <c r="W147" i="38"/>
  <c r="V147" i="38"/>
  <c r="AO146" i="38"/>
  <c r="AN146" i="38"/>
  <c r="AM146" i="38"/>
  <c r="AL146" i="38"/>
  <c r="AK146" i="38"/>
  <c r="AJ146" i="38"/>
  <c r="AI146" i="38"/>
  <c r="AH146" i="38"/>
  <c r="AG146" i="38"/>
  <c r="AF146" i="38"/>
  <c r="AE146" i="38"/>
  <c r="AD146" i="38"/>
  <c r="AC146" i="38"/>
  <c r="AB146" i="38"/>
  <c r="AA146" i="38"/>
  <c r="Z146" i="38"/>
  <c r="Y146" i="38"/>
  <c r="X146" i="38"/>
  <c r="W146" i="38"/>
  <c r="V146" i="38"/>
  <c r="AO145" i="38"/>
  <c r="AN145" i="38"/>
  <c r="AM145" i="38"/>
  <c r="AL145" i="38"/>
  <c r="AK145" i="38"/>
  <c r="AJ145" i="38"/>
  <c r="AI145" i="38"/>
  <c r="AH145" i="38"/>
  <c r="AG145" i="38"/>
  <c r="AF145" i="38"/>
  <c r="AE145" i="38"/>
  <c r="AD145" i="38"/>
  <c r="AC145" i="38"/>
  <c r="AB145" i="38"/>
  <c r="AA145" i="38"/>
  <c r="Z145" i="38"/>
  <c r="Y145" i="38"/>
  <c r="X145" i="38"/>
  <c r="W145" i="38"/>
  <c r="V145" i="38"/>
  <c r="AO144" i="38"/>
  <c r="AN144" i="38"/>
  <c r="AM144" i="38"/>
  <c r="AL144" i="38"/>
  <c r="AK144" i="38"/>
  <c r="AJ144" i="38"/>
  <c r="AI144" i="38"/>
  <c r="AH144" i="38"/>
  <c r="AG144" i="38"/>
  <c r="AF144" i="38"/>
  <c r="AE144" i="38"/>
  <c r="AD144" i="38"/>
  <c r="AC144" i="38"/>
  <c r="AB144" i="38"/>
  <c r="AA144" i="38"/>
  <c r="Z144" i="38"/>
  <c r="Y144" i="38"/>
  <c r="X144" i="38"/>
  <c r="W144" i="38"/>
  <c r="V144" i="38"/>
  <c r="AO143" i="38"/>
  <c r="AN143" i="38"/>
  <c r="AM143" i="38"/>
  <c r="AL143" i="38"/>
  <c r="AK143" i="38"/>
  <c r="AJ143" i="38"/>
  <c r="AI143" i="38"/>
  <c r="AH143" i="38"/>
  <c r="AG143" i="38"/>
  <c r="AF143" i="38"/>
  <c r="AE143" i="38"/>
  <c r="AD143" i="38"/>
  <c r="AC143" i="38"/>
  <c r="AB143" i="38"/>
  <c r="AA143" i="38"/>
  <c r="Z143" i="38"/>
  <c r="Y143" i="38"/>
  <c r="X143" i="38"/>
  <c r="W143" i="38"/>
  <c r="V143" i="38"/>
  <c r="AO142" i="38"/>
  <c r="AN142" i="38"/>
  <c r="AM142" i="38"/>
  <c r="AL142" i="38"/>
  <c r="AK142" i="38"/>
  <c r="AJ142" i="38"/>
  <c r="AI142" i="38"/>
  <c r="AH142" i="38"/>
  <c r="AG142" i="38"/>
  <c r="AF142" i="38"/>
  <c r="AE142" i="38"/>
  <c r="AD142" i="38"/>
  <c r="AC142" i="38"/>
  <c r="AB142" i="38"/>
  <c r="AA142" i="38"/>
  <c r="Z142" i="38"/>
  <c r="Y142" i="38"/>
  <c r="X142" i="38"/>
  <c r="W142" i="38"/>
  <c r="V142" i="38"/>
  <c r="AO141" i="38"/>
  <c r="AN141" i="38"/>
  <c r="AM141" i="38"/>
  <c r="AL141" i="38"/>
  <c r="AK141" i="38"/>
  <c r="AJ141" i="38"/>
  <c r="AI141" i="38"/>
  <c r="AH141" i="38"/>
  <c r="AG141" i="38"/>
  <c r="AF141" i="38"/>
  <c r="AE141" i="38"/>
  <c r="AD141" i="38"/>
  <c r="AC141" i="38"/>
  <c r="AB141" i="38"/>
  <c r="AA141" i="38"/>
  <c r="Z141" i="38"/>
  <c r="Y141" i="38"/>
  <c r="X141" i="38"/>
  <c r="W141" i="38"/>
  <c r="V141" i="38"/>
  <c r="AO140" i="38"/>
  <c r="AN140" i="38"/>
  <c r="AM140" i="38"/>
  <c r="AL140" i="38"/>
  <c r="AK140" i="38"/>
  <c r="AJ140" i="38"/>
  <c r="AI140" i="38"/>
  <c r="AH140" i="38"/>
  <c r="AG140" i="38"/>
  <c r="AF140" i="38"/>
  <c r="AE140" i="38"/>
  <c r="AD140" i="38"/>
  <c r="AC140" i="38"/>
  <c r="AB140" i="38"/>
  <c r="AA140" i="38"/>
  <c r="Z140" i="38"/>
  <c r="Y140" i="38"/>
  <c r="X140" i="38"/>
  <c r="W140" i="38"/>
  <c r="V140" i="38"/>
  <c r="AO139" i="38"/>
  <c r="AN139" i="38"/>
  <c r="AM139" i="38"/>
  <c r="AL139" i="38"/>
  <c r="AK139" i="38"/>
  <c r="AJ139" i="38"/>
  <c r="AI139" i="38"/>
  <c r="AH139" i="38"/>
  <c r="AG139" i="38"/>
  <c r="AF139" i="38"/>
  <c r="AE139" i="38"/>
  <c r="AD139" i="38"/>
  <c r="AC139" i="38"/>
  <c r="AB139" i="38"/>
  <c r="AA139" i="38"/>
  <c r="Z139" i="38"/>
  <c r="Y139" i="38"/>
  <c r="X139" i="38"/>
  <c r="W139" i="38"/>
  <c r="V139" i="38"/>
  <c r="AO138" i="38"/>
  <c r="AN138" i="38"/>
  <c r="AM138" i="38"/>
  <c r="AL138" i="38"/>
  <c r="AK138" i="38"/>
  <c r="AJ138" i="38"/>
  <c r="AI138" i="38"/>
  <c r="AH138" i="38"/>
  <c r="AG138" i="38"/>
  <c r="AF138" i="38"/>
  <c r="AE138" i="38"/>
  <c r="AD138" i="38"/>
  <c r="AC138" i="38"/>
  <c r="AB138" i="38"/>
  <c r="AA138" i="38"/>
  <c r="Z138" i="38"/>
  <c r="Y138" i="38"/>
  <c r="X138" i="38"/>
  <c r="W138" i="38"/>
  <c r="V138" i="38"/>
  <c r="AO137" i="38"/>
  <c r="AN137" i="38"/>
  <c r="AM137" i="38"/>
  <c r="AL137" i="38"/>
  <c r="AK137" i="38"/>
  <c r="AJ137" i="38"/>
  <c r="AI137" i="38"/>
  <c r="AH137" i="38"/>
  <c r="AG137" i="38"/>
  <c r="AF137" i="38"/>
  <c r="AE137" i="38"/>
  <c r="AD137" i="38"/>
  <c r="AC137" i="38"/>
  <c r="AB137" i="38"/>
  <c r="AA137" i="38"/>
  <c r="Z137" i="38"/>
  <c r="Y137" i="38"/>
  <c r="X137" i="38"/>
  <c r="W137" i="38"/>
  <c r="V137" i="38"/>
  <c r="AO136" i="38"/>
  <c r="AN136" i="38"/>
  <c r="AM136" i="38"/>
  <c r="AL136" i="38"/>
  <c r="AK136" i="38"/>
  <c r="AJ136" i="38"/>
  <c r="AI136" i="38"/>
  <c r="AH136" i="38"/>
  <c r="AG136" i="38"/>
  <c r="AF136" i="38"/>
  <c r="AE136" i="38"/>
  <c r="AD136" i="38"/>
  <c r="AC136" i="38"/>
  <c r="AB136" i="38"/>
  <c r="AA136" i="38"/>
  <c r="Z136" i="38"/>
  <c r="Y136" i="38"/>
  <c r="X136" i="38"/>
  <c r="W136" i="38"/>
  <c r="V136" i="38"/>
  <c r="AO135" i="38"/>
  <c r="AN135" i="38"/>
  <c r="AM135" i="38"/>
  <c r="AL135" i="38"/>
  <c r="AK135" i="38"/>
  <c r="AJ135" i="38"/>
  <c r="AI135" i="38"/>
  <c r="AH135" i="38"/>
  <c r="AG135" i="38"/>
  <c r="AF135" i="38"/>
  <c r="AE135" i="38"/>
  <c r="AD135" i="38"/>
  <c r="AC135" i="38"/>
  <c r="AB135" i="38"/>
  <c r="AA135" i="38"/>
  <c r="Z135" i="38"/>
  <c r="Y135" i="38"/>
  <c r="X135" i="38"/>
  <c r="W135" i="38"/>
  <c r="V135" i="38"/>
  <c r="AO134" i="38"/>
  <c r="AN134" i="38"/>
  <c r="AM134" i="38"/>
  <c r="AL134" i="38"/>
  <c r="AK134" i="38"/>
  <c r="AJ134" i="38"/>
  <c r="AI134" i="38"/>
  <c r="AH134" i="38"/>
  <c r="AG134" i="38"/>
  <c r="AF134" i="38"/>
  <c r="AE134" i="38"/>
  <c r="AD134" i="38"/>
  <c r="AC134" i="38"/>
  <c r="AB134" i="38"/>
  <c r="AA134" i="38"/>
  <c r="Z134" i="38"/>
  <c r="Y134" i="38"/>
  <c r="X134" i="38"/>
  <c r="W134" i="38"/>
  <c r="V134" i="38"/>
  <c r="AO133" i="38"/>
  <c r="AN133" i="38"/>
  <c r="AM133" i="38"/>
  <c r="AL133" i="38"/>
  <c r="AK133" i="38"/>
  <c r="AJ133" i="38"/>
  <c r="AI133" i="38"/>
  <c r="AH133" i="38"/>
  <c r="AG133" i="38"/>
  <c r="AF133" i="38"/>
  <c r="AE133" i="38"/>
  <c r="AD133" i="38"/>
  <c r="AC133" i="38"/>
  <c r="AB133" i="38"/>
  <c r="AA133" i="38"/>
  <c r="Z133" i="38"/>
  <c r="Y133" i="38"/>
  <c r="X133" i="38"/>
  <c r="W133" i="38"/>
  <c r="V133" i="38"/>
  <c r="AO132" i="38"/>
  <c r="AN132" i="38"/>
  <c r="AM132" i="38"/>
  <c r="AL132" i="38"/>
  <c r="AK132" i="38"/>
  <c r="AJ132" i="38"/>
  <c r="AI132" i="38"/>
  <c r="AH132" i="38"/>
  <c r="AG132" i="38"/>
  <c r="AF132" i="38"/>
  <c r="AE132" i="38"/>
  <c r="AD132" i="38"/>
  <c r="AC132" i="38"/>
  <c r="AB132" i="38"/>
  <c r="AA132" i="38"/>
  <c r="Z132" i="38"/>
  <c r="Y132" i="38"/>
  <c r="X132" i="38"/>
  <c r="W132" i="38"/>
  <c r="V132" i="38"/>
  <c r="AO131" i="38"/>
  <c r="AN131" i="38"/>
  <c r="AM131" i="38"/>
  <c r="AL131" i="38"/>
  <c r="AK131" i="38"/>
  <c r="AJ131" i="38"/>
  <c r="AI131" i="38"/>
  <c r="AH131" i="38"/>
  <c r="AG131" i="38"/>
  <c r="AF131" i="38"/>
  <c r="AE131" i="38"/>
  <c r="AD131" i="38"/>
  <c r="AC131" i="38"/>
  <c r="AB131" i="38"/>
  <c r="AA131" i="38"/>
  <c r="Z131" i="38"/>
  <c r="Y131" i="38"/>
  <c r="X131" i="38"/>
  <c r="W131" i="38"/>
  <c r="V131" i="38"/>
  <c r="AO130" i="38"/>
  <c r="AN130" i="38"/>
  <c r="AM130" i="38"/>
  <c r="AL130" i="38"/>
  <c r="AK130" i="38"/>
  <c r="AJ130" i="38"/>
  <c r="AI130" i="38"/>
  <c r="AH130" i="38"/>
  <c r="AG130" i="38"/>
  <c r="AF130" i="38"/>
  <c r="AE130" i="38"/>
  <c r="AD130" i="38"/>
  <c r="AC130" i="38"/>
  <c r="AB130" i="38"/>
  <c r="AA130" i="38"/>
  <c r="Z130" i="38"/>
  <c r="Y130" i="38"/>
  <c r="X130" i="38"/>
  <c r="W130" i="38"/>
  <c r="V130" i="38"/>
  <c r="AO129" i="38"/>
  <c r="AN129" i="38"/>
  <c r="AM129" i="38"/>
  <c r="AL129" i="38"/>
  <c r="AK129" i="38"/>
  <c r="AJ129" i="38"/>
  <c r="AI129" i="38"/>
  <c r="AH129" i="38"/>
  <c r="AG129" i="38"/>
  <c r="AF129" i="38"/>
  <c r="AE129" i="38"/>
  <c r="AD129" i="38"/>
  <c r="AC129" i="38"/>
  <c r="AB129" i="38"/>
  <c r="AA129" i="38"/>
  <c r="Z129" i="38"/>
  <c r="Y129" i="38"/>
  <c r="X129" i="38"/>
  <c r="W129" i="38"/>
  <c r="V129" i="38"/>
  <c r="AO128" i="38"/>
  <c r="AN128" i="38"/>
  <c r="AM128" i="38"/>
  <c r="AL128" i="38"/>
  <c r="AK128" i="38"/>
  <c r="AJ128" i="38"/>
  <c r="AI128" i="38"/>
  <c r="AH128" i="38"/>
  <c r="AG128" i="38"/>
  <c r="AF128" i="38"/>
  <c r="AE128" i="38"/>
  <c r="AD128" i="38"/>
  <c r="AC128" i="38"/>
  <c r="AB128" i="38"/>
  <c r="AA128" i="38"/>
  <c r="Z128" i="38"/>
  <c r="Y128" i="38"/>
  <c r="X128" i="38"/>
  <c r="W128" i="38"/>
  <c r="V128" i="38"/>
  <c r="AO127" i="38"/>
  <c r="AN127" i="38"/>
  <c r="AM127" i="38"/>
  <c r="AL127" i="38"/>
  <c r="AK127" i="38"/>
  <c r="AJ127" i="38"/>
  <c r="AI127" i="38"/>
  <c r="AH127" i="38"/>
  <c r="AG127" i="38"/>
  <c r="AF127" i="38"/>
  <c r="AE127" i="38"/>
  <c r="AD127" i="38"/>
  <c r="AC127" i="38"/>
  <c r="AB127" i="38"/>
  <c r="AA127" i="38"/>
  <c r="Z127" i="38"/>
  <c r="Y127" i="38"/>
  <c r="X127" i="38"/>
  <c r="W127" i="38"/>
  <c r="V127" i="38"/>
  <c r="AO126" i="38"/>
  <c r="AN126" i="38"/>
  <c r="AM126" i="38"/>
  <c r="AL126" i="38"/>
  <c r="AK126" i="38"/>
  <c r="AJ126" i="38"/>
  <c r="AI126" i="38"/>
  <c r="AH126" i="38"/>
  <c r="AG126" i="38"/>
  <c r="AF126" i="38"/>
  <c r="AE126" i="38"/>
  <c r="AD126" i="38"/>
  <c r="AC126" i="38"/>
  <c r="AB126" i="38"/>
  <c r="AA126" i="38"/>
  <c r="Z126" i="38"/>
  <c r="Y126" i="38"/>
  <c r="X126" i="38"/>
  <c r="W126" i="38"/>
  <c r="V126" i="38"/>
  <c r="AO125" i="38"/>
  <c r="AN125" i="38"/>
  <c r="AM125" i="38"/>
  <c r="AL125" i="38"/>
  <c r="AK125" i="38"/>
  <c r="AJ125" i="38"/>
  <c r="AI125" i="38"/>
  <c r="AH125" i="38"/>
  <c r="AG125" i="38"/>
  <c r="AF125" i="38"/>
  <c r="AE125" i="38"/>
  <c r="AD125" i="38"/>
  <c r="AC125" i="38"/>
  <c r="AB125" i="38"/>
  <c r="AA125" i="38"/>
  <c r="Z125" i="38"/>
  <c r="Y125" i="38"/>
  <c r="X125" i="38"/>
  <c r="W125" i="38"/>
  <c r="V125" i="38"/>
  <c r="AO124" i="38"/>
  <c r="AN124" i="38"/>
  <c r="AM124" i="38"/>
  <c r="AL124" i="38"/>
  <c r="AK124" i="38"/>
  <c r="AJ124" i="38"/>
  <c r="AI124" i="38"/>
  <c r="AH124" i="38"/>
  <c r="AG124" i="38"/>
  <c r="AF124" i="38"/>
  <c r="AE124" i="38"/>
  <c r="AD124" i="38"/>
  <c r="AC124" i="38"/>
  <c r="AB124" i="38"/>
  <c r="AA124" i="38"/>
  <c r="Z124" i="38"/>
  <c r="Y124" i="38"/>
  <c r="X124" i="38"/>
  <c r="W124" i="38"/>
  <c r="V124" i="38"/>
  <c r="AO123" i="38"/>
  <c r="AN123" i="38"/>
  <c r="AM123" i="38"/>
  <c r="AL123" i="38"/>
  <c r="AK123" i="38"/>
  <c r="AJ123" i="38"/>
  <c r="AI123" i="38"/>
  <c r="AH123" i="38"/>
  <c r="AG123" i="38"/>
  <c r="AF123" i="38"/>
  <c r="AE123" i="38"/>
  <c r="AD123" i="38"/>
  <c r="AC123" i="38"/>
  <c r="AB123" i="38"/>
  <c r="AA123" i="38"/>
  <c r="Z123" i="38"/>
  <c r="Y123" i="38"/>
  <c r="X123" i="38"/>
  <c r="W123" i="38"/>
  <c r="V123" i="38"/>
  <c r="AO122" i="38"/>
  <c r="AN122" i="38"/>
  <c r="AM122" i="38"/>
  <c r="AL122" i="38"/>
  <c r="AK122" i="38"/>
  <c r="AJ122" i="38"/>
  <c r="AI122" i="38"/>
  <c r="AH122" i="38"/>
  <c r="AG122" i="38"/>
  <c r="AF122" i="38"/>
  <c r="AE122" i="38"/>
  <c r="AD122" i="38"/>
  <c r="AC122" i="38"/>
  <c r="AB122" i="38"/>
  <c r="AA122" i="38"/>
  <c r="Z122" i="38"/>
  <c r="Y122" i="38"/>
  <c r="X122" i="38"/>
  <c r="W122" i="38"/>
  <c r="V122" i="38"/>
  <c r="AO121" i="38"/>
  <c r="AN121" i="38"/>
  <c r="AM121" i="38"/>
  <c r="AL121" i="38"/>
  <c r="AK121" i="38"/>
  <c r="AJ121" i="38"/>
  <c r="AI121" i="38"/>
  <c r="AH121" i="38"/>
  <c r="AG121" i="38"/>
  <c r="AF121" i="38"/>
  <c r="AE121" i="38"/>
  <c r="AD121" i="38"/>
  <c r="AC121" i="38"/>
  <c r="AB121" i="38"/>
  <c r="AA121" i="38"/>
  <c r="Z121" i="38"/>
  <c r="Y121" i="38"/>
  <c r="X121" i="38"/>
  <c r="W121" i="38"/>
  <c r="V121" i="38"/>
  <c r="AO120" i="38"/>
  <c r="AN120" i="38"/>
  <c r="AM120" i="38"/>
  <c r="AL120" i="38"/>
  <c r="AK120" i="38"/>
  <c r="AJ120" i="38"/>
  <c r="AI120" i="38"/>
  <c r="AH120" i="38"/>
  <c r="AG120" i="38"/>
  <c r="AF120" i="38"/>
  <c r="AE120" i="38"/>
  <c r="AD120" i="38"/>
  <c r="AC120" i="38"/>
  <c r="AB120" i="38"/>
  <c r="AA120" i="38"/>
  <c r="Z120" i="38"/>
  <c r="Y120" i="38"/>
  <c r="X120" i="38"/>
  <c r="W120" i="38"/>
  <c r="V120" i="38"/>
  <c r="AO119" i="38"/>
  <c r="AN119" i="38"/>
  <c r="AM119" i="38"/>
  <c r="AL119" i="38"/>
  <c r="AK119" i="38"/>
  <c r="AJ119" i="38"/>
  <c r="AI119" i="38"/>
  <c r="AH119" i="38"/>
  <c r="AG119" i="38"/>
  <c r="AF119" i="38"/>
  <c r="AE119" i="38"/>
  <c r="AD119" i="38"/>
  <c r="AC119" i="38"/>
  <c r="AB119" i="38"/>
  <c r="AA119" i="38"/>
  <c r="Z119" i="38"/>
  <c r="Y119" i="38"/>
  <c r="X119" i="38"/>
  <c r="W119" i="38"/>
  <c r="V119" i="38"/>
  <c r="AO118" i="38"/>
  <c r="AN118" i="38"/>
  <c r="AM118" i="38"/>
  <c r="AL118" i="38"/>
  <c r="AK118" i="38"/>
  <c r="AJ118" i="38"/>
  <c r="AI118" i="38"/>
  <c r="AH118" i="38"/>
  <c r="AG118" i="38"/>
  <c r="AF118" i="38"/>
  <c r="AE118" i="38"/>
  <c r="AD118" i="38"/>
  <c r="AC118" i="38"/>
  <c r="AB118" i="38"/>
  <c r="AA118" i="38"/>
  <c r="Z118" i="38"/>
  <c r="Y118" i="38"/>
  <c r="X118" i="38"/>
  <c r="W118" i="38"/>
  <c r="V118" i="38"/>
  <c r="AO117" i="38"/>
  <c r="AN117" i="38"/>
  <c r="AM117" i="38"/>
  <c r="AL117" i="38"/>
  <c r="AK117" i="38"/>
  <c r="AJ117" i="38"/>
  <c r="AI117" i="38"/>
  <c r="AH117" i="38"/>
  <c r="AG117" i="38"/>
  <c r="AF117" i="38"/>
  <c r="AE117" i="38"/>
  <c r="AD117" i="38"/>
  <c r="AC117" i="38"/>
  <c r="AB117" i="38"/>
  <c r="AA117" i="38"/>
  <c r="Z117" i="38"/>
  <c r="Y117" i="38"/>
  <c r="X117" i="38"/>
  <c r="W117" i="38"/>
  <c r="V117" i="38"/>
  <c r="AO116" i="38"/>
  <c r="AN116" i="38"/>
  <c r="AM116" i="38"/>
  <c r="AL116" i="38"/>
  <c r="AK116" i="38"/>
  <c r="AJ116" i="38"/>
  <c r="AI116" i="38"/>
  <c r="AH116" i="38"/>
  <c r="AG116" i="38"/>
  <c r="AF116" i="38"/>
  <c r="AE116" i="38"/>
  <c r="AD116" i="38"/>
  <c r="AC116" i="38"/>
  <c r="AB116" i="38"/>
  <c r="AA116" i="38"/>
  <c r="Z116" i="38"/>
  <c r="Y116" i="38"/>
  <c r="X116" i="38"/>
  <c r="W116" i="38"/>
  <c r="V116" i="38"/>
  <c r="AO115" i="38"/>
  <c r="AN115" i="38"/>
  <c r="AM115" i="38"/>
  <c r="AL115" i="38"/>
  <c r="AK115" i="38"/>
  <c r="AJ115" i="38"/>
  <c r="AI115" i="38"/>
  <c r="AH115" i="38"/>
  <c r="AG115" i="38"/>
  <c r="AF115" i="38"/>
  <c r="AE115" i="38"/>
  <c r="AD115" i="38"/>
  <c r="AC115" i="38"/>
  <c r="AB115" i="38"/>
  <c r="AA115" i="38"/>
  <c r="Z115" i="38"/>
  <c r="Y115" i="38"/>
  <c r="X115" i="38"/>
  <c r="W115" i="38"/>
  <c r="V115" i="38"/>
  <c r="AO114" i="38"/>
  <c r="AN114" i="38"/>
  <c r="AM114" i="38"/>
  <c r="AL114" i="38"/>
  <c r="AK114" i="38"/>
  <c r="AJ114" i="38"/>
  <c r="AI114" i="38"/>
  <c r="AH114" i="38"/>
  <c r="AG114" i="38"/>
  <c r="AF114" i="38"/>
  <c r="AE114" i="38"/>
  <c r="AD114" i="38"/>
  <c r="AC114" i="38"/>
  <c r="AB114" i="38"/>
  <c r="AA114" i="38"/>
  <c r="Z114" i="38"/>
  <c r="Y114" i="38"/>
  <c r="X114" i="38"/>
  <c r="W114" i="38"/>
  <c r="V114" i="38"/>
  <c r="AO113" i="38"/>
  <c r="AN113" i="38"/>
  <c r="AM113" i="38"/>
  <c r="AL113" i="38"/>
  <c r="AK113" i="38"/>
  <c r="AJ113" i="38"/>
  <c r="AI113" i="38"/>
  <c r="AH113" i="38"/>
  <c r="AG113" i="38"/>
  <c r="AF113" i="38"/>
  <c r="AE113" i="38"/>
  <c r="AD113" i="38"/>
  <c r="AC113" i="38"/>
  <c r="AB113" i="38"/>
  <c r="AA113" i="38"/>
  <c r="Z113" i="38"/>
  <c r="Y113" i="38"/>
  <c r="X113" i="38"/>
  <c r="W113" i="38"/>
  <c r="V113" i="38"/>
  <c r="AO112" i="38"/>
  <c r="AN112" i="38"/>
  <c r="AM112" i="38"/>
  <c r="AL112" i="38"/>
  <c r="AK112" i="38"/>
  <c r="AJ112" i="38"/>
  <c r="AI112" i="38"/>
  <c r="AH112" i="38"/>
  <c r="AG112" i="38"/>
  <c r="AF112" i="38"/>
  <c r="AE112" i="38"/>
  <c r="AD112" i="38"/>
  <c r="AC112" i="38"/>
  <c r="AB112" i="38"/>
  <c r="AA112" i="38"/>
  <c r="Z112" i="38"/>
  <c r="Y112" i="38"/>
  <c r="X112" i="38"/>
  <c r="W112" i="38"/>
  <c r="V112" i="38"/>
  <c r="AO111" i="38"/>
  <c r="AN111" i="38"/>
  <c r="AM111" i="38"/>
  <c r="AL111" i="38"/>
  <c r="AK111" i="38"/>
  <c r="AJ111" i="38"/>
  <c r="AI111" i="38"/>
  <c r="AH111" i="38"/>
  <c r="AG111" i="38"/>
  <c r="AF111" i="38"/>
  <c r="AE111" i="38"/>
  <c r="AD111" i="38"/>
  <c r="AC111" i="38"/>
  <c r="AB111" i="38"/>
  <c r="AA111" i="38"/>
  <c r="Z111" i="38"/>
  <c r="Y111" i="38"/>
  <c r="X111" i="38"/>
  <c r="W111" i="38"/>
  <c r="V111" i="38"/>
  <c r="AO110" i="38"/>
  <c r="AN110" i="38"/>
  <c r="AM110" i="38"/>
  <c r="AL110" i="38"/>
  <c r="AK110" i="38"/>
  <c r="AJ110" i="38"/>
  <c r="AI110" i="38"/>
  <c r="AH110" i="38"/>
  <c r="AG110" i="38"/>
  <c r="AF110" i="38"/>
  <c r="AE110" i="38"/>
  <c r="AD110" i="38"/>
  <c r="AC110" i="38"/>
  <c r="AB110" i="38"/>
  <c r="AA110" i="38"/>
  <c r="Z110" i="38"/>
  <c r="Y110" i="38"/>
  <c r="X110" i="38"/>
  <c r="W110" i="38"/>
  <c r="V110" i="38"/>
  <c r="AO109" i="38"/>
  <c r="AN109" i="38"/>
  <c r="AM109" i="38"/>
  <c r="AL109" i="38"/>
  <c r="AK109" i="38"/>
  <c r="AJ109" i="38"/>
  <c r="AI109" i="38"/>
  <c r="AH109" i="38"/>
  <c r="AG109" i="38"/>
  <c r="AF109" i="38"/>
  <c r="AE109" i="38"/>
  <c r="AD109" i="38"/>
  <c r="AC109" i="38"/>
  <c r="AB109" i="38"/>
  <c r="AA109" i="38"/>
  <c r="Z109" i="38"/>
  <c r="Y109" i="38"/>
  <c r="X109" i="38"/>
  <c r="W109" i="38"/>
  <c r="V109" i="38"/>
  <c r="AO108" i="38"/>
  <c r="AN108" i="38"/>
  <c r="AM108" i="38"/>
  <c r="AL108" i="38"/>
  <c r="AK108" i="38"/>
  <c r="AJ108" i="38"/>
  <c r="AI108" i="38"/>
  <c r="AH108" i="38"/>
  <c r="AG108" i="38"/>
  <c r="AF108" i="38"/>
  <c r="AE108" i="38"/>
  <c r="AD108" i="38"/>
  <c r="AC108" i="38"/>
  <c r="AB108" i="38"/>
  <c r="AA108" i="38"/>
  <c r="Z108" i="38"/>
  <c r="Y108" i="38"/>
  <c r="X108" i="38"/>
  <c r="W108" i="38"/>
  <c r="V108" i="38"/>
  <c r="AO107" i="38"/>
  <c r="AN107" i="38"/>
  <c r="AM107" i="38"/>
  <c r="AL107" i="38"/>
  <c r="AK107" i="38"/>
  <c r="AJ107" i="38"/>
  <c r="AI107" i="38"/>
  <c r="AH107" i="38"/>
  <c r="AG107" i="38"/>
  <c r="AF107" i="38"/>
  <c r="AE107" i="38"/>
  <c r="AD107" i="38"/>
  <c r="AC107" i="38"/>
  <c r="AB107" i="38"/>
  <c r="AA107" i="38"/>
  <c r="Z107" i="38"/>
  <c r="Y107" i="38"/>
  <c r="X107" i="38"/>
  <c r="W107" i="38"/>
  <c r="V107" i="38"/>
  <c r="AO106" i="38"/>
  <c r="AN106" i="38"/>
  <c r="AM106" i="38"/>
  <c r="AL106" i="38"/>
  <c r="AK106" i="38"/>
  <c r="AJ106" i="38"/>
  <c r="AI106" i="38"/>
  <c r="AH106" i="38"/>
  <c r="AG106" i="38"/>
  <c r="AF106" i="38"/>
  <c r="AE106" i="38"/>
  <c r="AD106" i="38"/>
  <c r="AC106" i="38"/>
  <c r="AB106" i="38"/>
  <c r="AA106" i="38"/>
  <c r="Z106" i="38"/>
  <c r="Y106" i="38"/>
  <c r="X106" i="38"/>
  <c r="W106" i="38"/>
  <c r="V106" i="38"/>
  <c r="AO105" i="38"/>
  <c r="AN105" i="38"/>
  <c r="AM105" i="38"/>
  <c r="AL105" i="38"/>
  <c r="AK105" i="38"/>
  <c r="AJ105" i="38"/>
  <c r="AI105" i="38"/>
  <c r="AH105" i="38"/>
  <c r="AG105" i="38"/>
  <c r="AF105" i="38"/>
  <c r="AE105" i="38"/>
  <c r="AD105" i="38"/>
  <c r="AC105" i="38"/>
  <c r="AB105" i="38"/>
  <c r="AA105" i="38"/>
  <c r="Z105" i="38"/>
  <c r="Y105" i="38"/>
  <c r="X105" i="38"/>
  <c r="W105" i="38"/>
  <c r="V105" i="38"/>
  <c r="AO104" i="38"/>
  <c r="AN104" i="38"/>
  <c r="AM104" i="38"/>
  <c r="AL104" i="38"/>
  <c r="AK104" i="38"/>
  <c r="AJ104" i="38"/>
  <c r="AI104" i="38"/>
  <c r="AH104" i="38"/>
  <c r="AG104" i="38"/>
  <c r="AF104" i="38"/>
  <c r="AE104" i="38"/>
  <c r="AD104" i="38"/>
  <c r="AC104" i="38"/>
  <c r="AB104" i="38"/>
  <c r="AA104" i="38"/>
  <c r="Z104" i="38"/>
  <c r="Y104" i="38"/>
  <c r="X104" i="38"/>
  <c r="W104" i="38"/>
  <c r="V104" i="38"/>
  <c r="AO103" i="38"/>
  <c r="AN103" i="38"/>
  <c r="AM103" i="38"/>
  <c r="AL103" i="38"/>
  <c r="AK103" i="38"/>
  <c r="AJ103" i="38"/>
  <c r="AI103" i="38"/>
  <c r="AH103" i="38"/>
  <c r="AG103" i="38"/>
  <c r="AF103" i="38"/>
  <c r="AE103" i="38"/>
  <c r="AD103" i="38"/>
  <c r="AC103" i="38"/>
  <c r="AB103" i="38"/>
  <c r="AA103" i="38"/>
  <c r="Z103" i="38"/>
  <c r="Y103" i="38"/>
  <c r="X103" i="38"/>
  <c r="W103" i="38"/>
  <c r="V103" i="38"/>
  <c r="AO102" i="38"/>
  <c r="AN102" i="38"/>
  <c r="AM102" i="38"/>
  <c r="AL102" i="38"/>
  <c r="AK102" i="38"/>
  <c r="AJ102" i="38"/>
  <c r="AI102" i="38"/>
  <c r="AH102" i="38"/>
  <c r="AG102" i="38"/>
  <c r="AF102" i="38"/>
  <c r="AE102" i="38"/>
  <c r="AD102" i="38"/>
  <c r="AC102" i="38"/>
  <c r="AB102" i="38"/>
  <c r="AA102" i="38"/>
  <c r="Z102" i="38"/>
  <c r="Y102" i="38"/>
  <c r="X102" i="38"/>
  <c r="W102" i="38"/>
  <c r="V102" i="38"/>
  <c r="AO101" i="38"/>
  <c r="AN101" i="38"/>
  <c r="AM101" i="38"/>
  <c r="AL101" i="38"/>
  <c r="AK101" i="38"/>
  <c r="AJ101" i="38"/>
  <c r="AI101" i="38"/>
  <c r="AH101" i="38"/>
  <c r="AG101" i="38"/>
  <c r="AF101" i="38"/>
  <c r="AE101" i="38"/>
  <c r="AD101" i="38"/>
  <c r="AC101" i="38"/>
  <c r="AB101" i="38"/>
  <c r="AA101" i="38"/>
  <c r="Z101" i="38"/>
  <c r="Y101" i="38"/>
  <c r="X101" i="38"/>
  <c r="W101" i="38"/>
  <c r="V101" i="38"/>
  <c r="AO100" i="38"/>
  <c r="AN100" i="38"/>
  <c r="AM100" i="38"/>
  <c r="AL100" i="38"/>
  <c r="AK100" i="38"/>
  <c r="AJ100" i="38"/>
  <c r="AI100" i="38"/>
  <c r="AH100" i="38"/>
  <c r="AG100" i="38"/>
  <c r="AF100" i="38"/>
  <c r="AE100" i="38"/>
  <c r="AD100" i="38"/>
  <c r="AC100" i="38"/>
  <c r="AB100" i="38"/>
  <c r="AA100" i="38"/>
  <c r="Z100" i="38"/>
  <c r="Y100" i="38"/>
  <c r="X100" i="38"/>
  <c r="W100" i="38"/>
  <c r="V100" i="38"/>
  <c r="AC95" i="38"/>
  <c r="AB95" i="38"/>
  <c r="AA95" i="38"/>
  <c r="Z95" i="38"/>
  <c r="Y95" i="38"/>
  <c r="X95" i="38"/>
  <c r="W95" i="38"/>
  <c r="V95" i="38"/>
  <c r="AD94" i="38"/>
  <c r="AC94" i="38"/>
  <c r="AB94" i="38"/>
  <c r="AE94" i="38" s="1"/>
  <c r="AA94" i="38"/>
  <c r="Y94" i="38"/>
  <c r="W94" i="38"/>
  <c r="V94" i="38"/>
  <c r="AD93" i="38"/>
  <c r="AC93" i="38"/>
  <c r="AA93" i="38"/>
  <c r="Z93" i="38"/>
  <c r="Y93" i="38"/>
  <c r="X93" i="38"/>
  <c r="W93" i="38"/>
  <c r="AC92" i="38"/>
  <c r="AB92" i="38"/>
  <c r="AA92" i="38"/>
  <c r="Z92" i="38"/>
  <c r="Y92" i="38"/>
  <c r="X92" i="38"/>
  <c r="W92" i="38"/>
  <c r="V92" i="38"/>
  <c r="AD91" i="38"/>
  <c r="AC91" i="38"/>
  <c r="AB91" i="38"/>
  <c r="AE91" i="38" s="1"/>
  <c r="AA91" i="38"/>
  <c r="Y91" i="38"/>
  <c r="W91" i="38"/>
  <c r="V91" i="38"/>
  <c r="AD90" i="38"/>
  <c r="AC90" i="38"/>
  <c r="AB90" i="38"/>
  <c r="AE90" i="38" s="1"/>
  <c r="AA90" i="38"/>
  <c r="Z90" i="38"/>
  <c r="Y90" i="38"/>
  <c r="X90" i="38"/>
  <c r="W90" i="38"/>
  <c r="V90" i="38"/>
  <c r="AC89" i="38"/>
  <c r="AB89" i="38"/>
  <c r="AA89" i="38"/>
  <c r="Z89" i="38"/>
  <c r="Y89" i="38"/>
  <c r="X89" i="38"/>
  <c r="W89" i="38"/>
  <c r="V89" i="38"/>
  <c r="AD88" i="38"/>
  <c r="AC88" i="38"/>
  <c r="AB88" i="38"/>
  <c r="AE88" i="38" s="1"/>
  <c r="AA88" i="38"/>
  <c r="Y88" i="38"/>
  <c r="W88" i="38"/>
  <c r="V88" i="38"/>
  <c r="AD87" i="38"/>
  <c r="AC87" i="38"/>
  <c r="AA87" i="38"/>
  <c r="Z87" i="38"/>
  <c r="Y87" i="38"/>
  <c r="X87" i="38"/>
  <c r="W87" i="38"/>
  <c r="Z82" i="38"/>
  <c r="Y82" i="38"/>
  <c r="X82" i="38"/>
  <c r="W82" i="38"/>
  <c r="V82" i="38"/>
  <c r="Z81" i="38"/>
  <c r="Y81" i="38"/>
  <c r="X81" i="38"/>
  <c r="W81" i="38"/>
  <c r="V81" i="38"/>
  <c r="Z80" i="38"/>
  <c r="Y80" i="38"/>
  <c r="X80" i="38"/>
  <c r="W80" i="38"/>
  <c r="V80" i="38"/>
  <c r="Z79" i="38"/>
  <c r="Y79" i="38"/>
  <c r="X79" i="38"/>
  <c r="W79" i="38"/>
  <c r="V79" i="38"/>
  <c r="Z78" i="38"/>
  <c r="Y78" i="38"/>
  <c r="X78" i="38"/>
  <c r="W78" i="38"/>
  <c r="V78" i="38"/>
  <c r="Z77" i="38"/>
  <c r="Y77" i="38"/>
  <c r="X77" i="38"/>
  <c r="W77" i="38"/>
  <c r="V77" i="38"/>
  <c r="Z76" i="38"/>
  <c r="Y76" i="38"/>
  <c r="X76" i="38"/>
  <c r="W76" i="38"/>
  <c r="V76" i="38"/>
  <c r="Z75" i="38"/>
  <c r="Y75" i="38"/>
  <c r="X75" i="38"/>
  <c r="W75" i="38"/>
  <c r="V75" i="38"/>
  <c r="Z74" i="38"/>
  <c r="Y74" i="38"/>
  <c r="X74" i="38"/>
  <c r="W74" i="38"/>
  <c r="V74" i="38"/>
  <c r="Z73" i="38"/>
  <c r="Y73" i="38"/>
  <c r="X73" i="38"/>
  <c r="W73" i="38"/>
  <c r="V73" i="38"/>
  <c r="Z68" i="38"/>
  <c r="Y68" i="38"/>
  <c r="X68" i="38"/>
  <c r="W68" i="38"/>
  <c r="V68" i="38"/>
  <c r="Z67" i="38"/>
  <c r="Y67" i="38"/>
  <c r="X67" i="38"/>
  <c r="W67" i="38"/>
  <c r="V67" i="38"/>
  <c r="Z66" i="38"/>
  <c r="Y66" i="38"/>
  <c r="X66" i="38"/>
  <c r="W66" i="38"/>
  <c r="V66" i="38"/>
  <c r="Z65" i="38"/>
  <c r="Y65" i="38"/>
  <c r="X65" i="38"/>
  <c r="W65" i="38"/>
  <c r="V65" i="38"/>
  <c r="Z64" i="38"/>
  <c r="Y64" i="38"/>
  <c r="X64" i="38"/>
  <c r="W64" i="38"/>
  <c r="V64" i="38"/>
  <c r="Z63" i="38"/>
  <c r="Y63" i="38"/>
  <c r="X63" i="38"/>
  <c r="W63" i="38"/>
  <c r="V63" i="38"/>
  <c r="Z62" i="38"/>
  <c r="Y62" i="38"/>
  <c r="X62" i="38"/>
  <c r="W62" i="38"/>
  <c r="V62" i="38"/>
  <c r="Z61" i="38"/>
  <c r="Y61" i="38"/>
  <c r="X61" i="38"/>
  <c r="W61" i="38"/>
  <c r="V61" i="38"/>
  <c r="Z60" i="38"/>
  <c r="Y60" i="38"/>
  <c r="X60" i="38"/>
  <c r="W60" i="38"/>
  <c r="V60" i="38"/>
  <c r="Z59" i="38"/>
  <c r="Y59" i="38"/>
  <c r="X59" i="38"/>
  <c r="W59" i="38"/>
  <c r="V59" i="38"/>
  <c r="AQ58" i="38"/>
  <c r="D40" i="38" s="1"/>
  <c r="Z58" i="38"/>
  <c r="Y58" i="38"/>
  <c r="X58" i="38"/>
  <c r="W58" i="38"/>
  <c r="V58" i="38"/>
  <c r="Z57" i="38"/>
  <c r="Y57" i="38"/>
  <c r="X57" i="38"/>
  <c r="W57" i="38"/>
  <c r="V57" i="38"/>
  <c r="Z56" i="38"/>
  <c r="Y56" i="38"/>
  <c r="X56" i="38"/>
  <c r="W56" i="38"/>
  <c r="V56" i="38"/>
  <c r="V49" i="38" s="1"/>
  <c r="AP44" i="38"/>
  <c r="B59" i="38" s="1"/>
  <c r="AP43" i="38"/>
  <c r="B58" i="38" s="1"/>
  <c r="AP42" i="38"/>
  <c r="B57" i="38" s="1"/>
  <c r="AP41" i="38"/>
  <c r="B56" i="38" s="1"/>
  <c r="AP40" i="38"/>
  <c r="B55" i="38" s="1"/>
  <c r="B40" i="38"/>
  <c r="X36" i="38"/>
  <c r="X35" i="38"/>
  <c r="Q35" i="38"/>
  <c r="P35" i="38"/>
  <c r="E18" i="38" s="1"/>
  <c r="AC30" i="38" s="1"/>
  <c r="B35" i="38"/>
  <c r="X34" i="38"/>
  <c r="J34" i="38"/>
  <c r="D35" i="38" s="1"/>
  <c r="X33" i="38"/>
  <c r="X32" i="38"/>
  <c r="AG31" i="38"/>
  <c r="X31" i="38"/>
  <c r="X30" i="38"/>
  <c r="X29" i="38"/>
  <c r="B29" i="38"/>
  <c r="AQ27" i="38" s="1"/>
  <c r="X28" i="38"/>
  <c r="B27" i="38"/>
  <c r="P25" i="38"/>
  <c r="P24" i="38"/>
  <c r="I24" i="38"/>
  <c r="G24" i="38"/>
  <c r="E24" i="38"/>
  <c r="C24" i="38"/>
  <c r="AB23" i="38"/>
  <c r="AA23" i="38"/>
  <c r="Z23" i="38"/>
  <c r="AC23" i="38" s="1"/>
  <c r="AD22" i="38" s="1"/>
  <c r="AB39" i="38" s="1"/>
  <c r="Y23" i="38"/>
  <c r="I23" i="38"/>
  <c r="G23" i="38"/>
  <c r="E23" i="38"/>
  <c r="C23" i="38"/>
  <c r="AB22" i="38"/>
  <c r="AA22" i="38"/>
  <c r="Z22" i="38"/>
  <c r="Y22" i="38"/>
  <c r="I22" i="38"/>
  <c r="G22" i="38"/>
  <c r="E22" i="38"/>
  <c r="C22" i="38"/>
  <c r="I21" i="38"/>
  <c r="G21" i="38"/>
  <c r="E21" i="38"/>
  <c r="C21" i="38"/>
  <c r="AQ20" i="38"/>
  <c r="B49" i="38" s="1"/>
  <c r="AQ36" i="38" s="1"/>
  <c r="AI20" i="38"/>
  <c r="I20" i="38"/>
  <c r="AQ19" i="38"/>
  <c r="B48" i="38" s="1"/>
  <c r="AQ35" i="38" s="1"/>
  <c r="AI19" i="38"/>
  <c r="AQ18" i="38"/>
  <c r="B47" i="38" s="1"/>
  <c r="AQ34" i="38" s="1"/>
  <c r="AJ18" i="38"/>
  <c r="AK18" i="38" s="1"/>
  <c r="AV26" i="38" s="1"/>
  <c r="AI18" i="38"/>
  <c r="I18" i="38"/>
  <c r="AI17" i="38"/>
  <c r="AI16" i="38"/>
  <c r="AI15" i="38"/>
  <c r="AQ14" i="38"/>
  <c r="AI14" i="38"/>
  <c r="I14" i="38"/>
  <c r="AQ13" i="38"/>
  <c r="B45" i="38" s="1"/>
  <c r="AQ32" i="38" s="1"/>
  <c r="AI13" i="38"/>
  <c r="AQ12" i="38"/>
  <c r="B44" i="38" s="1"/>
  <c r="AQ31" i="38" s="1"/>
  <c r="AJ12" i="38"/>
  <c r="AK12" i="38" s="1"/>
  <c r="AT26" i="38" s="1"/>
  <c r="AI12" i="38"/>
  <c r="AI11" i="38"/>
  <c r="AB11" i="38"/>
  <c r="AA11" i="38"/>
  <c r="Z11" i="38"/>
  <c r="AC11" i="38" s="1"/>
  <c r="Y11" i="38"/>
  <c r="AI10" i="38"/>
  <c r="AB10" i="38"/>
  <c r="AA10" i="38"/>
  <c r="Z10" i="38"/>
  <c r="AC10" i="38" s="1"/>
  <c r="Y10" i="38"/>
  <c r="AJ9" i="38"/>
  <c r="AI9" i="38"/>
  <c r="AB9" i="38"/>
  <c r="AA9" i="38"/>
  <c r="Z9" i="38"/>
  <c r="AC9" i="38" s="1"/>
  <c r="Y9" i="38"/>
  <c r="AQ8" i="38"/>
  <c r="AB8" i="38"/>
  <c r="AA8" i="38"/>
  <c r="Z8" i="38"/>
  <c r="AC8" i="38" s="1"/>
  <c r="Y8" i="38"/>
  <c r="AQ7" i="38"/>
  <c r="AQ6" i="38"/>
  <c r="B41" i="38" s="1"/>
  <c r="AQ28" i="38" s="1"/>
  <c r="AO179" i="37"/>
  <c r="AN179" i="37"/>
  <c r="AM179" i="37"/>
  <c r="AL179" i="37"/>
  <c r="AK179" i="37"/>
  <c r="AJ179" i="37"/>
  <c r="AI179" i="37"/>
  <c r="AH179" i="37"/>
  <c r="AG179" i="37"/>
  <c r="AF179" i="37"/>
  <c r="AE179" i="37"/>
  <c r="AD179" i="37"/>
  <c r="AC179" i="37"/>
  <c r="AB179" i="37"/>
  <c r="AA179" i="37"/>
  <c r="Z179" i="37"/>
  <c r="Y179" i="37"/>
  <c r="X179" i="37"/>
  <c r="W179" i="37"/>
  <c r="V179" i="37"/>
  <c r="AO178" i="37"/>
  <c r="AN178" i="37"/>
  <c r="AM178" i="37"/>
  <c r="AL178" i="37"/>
  <c r="AK178" i="37"/>
  <c r="AJ178" i="37"/>
  <c r="AI178" i="37"/>
  <c r="AH178" i="37"/>
  <c r="AG178" i="37"/>
  <c r="AF178" i="37"/>
  <c r="AE178" i="37"/>
  <c r="AD178" i="37"/>
  <c r="AC178" i="37"/>
  <c r="AB178" i="37"/>
  <c r="AA178" i="37"/>
  <c r="Z178" i="37"/>
  <c r="Y178" i="37"/>
  <c r="X178" i="37"/>
  <c r="W178" i="37"/>
  <c r="V178" i="37"/>
  <c r="AO177" i="37"/>
  <c r="AN177" i="37"/>
  <c r="AM177" i="37"/>
  <c r="AL177" i="37"/>
  <c r="AK177" i="37"/>
  <c r="AJ177" i="37"/>
  <c r="AI177" i="37"/>
  <c r="AH177" i="37"/>
  <c r="AG177" i="37"/>
  <c r="AF177" i="37"/>
  <c r="AE177" i="37"/>
  <c r="AD177" i="37"/>
  <c r="AC177" i="37"/>
  <c r="AB177" i="37"/>
  <c r="AA177" i="37"/>
  <c r="Z177" i="37"/>
  <c r="Y177" i="37"/>
  <c r="X177" i="37"/>
  <c r="W177" i="37"/>
  <c r="V177" i="37"/>
  <c r="AO176" i="37"/>
  <c r="AN176" i="37"/>
  <c r="AM176" i="37"/>
  <c r="AL176" i="37"/>
  <c r="AK176" i="37"/>
  <c r="AJ176" i="37"/>
  <c r="AI176" i="37"/>
  <c r="AH176" i="37"/>
  <c r="AG176" i="37"/>
  <c r="AF176" i="37"/>
  <c r="AE176" i="37"/>
  <c r="AD176" i="37"/>
  <c r="AC176" i="37"/>
  <c r="AB176" i="37"/>
  <c r="AA176" i="37"/>
  <c r="Z176" i="37"/>
  <c r="Y176" i="37"/>
  <c r="X176" i="37"/>
  <c r="W176" i="37"/>
  <c r="V176" i="37"/>
  <c r="AO175" i="37"/>
  <c r="AN175" i="37"/>
  <c r="AM175" i="37"/>
  <c r="AL175" i="37"/>
  <c r="AK175" i="37"/>
  <c r="AJ175" i="37"/>
  <c r="AI175" i="37"/>
  <c r="AH175" i="37"/>
  <c r="AG175" i="37"/>
  <c r="AF175" i="37"/>
  <c r="AE175" i="37"/>
  <c r="AD175" i="37"/>
  <c r="AC175" i="37"/>
  <c r="AB175" i="37"/>
  <c r="AA175" i="37"/>
  <c r="Z175" i="37"/>
  <c r="Y175" i="37"/>
  <c r="X175" i="37"/>
  <c r="W175" i="37"/>
  <c r="V175" i="37"/>
  <c r="AO174" i="37"/>
  <c r="AN174" i="37"/>
  <c r="AM174" i="37"/>
  <c r="AL174" i="37"/>
  <c r="AK174" i="37"/>
  <c r="AJ174" i="37"/>
  <c r="AI174" i="37"/>
  <c r="AH174" i="37"/>
  <c r="AG174" i="37"/>
  <c r="AF174" i="37"/>
  <c r="AE174" i="37"/>
  <c r="AD174" i="37"/>
  <c r="AC174" i="37"/>
  <c r="AB174" i="37"/>
  <c r="AA174" i="37"/>
  <c r="Z174" i="37"/>
  <c r="Y174" i="37"/>
  <c r="X174" i="37"/>
  <c r="W174" i="37"/>
  <c r="V174" i="37"/>
  <c r="AO173" i="37"/>
  <c r="AN173" i="37"/>
  <c r="AM173" i="37"/>
  <c r="AL173" i="37"/>
  <c r="AK173" i="37"/>
  <c r="AJ173" i="37"/>
  <c r="AI173" i="37"/>
  <c r="AH173" i="37"/>
  <c r="AG173" i="37"/>
  <c r="AF173" i="37"/>
  <c r="AE173" i="37"/>
  <c r="AD173" i="37"/>
  <c r="AC173" i="37"/>
  <c r="AB173" i="37"/>
  <c r="AA173" i="37"/>
  <c r="Z173" i="37"/>
  <c r="Y173" i="37"/>
  <c r="X173" i="37"/>
  <c r="W173" i="37"/>
  <c r="V173" i="37"/>
  <c r="AO172" i="37"/>
  <c r="AN172" i="37"/>
  <c r="AM172" i="37"/>
  <c r="AL172" i="37"/>
  <c r="AK172" i="37"/>
  <c r="AJ172" i="37"/>
  <c r="AI172" i="37"/>
  <c r="AH172" i="37"/>
  <c r="AG172" i="37"/>
  <c r="AF172" i="37"/>
  <c r="AE172" i="37"/>
  <c r="AD172" i="37"/>
  <c r="AC172" i="37"/>
  <c r="AB172" i="37"/>
  <c r="AA172" i="37"/>
  <c r="Z172" i="37"/>
  <c r="Y172" i="37"/>
  <c r="X172" i="37"/>
  <c r="W172" i="37"/>
  <c r="V172" i="37"/>
  <c r="AO171" i="37"/>
  <c r="AN171" i="37"/>
  <c r="AM171" i="37"/>
  <c r="AL171" i="37"/>
  <c r="AK171" i="37"/>
  <c r="AJ171" i="37"/>
  <c r="AI171" i="37"/>
  <c r="AH171" i="37"/>
  <c r="AG171" i="37"/>
  <c r="AF171" i="37"/>
  <c r="AE171" i="37"/>
  <c r="AD171" i="37"/>
  <c r="AC171" i="37"/>
  <c r="AB171" i="37"/>
  <c r="AA171" i="37"/>
  <c r="Z171" i="37"/>
  <c r="Y171" i="37"/>
  <c r="X171" i="37"/>
  <c r="W171" i="37"/>
  <c r="V171" i="37"/>
  <c r="AO170" i="37"/>
  <c r="AN170" i="37"/>
  <c r="AM170" i="37"/>
  <c r="AL170" i="37"/>
  <c r="AK170" i="37"/>
  <c r="AJ170" i="37"/>
  <c r="AI170" i="37"/>
  <c r="AH170" i="37"/>
  <c r="AG170" i="37"/>
  <c r="AF170" i="37"/>
  <c r="AE170" i="37"/>
  <c r="AD170" i="37"/>
  <c r="AC170" i="37"/>
  <c r="AB170" i="37"/>
  <c r="AA170" i="37"/>
  <c r="Z170" i="37"/>
  <c r="Y170" i="37"/>
  <c r="X170" i="37"/>
  <c r="W170" i="37"/>
  <c r="V170" i="37"/>
  <c r="AO169" i="37"/>
  <c r="AN169" i="37"/>
  <c r="AM169" i="37"/>
  <c r="AL169" i="37"/>
  <c r="AK169" i="37"/>
  <c r="AJ169" i="37"/>
  <c r="AI169" i="37"/>
  <c r="AH169" i="37"/>
  <c r="AG169" i="37"/>
  <c r="AF169" i="37"/>
  <c r="AE169" i="37"/>
  <c r="AD169" i="37"/>
  <c r="AC169" i="37"/>
  <c r="AB169" i="37"/>
  <c r="AA169" i="37"/>
  <c r="Z169" i="37"/>
  <c r="Y169" i="37"/>
  <c r="X169" i="37"/>
  <c r="W169" i="37"/>
  <c r="V169" i="37"/>
  <c r="AO168" i="37"/>
  <c r="AN168" i="37"/>
  <c r="AM168" i="37"/>
  <c r="AL168" i="37"/>
  <c r="X95" i="37" s="1"/>
  <c r="AK168" i="37"/>
  <c r="AJ168" i="37"/>
  <c r="AI168" i="37"/>
  <c r="AH168" i="37"/>
  <c r="AG168" i="37"/>
  <c r="AF168" i="37"/>
  <c r="AE168" i="37"/>
  <c r="AD168" i="37"/>
  <c r="AC168" i="37"/>
  <c r="AC95" i="37" s="1"/>
  <c r="AB168" i="37"/>
  <c r="AB95" i="37" s="1"/>
  <c r="AA168" i="37"/>
  <c r="Z168" i="37"/>
  <c r="Y168" i="37"/>
  <c r="X168" i="37"/>
  <c r="W168" i="37"/>
  <c r="V168" i="37"/>
  <c r="AO167" i="37"/>
  <c r="AN167" i="37"/>
  <c r="AM167" i="37"/>
  <c r="AL167" i="37"/>
  <c r="AK167" i="37"/>
  <c r="AJ167" i="37"/>
  <c r="AI167" i="37"/>
  <c r="AH167" i="37"/>
  <c r="AG167" i="37"/>
  <c r="AF167" i="37"/>
  <c r="AE167" i="37"/>
  <c r="AD167" i="37"/>
  <c r="AC167" i="37"/>
  <c r="AB167" i="37"/>
  <c r="AB94" i="37" s="1"/>
  <c r="AA167" i="37"/>
  <c r="Z167" i="37"/>
  <c r="Y167" i="37"/>
  <c r="X167" i="37"/>
  <c r="W167" i="37"/>
  <c r="V167" i="37"/>
  <c r="AO166" i="37"/>
  <c r="AN166" i="37"/>
  <c r="AM166" i="37"/>
  <c r="AL166" i="37"/>
  <c r="AK166" i="37"/>
  <c r="AJ166" i="37"/>
  <c r="AI166" i="37"/>
  <c r="AH166" i="37"/>
  <c r="AG166" i="37"/>
  <c r="AF166" i="37"/>
  <c r="AE166" i="37"/>
  <c r="AD166" i="37"/>
  <c r="AC166" i="37"/>
  <c r="AC93" i="37" s="1"/>
  <c r="AB166" i="37"/>
  <c r="AA166" i="37"/>
  <c r="AA93" i="37" s="1"/>
  <c r="Z166" i="37"/>
  <c r="Y166" i="37"/>
  <c r="X166" i="37"/>
  <c r="W166" i="37"/>
  <c r="W93" i="37" s="1"/>
  <c r="V166" i="37"/>
  <c r="AO165" i="37"/>
  <c r="AN165" i="37"/>
  <c r="AM165" i="37"/>
  <c r="AL165" i="37"/>
  <c r="X92" i="37" s="1"/>
  <c r="AK165" i="37"/>
  <c r="AJ165" i="37"/>
  <c r="AI165" i="37"/>
  <c r="AH165" i="37"/>
  <c r="AG165" i="37"/>
  <c r="AF165" i="37"/>
  <c r="AE165" i="37"/>
  <c r="AD165" i="37"/>
  <c r="AC165" i="37"/>
  <c r="AC92" i="37" s="1"/>
  <c r="AB165" i="37"/>
  <c r="AB92" i="37" s="1"/>
  <c r="AA165" i="37"/>
  <c r="Z165" i="37"/>
  <c r="Y165" i="37"/>
  <c r="Y92" i="37" s="1"/>
  <c r="X165" i="37"/>
  <c r="W165" i="37"/>
  <c r="W92" i="37" s="1"/>
  <c r="V165" i="37"/>
  <c r="AO164" i="37"/>
  <c r="AN164" i="37"/>
  <c r="AM164" i="37"/>
  <c r="AL164" i="37"/>
  <c r="AK164" i="37"/>
  <c r="AJ164" i="37"/>
  <c r="AI164" i="37"/>
  <c r="AH164" i="37"/>
  <c r="AG164" i="37"/>
  <c r="AF164" i="37"/>
  <c r="AE164" i="37"/>
  <c r="AD164" i="37"/>
  <c r="AC164" i="37"/>
  <c r="AB164" i="37"/>
  <c r="AB91" i="37" s="1"/>
  <c r="AA164" i="37"/>
  <c r="AA91" i="37" s="1"/>
  <c r="Z164" i="37"/>
  <c r="Y164" i="37"/>
  <c r="Y91" i="37" s="1"/>
  <c r="X164" i="37"/>
  <c r="W164" i="37"/>
  <c r="V164" i="37"/>
  <c r="AO163" i="37"/>
  <c r="AN163" i="37"/>
  <c r="AM163" i="37"/>
  <c r="AL163" i="37"/>
  <c r="AK163" i="37"/>
  <c r="AJ163" i="37"/>
  <c r="AI163" i="37"/>
  <c r="AH163" i="37"/>
  <c r="AG163" i="37"/>
  <c r="AF163" i="37"/>
  <c r="AE163" i="37"/>
  <c r="AD163" i="37"/>
  <c r="AD90" i="37" s="1"/>
  <c r="AC163" i="37"/>
  <c r="AC90" i="37" s="1"/>
  <c r="AB163" i="37"/>
  <c r="AB90" i="37" s="1"/>
  <c r="AA163" i="37"/>
  <c r="AA90" i="37" s="1"/>
  <c r="Z163" i="37"/>
  <c r="Y163" i="37"/>
  <c r="X163" i="37"/>
  <c r="W163" i="37"/>
  <c r="W90" i="37" s="1"/>
  <c r="V163" i="37"/>
  <c r="AO162" i="37"/>
  <c r="AN162" i="37"/>
  <c r="AM162" i="37"/>
  <c r="AL162" i="37"/>
  <c r="X89" i="37" s="1"/>
  <c r="AK162" i="37"/>
  <c r="AJ162" i="37"/>
  <c r="AI162" i="37"/>
  <c r="AH162" i="37"/>
  <c r="AG162" i="37"/>
  <c r="AF162" i="37"/>
  <c r="AE162" i="37"/>
  <c r="AD162" i="37"/>
  <c r="AC162" i="37"/>
  <c r="AC89" i="37" s="1"/>
  <c r="AB162" i="37"/>
  <c r="AA162" i="37"/>
  <c r="Z162" i="37"/>
  <c r="Z89" i="37" s="1"/>
  <c r="Y162" i="37"/>
  <c r="Y89" i="37" s="1"/>
  <c r="X162" i="37"/>
  <c r="W162" i="37"/>
  <c r="W89" i="37" s="1"/>
  <c r="V162" i="37"/>
  <c r="AO161" i="37"/>
  <c r="AN161" i="37"/>
  <c r="AM161" i="37"/>
  <c r="AL161" i="37"/>
  <c r="AK161" i="37"/>
  <c r="AJ161" i="37"/>
  <c r="AI161" i="37"/>
  <c r="AH161" i="37"/>
  <c r="AG161" i="37"/>
  <c r="AF161" i="37"/>
  <c r="AE161" i="37"/>
  <c r="AD161" i="37"/>
  <c r="AC161" i="37"/>
  <c r="AB161" i="37"/>
  <c r="AB88" i="37" s="1"/>
  <c r="AA161" i="37"/>
  <c r="AA88" i="37" s="1"/>
  <c r="Z161" i="37"/>
  <c r="Y161" i="37"/>
  <c r="Y88" i="37" s="1"/>
  <c r="X161" i="37"/>
  <c r="W161" i="37"/>
  <c r="V161" i="37"/>
  <c r="V88" i="37" s="1"/>
  <c r="AO160" i="37"/>
  <c r="AN160" i="37"/>
  <c r="AM160" i="37"/>
  <c r="AL160" i="37"/>
  <c r="AK160" i="37"/>
  <c r="AJ160" i="37"/>
  <c r="AI160" i="37"/>
  <c r="AH160" i="37"/>
  <c r="AG160" i="37"/>
  <c r="AF160" i="37"/>
  <c r="AE160" i="37"/>
  <c r="AD160" i="37"/>
  <c r="AD87" i="37" s="1"/>
  <c r="AC160" i="37"/>
  <c r="AC87" i="37" s="1"/>
  <c r="AB160" i="37"/>
  <c r="AB87" i="37" s="1"/>
  <c r="AA160" i="37"/>
  <c r="AA87" i="37" s="1"/>
  <c r="Z160" i="37"/>
  <c r="Y160" i="37"/>
  <c r="X160" i="37"/>
  <c r="W160" i="37"/>
  <c r="W87" i="37" s="1"/>
  <c r="V160" i="37"/>
  <c r="AO159" i="37"/>
  <c r="AN159" i="37"/>
  <c r="AM159" i="37"/>
  <c r="AL159" i="37"/>
  <c r="AK159" i="37"/>
  <c r="AJ159" i="37"/>
  <c r="AI159" i="37"/>
  <c r="AH159" i="37"/>
  <c r="AG159" i="37"/>
  <c r="AF159" i="37"/>
  <c r="AE159" i="37"/>
  <c r="AD159" i="37"/>
  <c r="AC159" i="37"/>
  <c r="AB159" i="37"/>
  <c r="AA159" i="37"/>
  <c r="Z159" i="37"/>
  <c r="Y159" i="37"/>
  <c r="X159" i="37"/>
  <c r="W159" i="37"/>
  <c r="V159" i="37"/>
  <c r="AO158" i="37"/>
  <c r="AN158" i="37"/>
  <c r="AM158" i="37"/>
  <c r="AL158" i="37"/>
  <c r="AK158" i="37"/>
  <c r="AJ158" i="37"/>
  <c r="AI158" i="37"/>
  <c r="AH158" i="37"/>
  <c r="AG158" i="37"/>
  <c r="AF158" i="37"/>
  <c r="AE158" i="37"/>
  <c r="AD158" i="37"/>
  <c r="AC158" i="37"/>
  <c r="AB158" i="37"/>
  <c r="AA158" i="37"/>
  <c r="Z158" i="37"/>
  <c r="Y158" i="37"/>
  <c r="X158" i="37"/>
  <c r="W158" i="37"/>
  <c r="V158" i="37"/>
  <c r="AO157" i="37"/>
  <c r="AN157" i="37"/>
  <c r="AM157" i="37"/>
  <c r="AL157" i="37"/>
  <c r="AK157" i="37"/>
  <c r="AJ157" i="37"/>
  <c r="AI157" i="37"/>
  <c r="AH157" i="37"/>
  <c r="AG157" i="37"/>
  <c r="AF157" i="37"/>
  <c r="AE157" i="37"/>
  <c r="AD157" i="37"/>
  <c r="AC157" i="37"/>
  <c r="AB157" i="37"/>
  <c r="AA157" i="37"/>
  <c r="Z157" i="37"/>
  <c r="Y157" i="37"/>
  <c r="X157" i="37"/>
  <c r="W157" i="37"/>
  <c r="V157" i="37"/>
  <c r="AO156" i="37"/>
  <c r="AN156" i="37"/>
  <c r="AM156" i="37"/>
  <c r="AL156" i="37"/>
  <c r="AK156" i="37"/>
  <c r="AJ156" i="37"/>
  <c r="AI156" i="37"/>
  <c r="AH156" i="37"/>
  <c r="AG156" i="37"/>
  <c r="AF156" i="37"/>
  <c r="AE156" i="37"/>
  <c r="AD156" i="37"/>
  <c r="AC156" i="37"/>
  <c r="AB156" i="37"/>
  <c r="AA156" i="37"/>
  <c r="Z156" i="37"/>
  <c r="Y156" i="37"/>
  <c r="X156" i="37"/>
  <c r="W156" i="37"/>
  <c r="V156" i="37"/>
  <c r="AO155" i="37"/>
  <c r="AN155" i="37"/>
  <c r="AM155" i="37"/>
  <c r="AL155" i="37"/>
  <c r="AK155" i="37"/>
  <c r="AJ155" i="37"/>
  <c r="AI155" i="37"/>
  <c r="AH155" i="37"/>
  <c r="AG155" i="37"/>
  <c r="AF155" i="37"/>
  <c r="AE155" i="37"/>
  <c r="AD155" i="37"/>
  <c r="AC155" i="37"/>
  <c r="AB155" i="37"/>
  <c r="AA155" i="37"/>
  <c r="Z155" i="37"/>
  <c r="Y155" i="37"/>
  <c r="X155" i="37"/>
  <c r="W155" i="37"/>
  <c r="V155" i="37"/>
  <c r="AO154" i="37"/>
  <c r="AN154" i="37"/>
  <c r="AM154" i="37"/>
  <c r="AL154" i="37"/>
  <c r="AK154" i="37"/>
  <c r="AJ154" i="37"/>
  <c r="AI154" i="37"/>
  <c r="AH154" i="37"/>
  <c r="AG154" i="37"/>
  <c r="AF154" i="37"/>
  <c r="AE154" i="37"/>
  <c r="AD154" i="37"/>
  <c r="AC154" i="37"/>
  <c r="AB154" i="37"/>
  <c r="AA154" i="37"/>
  <c r="Z154" i="37"/>
  <c r="Y154" i="37"/>
  <c r="X154" i="37"/>
  <c r="W154" i="37"/>
  <c r="V154" i="37"/>
  <c r="AO153" i="37"/>
  <c r="AN153" i="37"/>
  <c r="AM153" i="37"/>
  <c r="AL153" i="37"/>
  <c r="AK153" i="37"/>
  <c r="AJ153" i="37"/>
  <c r="AI153" i="37"/>
  <c r="AH153" i="37"/>
  <c r="AG153" i="37"/>
  <c r="AF153" i="37"/>
  <c r="AE153" i="37"/>
  <c r="AD153" i="37"/>
  <c r="AC153" i="37"/>
  <c r="AB153" i="37"/>
  <c r="AA153" i="37"/>
  <c r="Z153" i="37"/>
  <c r="Y153" i="37"/>
  <c r="X153" i="37"/>
  <c r="W153" i="37"/>
  <c r="V153" i="37"/>
  <c r="AO152" i="37"/>
  <c r="AN152" i="37"/>
  <c r="AM152" i="37"/>
  <c r="AL152" i="37"/>
  <c r="AK152" i="37"/>
  <c r="AJ152" i="37"/>
  <c r="AI152" i="37"/>
  <c r="AH152" i="37"/>
  <c r="AG152" i="37"/>
  <c r="AF152" i="37"/>
  <c r="AE152" i="37"/>
  <c r="AD152" i="37"/>
  <c r="AC152" i="37"/>
  <c r="AB152" i="37"/>
  <c r="AA152" i="37"/>
  <c r="Z152" i="37"/>
  <c r="Y152" i="37"/>
  <c r="X152" i="37"/>
  <c r="W152" i="37"/>
  <c r="V152" i="37"/>
  <c r="AO151" i="37"/>
  <c r="AN151" i="37"/>
  <c r="AM151" i="37"/>
  <c r="AL151" i="37"/>
  <c r="AK151" i="37"/>
  <c r="AJ151" i="37"/>
  <c r="AI151" i="37"/>
  <c r="AH151" i="37"/>
  <c r="AG151" i="37"/>
  <c r="AF151" i="37"/>
  <c r="AE151" i="37"/>
  <c r="AD151" i="37"/>
  <c r="AC151" i="37"/>
  <c r="AB151" i="37"/>
  <c r="AA151" i="37"/>
  <c r="Z151" i="37"/>
  <c r="Y151" i="37"/>
  <c r="X151" i="37"/>
  <c r="W151" i="37"/>
  <c r="V151" i="37"/>
  <c r="AO150" i="37"/>
  <c r="AN150" i="37"/>
  <c r="AM150" i="37"/>
  <c r="AL150" i="37"/>
  <c r="AK150" i="37"/>
  <c r="AJ150" i="37"/>
  <c r="AI150" i="37"/>
  <c r="AH150" i="37"/>
  <c r="AG150" i="37"/>
  <c r="AF150" i="37"/>
  <c r="AE150" i="37"/>
  <c r="AD150" i="37"/>
  <c r="AC150" i="37"/>
  <c r="AB150" i="37"/>
  <c r="AA150" i="37"/>
  <c r="Z150" i="37"/>
  <c r="Y150" i="37"/>
  <c r="X150" i="37"/>
  <c r="W150" i="37"/>
  <c r="V150" i="37"/>
  <c r="AO149" i="37"/>
  <c r="AN149" i="37"/>
  <c r="AM149" i="37"/>
  <c r="AL149" i="37"/>
  <c r="AK149" i="37"/>
  <c r="AJ149" i="37"/>
  <c r="AI149" i="37"/>
  <c r="AH149" i="37"/>
  <c r="AG149" i="37"/>
  <c r="AF149" i="37"/>
  <c r="AE149" i="37"/>
  <c r="AD149" i="37"/>
  <c r="AC149" i="37"/>
  <c r="AB149" i="37"/>
  <c r="AA149" i="37"/>
  <c r="Z149" i="37"/>
  <c r="Y149" i="37"/>
  <c r="X149" i="37"/>
  <c r="W149" i="37"/>
  <c r="V149" i="37"/>
  <c r="AO148" i="37"/>
  <c r="AN148" i="37"/>
  <c r="AM148" i="37"/>
  <c r="AL148" i="37"/>
  <c r="AK148" i="37"/>
  <c r="AJ148" i="37"/>
  <c r="AI148" i="37"/>
  <c r="AH148" i="37"/>
  <c r="AG148" i="37"/>
  <c r="AF148" i="37"/>
  <c r="AE148" i="37"/>
  <c r="AD148" i="37"/>
  <c r="AC148" i="37"/>
  <c r="AB148" i="37"/>
  <c r="AA148" i="37"/>
  <c r="Z148" i="37"/>
  <c r="Y148" i="37"/>
  <c r="X148" i="37"/>
  <c r="W148" i="37"/>
  <c r="V148" i="37"/>
  <c r="AO147" i="37"/>
  <c r="AN147" i="37"/>
  <c r="AM147" i="37"/>
  <c r="AL147" i="37"/>
  <c r="AK147" i="37"/>
  <c r="AJ147" i="37"/>
  <c r="AI147" i="37"/>
  <c r="AH147" i="37"/>
  <c r="AG147" i="37"/>
  <c r="AF147" i="37"/>
  <c r="AE147" i="37"/>
  <c r="AD147" i="37"/>
  <c r="AC147" i="37"/>
  <c r="AB147" i="37"/>
  <c r="AA147" i="37"/>
  <c r="Z147" i="37"/>
  <c r="Y147" i="37"/>
  <c r="X147" i="37"/>
  <c r="W147" i="37"/>
  <c r="V147" i="37"/>
  <c r="AO146" i="37"/>
  <c r="AN146" i="37"/>
  <c r="AM146" i="37"/>
  <c r="AL146" i="37"/>
  <c r="AK146" i="37"/>
  <c r="AJ146" i="37"/>
  <c r="AI146" i="37"/>
  <c r="AH146" i="37"/>
  <c r="AG146" i="37"/>
  <c r="AF146" i="37"/>
  <c r="AE146" i="37"/>
  <c r="AD146" i="37"/>
  <c r="AC146" i="37"/>
  <c r="AB146" i="37"/>
  <c r="AA146" i="37"/>
  <c r="Z146" i="37"/>
  <c r="Y146" i="37"/>
  <c r="X146" i="37"/>
  <c r="W146" i="37"/>
  <c r="V146" i="37"/>
  <c r="AO145" i="37"/>
  <c r="AN145" i="37"/>
  <c r="AM145" i="37"/>
  <c r="AL145" i="37"/>
  <c r="AK145" i="37"/>
  <c r="AJ145" i="37"/>
  <c r="AI145" i="37"/>
  <c r="AH145" i="37"/>
  <c r="AG145" i="37"/>
  <c r="AF145" i="37"/>
  <c r="AE145" i="37"/>
  <c r="AD145" i="37"/>
  <c r="AC145" i="37"/>
  <c r="AB145" i="37"/>
  <c r="AA145" i="37"/>
  <c r="Z145" i="37"/>
  <c r="Y145" i="37"/>
  <c r="X145" i="37"/>
  <c r="W145" i="37"/>
  <c r="V145" i="37"/>
  <c r="AO144" i="37"/>
  <c r="AN144" i="37"/>
  <c r="AM144" i="37"/>
  <c r="AL144" i="37"/>
  <c r="AK144" i="37"/>
  <c r="AJ144" i="37"/>
  <c r="AI144" i="37"/>
  <c r="AH144" i="37"/>
  <c r="AG144" i="37"/>
  <c r="AF144" i="37"/>
  <c r="AE144" i="37"/>
  <c r="AD144" i="37"/>
  <c r="AC144" i="37"/>
  <c r="AB144" i="37"/>
  <c r="AA144" i="37"/>
  <c r="Z144" i="37"/>
  <c r="Y144" i="37"/>
  <c r="X144" i="37"/>
  <c r="W144" i="37"/>
  <c r="V144" i="37"/>
  <c r="AO143" i="37"/>
  <c r="AN143" i="37"/>
  <c r="AM143" i="37"/>
  <c r="AL143" i="37"/>
  <c r="AK143" i="37"/>
  <c r="AJ143" i="37"/>
  <c r="AI143" i="37"/>
  <c r="AH143" i="37"/>
  <c r="AG143" i="37"/>
  <c r="AF143" i="37"/>
  <c r="AE143" i="37"/>
  <c r="AD143" i="37"/>
  <c r="AC143" i="37"/>
  <c r="AB143" i="37"/>
  <c r="AA143" i="37"/>
  <c r="Z143" i="37"/>
  <c r="Y143" i="37"/>
  <c r="X143" i="37"/>
  <c r="W143" i="37"/>
  <c r="V143" i="37"/>
  <c r="AO142" i="37"/>
  <c r="AN142" i="37"/>
  <c r="AM142" i="37"/>
  <c r="AL142" i="37"/>
  <c r="AK142" i="37"/>
  <c r="AJ142" i="37"/>
  <c r="AI142" i="37"/>
  <c r="AH142" i="37"/>
  <c r="AG142" i="37"/>
  <c r="AF142" i="37"/>
  <c r="AE142" i="37"/>
  <c r="AD142" i="37"/>
  <c r="AC142" i="37"/>
  <c r="AB142" i="37"/>
  <c r="AA142" i="37"/>
  <c r="Z142" i="37"/>
  <c r="Y142" i="37"/>
  <c r="X142" i="37"/>
  <c r="W142" i="37"/>
  <c r="V142" i="37"/>
  <c r="AO141" i="37"/>
  <c r="AN141" i="37"/>
  <c r="AM141" i="37"/>
  <c r="AL141" i="37"/>
  <c r="AK141" i="37"/>
  <c r="AJ141" i="37"/>
  <c r="AI141" i="37"/>
  <c r="AH141" i="37"/>
  <c r="AG141" i="37"/>
  <c r="AF141" i="37"/>
  <c r="AE141" i="37"/>
  <c r="AD141" i="37"/>
  <c r="AC141" i="37"/>
  <c r="AB141" i="37"/>
  <c r="AA141" i="37"/>
  <c r="Z141" i="37"/>
  <c r="Y141" i="37"/>
  <c r="X141" i="37"/>
  <c r="W141" i="37"/>
  <c r="V141" i="37"/>
  <c r="AO140" i="37"/>
  <c r="AN140" i="37"/>
  <c r="AM140" i="37"/>
  <c r="AL140" i="37"/>
  <c r="AK140" i="37"/>
  <c r="AJ140" i="37"/>
  <c r="AI140" i="37"/>
  <c r="AH140" i="37"/>
  <c r="AG140" i="37"/>
  <c r="AF140" i="37"/>
  <c r="AE140" i="37"/>
  <c r="AD140" i="37"/>
  <c r="AC140" i="37"/>
  <c r="AB140" i="37"/>
  <c r="AA140" i="37"/>
  <c r="Z140" i="37"/>
  <c r="Y140" i="37"/>
  <c r="X140" i="37"/>
  <c r="W140" i="37"/>
  <c r="V140" i="37"/>
  <c r="AO139" i="37"/>
  <c r="AN139" i="37"/>
  <c r="AM139" i="37"/>
  <c r="AL139" i="37"/>
  <c r="AK139" i="37"/>
  <c r="AJ139" i="37"/>
  <c r="AI139" i="37"/>
  <c r="AH139" i="37"/>
  <c r="AG139" i="37"/>
  <c r="AF139" i="37"/>
  <c r="AE139" i="37"/>
  <c r="AD139" i="37"/>
  <c r="AC139" i="37"/>
  <c r="AB139" i="37"/>
  <c r="AA139" i="37"/>
  <c r="Z139" i="37"/>
  <c r="Y139" i="37"/>
  <c r="X139" i="37"/>
  <c r="W139" i="37"/>
  <c r="V139" i="37"/>
  <c r="AO138" i="37"/>
  <c r="AN138" i="37"/>
  <c r="AM138" i="37"/>
  <c r="AL138" i="37"/>
  <c r="AK138" i="37"/>
  <c r="AJ138" i="37"/>
  <c r="AI138" i="37"/>
  <c r="AH138" i="37"/>
  <c r="AG138" i="37"/>
  <c r="AF138" i="37"/>
  <c r="AE138" i="37"/>
  <c r="AD138" i="37"/>
  <c r="AC138" i="37"/>
  <c r="AB138" i="37"/>
  <c r="AA138" i="37"/>
  <c r="Z138" i="37"/>
  <c r="Y138" i="37"/>
  <c r="X138" i="37"/>
  <c r="W138" i="37"/>
  <c r="V138" i="37"/>
  <c r="AO137" i="37"/>
  <c r="AN137" i="37"/>
  <c r="AM137" i="37"/>
  <c r="AL137" i="37"/>
  <c r="AK137" i="37"/>
  <c r="AJ137" i="37"/>
  <c r="AI137" i="37"/>
  <c r="AH137" i="37"/>
  <c r="AG137" i="37"/>
  <c r="AF137" i="37"/>
  <c r="AE137" i="37"/>
  <c r="AD137" i="37"/>
  <c r="AC137" i="37"/>
  <c r="AB137" i="37"/>
  <c r="AA137" i="37"/>
  <c r="Z137" i="37"/>
  <c r="Y137" i="37"/>
  <c r="X137" i="37"/>
  <c r="W137" i="37"/>
  <c r="V137" i="37"/>
  <c r="AO136" i="37"/>
  <c r="AN136" i="37"/>
  <c r="AM136" i="37"/>
  <c r="AL136" i="37"/>
  <c r="AK136" i="37"/>
  <c r="AJ136" i="37"/>
  <c r="AI136" i="37"/>
  <c r="AH136" i="37"/>
  <c r="AG136" i="37"/>
  <c r="AF136" i="37"/>
  <c r="AE136" i="37"/>
  <c r="AD136" i="37"/>
  <c r="AC136" i="37"/>
  <c r="AB136" i="37"/>
  <c r="AA136" i="37"/>
  <c r="Z136" i="37"/>
  <c r="Y136" i="37"/>
  <c r="X136" i="37"/>
  <c r="W136" i="37"/>
  <c r="V136" i="37"/>
  <c r="AO135" i="37"/>
  <c r="AN135" i="37"/>
  <c r="AM135" i="37"/>
  <c r="AL135" i="37"/>
  <c r="AK135" i="37"/>
  <c r="AJ135" i="37"/>
  <c r="AI135" i="37"/>
  <c r="AH135" i="37"/>
  <c r="AG135" i="37"/>
  <c r="AF135" i="37"/>
  <c r="AE135" i="37"/>
  <c r="AD135" i="37"/>
  <c r="AC135" i="37"/>
  <c r="AB135" i="37"/>
  <c r="AA135" i="37"/>
  <c r="Z135" i="37"/>
  <c r="Y135" i="37"/>
  <c r="X135" i="37"/>
  <c r="W135" i="37"/>
  <c r="V135" i="37"/>
  <c r="AO134" i="37"/>
  <c r="AN134" i="37"/>
  <c r="AM134" i="37"/>
  <c r="AL134" i="37"/>
  <c r="AK134" i="37"/>
  <c r="AJ134" i="37"/>
  <c r="AI134" i="37"/>
  <c r="AH134" i="37"/>
  <c r="AG134" i="37"/>
  <c r="AF134" i="37"/>
  <c r="AE134" i="37"/>
  <c r="AD134" i="37"/>
  <c r="AC134" i="37"/>
  <c r="AB134" i="37"/>
  <c r="AA134" i="37"/>
  <c r="Z134" i="37"/>
  <c r="Y134" i="37"/>
  <c r="X134" i="37"/>
  <c r="W134" i="37"/>
  <c r="V134" i="37"/>
  <c r="AO133" i="37"/>
  <c r="AN133" i="37"/>
  <c r="AM133" i="37"/>
  <c r="AL133" i="37"/>
  <c r="AK133" i="37"/>
  <c r="AJ133" i="37"/>
  <c r="AI133" i="37"/>
  <c r="AH133" i="37"/>
  <c r="AG133" i="37"/>
  <c r="AF133" i="37"/>
  <c r="AE133" i="37"/>
  <c r="AD133" i="37"/>
  <c r="AC133" i="37"/>
  <c r="AB133" i="37"/>
  <c r="AA133" i="37"/>
  <c r="Z133" i="37"/>
  <c r="Y133" i="37"/>
  <c r="X133" i="37"/>
  <c r="W133" i="37"/>
  <c r="V133" i="37"/>
  <c r="AO132" i="37"/>
  <c r="AN132" i="37"/>
  <c r="AM132" i="37"/>
  <c r="AL132" i="37"/>
  <c r="AK132" i="37"/>
  <c r="AJ132" i="37"/>
  <c r="AI132" i="37"/>
  <c r="AH132" i="37"/>
  <c r="AG132" i="37"/>
  <c r="AF132" i="37"/>
  <c r="AE132" i="37"/>
  <c r="AD132" i="37"/>
  <c r="AC132" i="37"/>
  <c r="AB132" i="37"/>
  <c r="AA132" i="37"/>
  <c r="Z132" i="37"/>
  <c r="Y132" i="37"/>
  <c r="X132" i="37"/>
  <c r="W132" i="37"/>
  <c r="V132" i="37"/>
  <c r="AO131" i="37"/>
  <c r="AN131" i="37"/>
  <c r="AM131" i="37"/>
  <c r="AL131" i="37"/>
  <c r="AK131" i="37"/>
  <c r="AJ131" i="37"/>
  <c r="AI131" i="37"/>
  <c r="AH131" i="37"/>
  <c r="AG131" i="37"/>
  <c r="AF131" i="37"/>
  <c r="AE131" i="37"/>
  <c r="AD131" i="37"/>
  <c r="AC131" i="37"/>
  <c r="AB131" i="37"/>
  <c r="AA131" i="37"/>
  <c r="Z131" i="37"/>
  <c r="Y131" i="37"/>
  <c r="X131" i="37"/>
  <c r="W131" i="37"/>
  <c r="V131" i="37"/>
  <c r="AO130" i="37"/>
  <c r="AN130" i="37"/>
  <c r="AM130" i="37"/>
  <c r="AL130" i="37"/>
  <c r="AK130" i="37"/>
  <c r="AJ130" i="37"/>
  <c r="AI130" i="37"/>
  <c r="AH130" i="37"/>
  <c r="AG130" i="37"/>
  <c r="AF130" i="37"/>
  <c r="AE130" i="37"/>
  <c r="AD130" i="37"/>
  <c r="AC130" i="37"/>
  <c r="AB130" i="37"/>
  <c r="AA130" i="37"/>
  <c r="Z130" i="37"/>
  <c r="Y130" i="37"/>
  <c r="X130" i="37"/>
  <c r="W130" i="37"/>
  <c r="V130" i="37"/>
  <c r="AO129" i="37"/>
  <c r="AN129" i="37"/>
  <c r="AM129" i="37"/>
  <c r="AL129" i="37"/>
  <c r="AK129" i="37"/>
  <c r="AJ129" i="37"/>
  <c r="AI129" i="37"/>
  <c r="AH129" i="37"/>
  <c r="AG129" i="37"/>
  <c r="AF129" i="37"/>
  <c r="AE129" i="37"/>
  <c r="AD129" i="37"/>
  <c r="AC129" i="37"/>
  <c r="AB129" i="37"/>
  <c r="AA129" i="37"/>
  <c r="Z129" i="37"/>
  <c r="Y129" i="37"/>
  <c r="X129" i="37"/>
  <c r="W129" i="37"/>
  <c r="V129" i="37"/>
  <c r="AO128" i="37"/>
  <c r="AN128" i="37"/>
  <c r="AM128" i="37"/>
  <c r="AL128" i="37"/>
  <c r="AK128" i="37"/>
  <c r="AJ128" i="37"/>
  <c r="AI128" i="37"/>
  <c r="AH128" i="37"/>
  <c r="AG128" i="37"/>
  <c r="AF128" i="37"/>
  <c r="AE128" i="37"/>
  <c r="AD128" i="37"/>
  <c r="AC128" i="37"/>
  <c r="AB128" i="37"/>
  <c r="AA128" i="37"/>
  <c r="Z128" i="37"/>
  <c r="Y128" i="37"/>
  <c r="X128" i="37"/>
  <c r="W128" i="37"/>
  <c r="V128" i="37"/>
  <c r="AO127" i="37"/>
  <c r="AN127" i="37"/>
  <c r="AM127" i="37"/>
  <c r="AL127" i="37"/>
  <c r="AK127" i="37"/>
  <c r="AJ127" i="37"/>
  <c r="AI127" i="37"/>
  <c r="AH127" i="37"/>
  <c r="AG127" i="37"/>
  <c r="AF127" i="37"/>
  <c r="AE127" i="37"/>
  <c r="AD127" i="37"/>
  <c r="AC127" i="37"/>
  <c r="AB127" i="37"/>
  <c r="AA127" i="37"/>
  <c r="Z127" i="37"/>
  <c r="Y127" i="37"/>
  <c r="X127" i="37"/>
  <c r="W127" i="37"/>
  <c r="V127" i="37"/>
  <c r="AO126" i="37"/>
  <c r="AN126" i="37"/>
  <c r="AM126" i="37"/>
  <c r="AL126" i="37"/>
  <c r="AK126" i="37"/>
  <c r="AJ126" i="37"/>
  <c r="AI126" i="37"/>
  <c r="AH126" i="37"/>
  <c r="AG126" i="37"/>
  <c r="AF126" i="37"/>
  <c r="AE126" i="37"/>
  <c r="AD126" i="37"/>
  <c r="AC126" i="37"/>
  <c r="AB126" i="37"/>
  <c r="AA126" i="37"/>
  <c r="Z126" i="37"/>
  <c r="Y126" i="37"/>
  <c r="X126" i="37"/>
  <c r="W126" i="37"/>
  <c r="V126" i="37"/>
  <c r="AO125" i="37"/>
  <c r="AN125" i="37"/>
  <c r="AM125" i="37"/>
  <c r="AL125" i="37"/>
  <c r="AK125" i="37"/>
  <c r="AJ125" i="37"/>
  <c r="AI125" i="37"/>
  <c r="AH125" i="37"/>
  <c r="AG125" i="37"/>
  <c r="AF125" i="37"/>
  <c r="AE125" i="37"/>
  <c r="AD125" i="37"/>
  <c r="AC125" i="37"/>
  <c r="AB125" i="37"/>
  <c r="AA125" i="37"/>
  <c r="Z125" i="37"/>
  <c r="Y125" i="37"/>
  <c r="X125" i="37"/>
  <c r="W125" i="37"/>
  <c r="V125" i="37"/>
  <c r="AO124" i="37"/>
  <c r="AN124" i="37"/>
  <c r="AM124" i="37"/>
  <c r="AL124" i="37"/>
  <c r="AK124" i="37"/>
  <c r="AJ124" i="37"/>
  <c r="AI124" i="37"/>
  <c r="AH124" i="37"/>
  <c r="AG124" i="37"/>
  <c r="AF124" i="37"/>
  <c r="AE124" i="37"/>
  <c r="AD124" i="37"/>
  <c r="AC124" i="37"/>
  <c r="AB124" i="37"/>
  <c r="AA124" i="37"/>
  <c r="Z124" i="37"/>
  <c r="Y124" i="37"/>
  <c r="X124" i="37"/>
  <c r="W124" i="37"/>
  <c r="V124" i="37"/>
  <c r="AO123" i="37"/>
  <c r="AN123" i="37"/>
  <c r="AM123" i="37"/>
  <c r="AL123" i="37"/>
  <c r="AK123" i="37"/>
  <c r="AJ123" i="37"/>
  <c r="AI123" i="37"/>
  <c r="AH123" i="37"/>
  <c r="AG123" i="37"/>
  <c r="AF123" i="37"/>
  <c r="AE123" i="37"/>
  <c r="AD123" i="37"/>
  <c r="AC123" i="37"/>
  <c r="AB123" i="37"/>
  <c r="AA123" i="37"/>
  <c r="Z123" i="37"/>
  <c r="Y123" i="37"/>
  <c r="X123" i="37"/>
  <c r="W123" i="37"/>
  <c r="V123" i="37"/>
  <c r="AO122" i="37"/>
  <c r="AN122" i="37"/>
  <c r="AM122" i="37"/>
  <c r="AL122" i="37"/>
  <c r="AK122" i="37"/>
  <c r="AJ122" i="37"/>
  <c r="AI122" i="37"/>
  <c r="AH122" i="37"/>
  <c r="AG122" i="37"/>
  <c r="AF122" i="37"/>
  <c r="AE122" i="37"/>
  <c r="AD122" i="37"/>
  <c r="AC122" i="37"/>
  <c r="AB122" i="37"/>
  <c r="AA122" i="37"/>
  <c r="Z122" i="37"/>
  <c r="Y122" i="37"/>
  <c r="X122" i="37"/>
  <c r="W122" i="37"/>
  <c r="V122" i="37"/>
  <c r="AO121" i="37"/>
  <c r="AN121" i="37"/>
  <c r="AM121" i="37"/>
  <c r="AL121" i="37"/>
  <c r="AK121" i="37"/>
  <c r="AJ121" i="37"/>
  <c r="AI121" i="37"/>
  <c r="AH121" i="37"/>
  <c r="AG121" i="37"/>
  <c r="AF121" i="37"/>
  <c r="AE121" i="37"/>
  <c r="AD121" i="37"/>
  <c r="AC121" i="37"/>
  <c r="AB121" i="37"/>
  <c r="AA121" i="37"/>
  <c r="Z121" i="37"/>
  <c r="Y121" i="37"/>
  <c r="X121" i="37"/>
  <c r="W121" i="37"/>
  <c r="V121" i="37"/>
  <c r="AO120" i="37"/>
  <c r="AN120" i="37"/>
  <c r="AM120" i="37"/>
  <c r="AL120" i="37"/>
  <c r="AK120" i="37"/>
  <c r="AJ120" i="37"/>
  <c r="AI120" i="37"/>
  <c r="AH120" i="37"/>
  <c r="AG120" i="37"/>
  <c r="AF120" i="37"/>
  <c r="AE120" i="37"/>
  <c r="AD120" i="37"/>
  <c r="AC120" i="37"/>
  <c r="AB120" i="37"/>
  <c r="AA120" i="37"/>
  <c r="Z120" i="37"/>
  <c r="Y120" i="37"/>
  <c r="X120" i="37"/>
  <c r="W120" i="37"/>
  <c r="V120" i="37"/>
  <c r="AO119" i="37"/>
  <c r="AN119" i="37"/>
  <c r="AM119" i="37"/>
  <c r="AL119" i="37"/>
  <c r="AK119" i="37"/>
  <c r="AJ119" i="37"/>
  <c r="AI119" i="37"/>
  <c r="AH119" i="37"/>
  <c r="AG119" i="37"/>
  <c r="AF119" i="37"/>
  <c r="AE119" i="37"/>
  <c r="AD119" i="37"/>
  <c r="AC119" i="37"/>
  <c r="AB119" i="37"/>
  <c r="AA119" i="37"/>
  <c r="Z119" i="37"/>
  <c r="Y119" i="37"/>
  <c r="X119" i="37"/>
  <c r="W119" i="37"/>
  <c r="V119" i="37"/>
  <c r="AO118" i="37"/>
  <c r="AN118" i="37"/>
  <c r="AM118" i="37"/>
  <c r="AL118" i="37"/>
  <c r="AK118" i="37"/>
  <c r="AJ118" i="37"/>
  <c r="AI118" i="37"/>
  <c r="AH118" i="37"/>
  <c r="AG118" i="37"/>
  <c r="AF118" i="37"/>
  <c r="AE118" i="37"/>
  <c r="AD118" i="37"/>
  <c r="AC118" i="37"/>
  <c r="AB118" i="37"/>
  <c r="AA118" i="37"/>
  <c r="Z118" i="37"/>
  <c r="Y118" i="37"/>
  <c r="X118" i="37"/>
  <c r="W118" i="37"/>
  <c r="V118" i="37"/>
  <c r="AO117" i="37"/>
  <c r="AN117" i="37"/>
  <c r="AM117" i="37"/>
  <c r="AL117" i="37"/>
  <c r="AK117" i="37"/>
  <c r="AJ117" i="37"/>
  <c r="AI117" i="37"/>
  <c r="AH117" i="37"/>
  <c r="AG117" i="37"/>
  <c r="AF117" i="37"/>
  <c r="AE117" i="37"/>
  <c r="AD117" i="37"/>
  <c r="AC117" i="37"/>
  <c r="AB117" i="37"/>
  <c r="AA117" i="37"/>
  <c r="Z117" i="37"/>
  <c r="Y117" i="37"/>
  <c r="X117" i="37"/>
  <c r="W117" i="37"/>
  <c r="V117" i="37"/>
  <c r="AO116" i="37"/>
  <c r="AN116" i="37"/>
  <c r="AM116" i="37"/>
  <c r="AL116" i="37"/>
  <c r="AK116" i="37"/>
  <c r="AJ116" i="37"/>
  <c r="AI116" i="37"/>
  <c r="AH116" i="37"/>
  <c r="AG116" i="37"/>
  <c r="AF116" i="37"/>
  <c r="AE116" i="37"/>
  <c r="AD116" i="37"/>
  <c r="AC116" i="37"/>
  <c r="AB116" i="37"/>
  <c r="AA116" i="37"/>
  <c r="Z116" i="37"/>
  <c r="Y116" i="37"/>
  <c r="X116" i="37"/>
  <c r="W116" i="37"/>
  <c r="V116" i="37"/>
  <c r="AO115" i="37"/>
  <c r="AN115" i="37"/>
  <c r="AM115" i="37"/>
  <c r="AL115" i="37"/>
  <c r="AK115" i="37"/>
  <c r="AJ115" i="37"/>
  <c r="AI115" i="37"/>
  <c r="AH115" i="37"/>
  <c r="AG115" i="37"/>
  <c r="AF115" i="37"/>
  <c r="AE115" i="37"/>
  <c r="AD115" i="37"/>
  <c r="AC115" i="37"/>
  <c r="AB115" i="37"/>
  <c r="AA115" i="37"/>
  <c r="Z115" i="37"/>
  <c r="Y115" i="37"/>
  <c r="X115" i="37"/>
  <c r="W115" i="37"/>
  <c r="V115" i="37"/>
  <c r="AO114" i="37"/>
  <c r="AN114" i="37"/>
  <c r="AM114" i="37"/>
  <c r="AL114" i="37"/>
  <c r="AK114" i="37"/>
  <c r="AJ114" i="37"/>
  <c r="AI114" i="37"/>
  <c r="AH114" i="37"/>
  <c r="AG114" i="37"/>
  <c r="AF114" i="37"/>
  <c r="AE114" i="37"/>
  <c r="AD114" i="37"/>
  <c r="AC114" i="37"/>
  <c r="AB114" i="37"/>
  <c r="AA114" i="37"/>
  <c r="Z114" i="37"/>
  <c r="Y114" i="37"/>
  <c r="X114" i="37"/>
  <c r="W114" i="37"/>
  <c r="V114" i="37"/>
  <c r="AO113" i="37"/>
  <c r="AN113" i="37"/>
  <c r="AM113" i="37"/>
  <c r="AL113" i="37"/>
  <c r="AK113" i="37"/>
  <c r="AJ113" i="37"/>
  <c r="AI113" i="37"/>
  <c r="AH113" i="37"/>
  <c r="AG113" i="37"/>
  <c r="AF113" i="37"/>
  <c r="AE113" i="37"/>
  <c r="AD113" i="37"/>
  <c r="AC113" i="37"/>
  <c r="AB113" i="37"/>
  <c r="AA113" i="37"/>
  <c r="Z113" i="37"/>
  <c r="Y113" i="37"/>
  <c r="X113" i="37"/>
  <c r="W113" i="37"/>
  <c r="V113" i="37"/>
  <c r="AO112" i="37"/>
  <c r="AN112" i="37"/>
  <c r="AM112" i="37"/>
  <c r="AL112" i="37"/>
  <c r="AK112" i="37"/>
  <c r="AJ112" i="37"/>
  <c r="AI112" i="37"/>
  <c r="AH112" i="37"/>
  <c r="AG112" i="37"/>
  <c r="AF112" i="37"/>
  <c r="AE112" i="37"/>
  <c r="AD112" i="37"/>
  <c r="AC112" i="37"/>
  <c r="AB112" i="37"/>
  <c r="AA112" i="37"/>
  <c r="Z112" i="37"/>
  <c r="Y112" i="37"/>
  <c r="X112" i="37"/>
  <c r="W112" i="37"/>
  <c r="V112" i="37"/>
  <c r="AO111" i="37"/>
  <c r="AN111" i="37"/>
  <c r="AM111" i="37"/>
  <c r="AL111" i="37"/>
  <c r="AK111" i="37"/>
  <c r="AJ111" i="37"/>
  <c r="AI111" i="37"/>
  <c r="AH111" i="37"/>
  <c r="AG111" i="37"/>
  <c r="AF111" i="37"/>
  <c r="AE111" i="37"/>
  <c r="AD111" i="37"/>
  <c r="AC111" i="37"/>
  <c r="AB111" i="37"/>
  <c r="AA111" i="37"/>
  <c r="Z111" i="37"/>
  <c r="Y111" i="37"/>
  <c r="X111" i="37"/>
  <c r="W111" i="37"/>
  <c r="V111" i="37"/>
  <c r="AO110" i="37"/>
  <c r="AN110" i="37"/>
  <c r="AM110" i="37"/>
  <c r="AL110" i="37"/>
  <c r="AK110" i="37"/>
  <c r="AJ110" i="37"/>
  <c r="AI110" i="37"/>
  <c r="AH110" i="37"/>
  <c r="AG110" i="37"/>
  <c r="AF110" i="37"/>
  <c r="AE110" i="37"/>
  <c r="AD110" i="37"/>
  <c r="AC110" i="37"/>
  <c r="AB110" i="37"/>
  <c r="AA110" i="37"/>
  <c r="Z110" i="37"/>
  <c r="Y110" i="37"/>
  <c r="X110" i="37"/>
  <c r="W110" i="37"/>
  <c r="V110" i="37"/>
  <c r="AO109" i="37"/>
  <c r="AN109" i="37"/>
  <c r="AM109" i="37"/>
  <c r="AL109" i="37"/>
  <c r="AK109" i="37"/>
  <c r="AJ109" i="37"/>
  <c r="AI109" i="37"/>
  <c r="AH109" i="37"/>
  <c r="AG109" i="37"/>
  <c r="AF109" i="37"/>
  <c r="AE109" i="37"/>
  <c r="AD109" i="37"/>
  <c r="AC109" i="37"/>
  <c r="AB109" i="37"/>
  <c r="AA109" i="37"/>
  <c r="Z109" i="37"/>
  <c r="Y109" i="37"/>
  <c r="X109" i="37"/>
  <c r="W109" i="37"/>
  <c r="V109" i="37"/>
  <c r="AO108" i="37"/>
  <c r="AN108" i="37"/>
  <c r="AM108" i="37"/>
  <c r="AL108" i="37"/>
  <c r="AK108" i="37"/>
  <c r="AJ108" i="37"/>
  <c r="AI108" i="37"/>
  <c r="AH108" i="37"/>
  <c r="AG108" i="37"/>
  <c r="AF108" i="37"/>
  <c r="AE108" i="37"/>
  <c r="AD108" i="37"/>
  <c r="AC108" i="37"/>
  <c r="AB108" i="37"/>
  <c r="AA108" i="37"/>
  <c r="Z108" i="37"/>
  <c r="Y108" i="37"/>
  <c r="X108" i="37"/>
  <c r="W108" i="37"/>
  <c r="V108" i="37"/>
  <c r="AO107" i="37"/>
  <c r="AN107" i="37"/>
  <c r="AM107" i="37"/>
  <c r="AL107" i="37"/>
  <c r="AK107" i="37"/>
  <c r="AJ107" i="37"/>
  <c r="AI107" i="37"/>
  <c r="AH107" i="37"/>
  <c r="AG107" i="37"/>
  <c r="AF107" i="37"/>
  <c r="AE107" i="37"/>
  <c r="AD107" i="37"/>
  <c r="AC107" i="37"/>
  <c r="AB107" i="37"/>
  <c r="AA107" i="37"/>
  <c r="Z107" i="37"/>
  <c r="Y107" i="37"/>
  <c r="X107" i="37"/>
  <c r="W107" i="37"/>
  <c r="V107" i="37"/>
  <c r="AO106" i="37"/>
  <c r="AN106" i="37"/>
  <c r="AM106" i="37"/>
  <c r="AL106" i="37"/>
  <c r="AK106" i="37"/>
  <c r="AJ106" i="37"/>
  <c r="AI106" i="37"/>
  <c r="AH106" i="37"/>
  <c r="AG106" i="37"/>
  <c r="AF106" i="37"/>
  <c r="AE106" i="37"/>
  <c r="AD106" i="37"/>
  <c r="AC106" i="37"/>
  <c r="AB106" i="37"/>
  <c r="AA106" i="37"/>
  <c r="Z106" i="37"/>
  <c r="Y106" i="37"/>
  <c r="X106" i="37"/>
  <c r="W106" i="37"/>
  <c r="V106" i="37"/>
  <c r="AO105" i="37"/>
  <c r="AN105" i="37"/>
  <c r="AM105" i="37"/>
  <c r="AL105" i="37"/>
  <c r="AK105" i="37"/>
  <c r="AJ105" i="37"/>
  <c r="AI105" i="37"/>
  <c r="AH105" i="37"/>
  <c r="AG105" i="37"/>
  <c r="AF105" i="37"/>
  <c r="AE105" i="37"/>
  <c r="AD105" i="37"/>
  <c r="AC105" i="37"/>
  <c r="AB105" i="37"/>
  <c r="AA105" i="37"/>
  <c r="Z105" i="37"/>
  <c r="Y105" i="37"/>
  <c r="X105" i="37"/>
  <c r="W105" i="37"/>
  <c r="V105" i="37"/>
  <c r="AO104" i="37"/>
  <c r="AN104" i="37"/>
  <c r="AM104" i="37"/>
  <c r="AL104" i="37"/>
  <c r="AK104" i="37"/>
  <c r="AJ104" i="37"/>
  <c r="AI104" i="37"/>
  <c r="AH104" i="37"/>
  <c r="AG104" i="37"/>
  <c r="AF104" i="37"/>
  <c r="AE104" i="37"/>
  <c r="AD104" i="37"/>
  <c r="AC104" i="37"/>
  <c r="AB104" i="37"/>
  <c r="AA104" i="37"/>
  <c r="Z104" i="37"/>
  <c r="Y104" i="37"/>
  <c r="X104" i="37"/>
  <c r="W104" i="37"/>
  <c r="V104" i="37"/>
  <c r="AO103" i="37"/>
  <c r="AN103" i="37"/>
  <c r="AM103" i="37"/>
  <c r="AL103" i="37"/>
  <c r="AK103" i="37"/>
  <c r="AJ103" i="37"/>
  <c r="AI103" i="37"/>
  <c r="AH103" i="37"/>
  <c r="AG103" i="37"/>
  <c r="AF103" i="37"/>
  <c r="AE103" i="37"/>
  <c r="AD103" i="37"/>
  <c r="AC103" i="37"/>
  <c r="AB103" i="37"/>
  <c r="AA103" i="37"/>
  <c r="Z103" i="37"/>
  <c r="Y103" i="37"/>
  <c r="X103" i="37"/>
  <c r="W103" i="37"/>
  <c r="V103" i="37"/>
  <c r="AO102" i="37"/>
  <c r="AN102" i="37"/>
  <c r="AM102" i="37"/>
  <c r="AL102" i="37"/>
  <c r="AK102" i="37"/>
  <c r="AJ102" i="37"/>
  <c r="AI102" i="37"/>
  <c r="AH102" i="37"/>
  <c r="AG102" i="37"/>
  <c r="AF102" i="37"/>
  <c r="AE102" i="37"/>
  <c r="AD102" i="37"/>
  <c r="AC102" i="37"/>
  <c r="AB102" i="37"/>
  <c r="AA102" i="37"/>
  <c r="Z102" i="37"/>
  <c r="Y102" i="37"/>
  <c r="X102" i="37"/>
  <c r="W102" i="37"/>
  <c r="V102" i="37"/>
  <c r="AO101" i="37"/>
  <c r="AN101" i="37"/>
  <c r="AM101" i="37"/>
  <c r="AL101" i="37"/>
  <c r="AK101" i="37"/>
  <c r="AJ101" i="37"/>
  <c r="AI101" i="37"/>
  <c r="AH101" i="37"/>
  <c r="AG101" i="37"/>
  <c r="AF101" i="37"/>
  <c r="AE101" i="37"/>
  <c r="AD101" i="37"/>
  <c r="AC101" i="37"/>
  <c r="AB101" i="37"/>
  <c r="AA101" i="37"/>
  <c r="Z101" i="37"/>
  <c r="Y101" i="37"/>
  <c r="X101" i="37"/>
  <c r="W101" i="37"/>
  <c r="V101" i="37"/>
  <c r="AO100" i="37"/>
  <c r="AN100" i="37"/>
  <c r="AM100" i="37"/>
  <c r="AL100" i="37"/>
  <c r="AK100" i="37"/>
  <c r="AJ100" i="37"/>
  <c r="AI100" i="37"/>
  <c r="AH100" i="37"/>
  <c r="AG100" i="37"/>
  <c r="AF100" i="37"/>
  <c r="AE100" i="37"/>
  <c r="AD100" i="37"/>
  <c r="AC100" i="37"/>
  <c r="AB100" i="37"/>
  <c r="AA100" i="37"/>
  <c r="Z100" i="37"/>
  <c r="Y100" i="37"/>
  <c r="X100" i="37"/>
  <c r="W100" i="37"/>
  <c r="V100" i="37"/>
  <c r="AD95" i="37"/>
  <c r="AA95" i="37"/>
  <c r="Z95" i="37"/>
  <c r="Y95" i="37"/>
  <c r="W95" i="37"/>
  <c r="V95" i="37"/>
  <c r="AD94" i="37"/>
  <c r="AC94" i="37"/>
  <c r="AA94" i="37"/>
  <c r="Z94" i="37"/>
  <c r="Y94" i="37"/>
  <c r="X94" i="37"/>
  <c r="W94" i="37"/>
  <c r="V94" i="37"/>
  <c r="AD93" i="37"/>
  <c r="AB93" i="37"/>
  <c r="Z93" i="37"/>
  <c r="Y93" i="37"/>
  <c r="X93" i="37"/>
  <c r="V93" i="37"/>
  <c r="AD92" i="37"/>
  <c r="AA92" i="37"/>
  <c r="Z92" i="37"/>
  <c r="V92" i="37"/>
  <c r="AD91" i="37"/>
  <c r="AC91" i="37"/>
  <c r="Z91" i="37"/>
  <c r="X91" i="37"/>
  <c r="W91" i="37"/>
  <c r="V91" i="37"/>
  <c r="Z90" i="37"/>
  <c r="Y90" i="37"/>
  <c r="X90" i="37"/>
  <c r="V90" i="37"/>
  <c r="AD89" i="37"/>
  <c r="AB89" i="37"/>
  <c r="AA89" i="37"/>
  <c r="V89" i="37"/>
  <c r="AD88" i="37"/>
  <c r="AC88" i="37"/>
  <c r="Z88" i="37"/>
  <c r="X88" i="37"/>
  <c r="W88" i="37"/>
  <c r="Z87" i="37"/>
  <c r="Y87" i="37"/>
  <c r="X87" i="37"/>
  <c r="V87" i="37"/>
  <c r="Z82" i="37"/>
  <c r="Y82" i="37"/>
  <c r="X82" i="37"/>
  <c r="W82" i="37"/>
  <c r="V82" i="37"/>
  <c r="Z81" i="37"/>
  <c r="Y81" i="37"/>
  <c r="X81" i="37"/>
  <c r="W81" i="37"/>
  <c r="V81" i="37"/>
  <c r="Z80" i="37"/>
  <c r="Y80" i="37"/>
  <c r="X80" i="37"/>
  <c r="W80" i="37"/>
  <c r="V80" i="37"/>
  <c r="Z79" i="37"/>
  <c r="Y79" i="37"/>
  <c r="X79" i="37"/>
  <c r="W79" i="37"/>
  <c r="V79" i="37"/>
  <c r="Z78" i="37"/>
  <c r="Y78" i="37"/>
  <c r="X78" i="37"/>
  <c r="W78" i="37"/>
  <c r="V78" i="37"/>
  <c r="Z77" i="37"/>
  <c r="Y77" i="37"/>
  <c r="X77" i="37"/>
  <c r="W77" i="37"/>
  <c r="V77" i="37"/>
  <c r="Z76" i="37"/>
  <c r="Y76" i="37"/>
  <c r="X76" i="37"/>
  <c r="W76" i="37"/>
  <c r="V76" i="37"/>
  <c r="Z75" i="37"/>
  <c r="Y75" i="37"/>
  <c r="X75" i="37"/>
  <c r="W75" i="37"/>
  <c r="V75" i="37"/>
  <c r="Z74" i="37"/>
  <c r="Y74" i="37"/>
  <c r="X74" i="37"/>
  <c r="W74" i="37"/>
  <c r="V74" i="37"/>
  <c r="Z73" i="37"/>
  <c r="Y73" i="37"/>
  <c r="X73" i="37"/>
  <c r="W73" i="37"/>
  <c r="V73" i="37"/>
  <c r="Z68" i="37"/>
  <c r="Y68" i="37"/>
  <c r="X68" i="37"/>
  <c r="W68" i="37"/>
  <c r="V68" i="37"/>
  <c r="Z67" i="37"/>
  <c r="Y67" i="37"/>
  <c r="X67" i="37"/>
  <c r="W67" i="37"/>
  <c r="V67" i="37"/>
  <c r="Z66" i="37"/>
  <c r="Y66" i="37"/>
  <c r="X66" i="37"/>
  <c r="W66" i="37"/>
  <c r="V66" i="37"/>
  <c r="Z65" i="37"/>
  <c r="Y65" i="37"/>
  <c r="X65" i="37"/>
  <c r="W65" i="37"/>
  <c r="V65" i="37"/>
  <c r="Z64" i="37"/>
  <c r="Y64" i="37"/>
  <c r="X64" i="37"/>
  <c r="W64" i="37"/>
  <c r="V64" i="37"/>
  <c r="Z63" i="37"/>
  <c r="Y63" i="37"/>
  <c r="X63" i="37"/>
  <c r="W63" i="37"/>
  <c r="V63" i="37"/>
  <c r="Z62" i="37"/>
  <c r="Y62" i="37"/>
  <c r="X62" i="37"/>
  <c r="W62" i="37"/>
  <c r="V62" i="37"/>
  <c r="Z61" i="37"/>
  <c r="Y61" i="37"/>
  <c r="X61" i="37"/>
  <c r="W61" i="37"/>
  <c r="V61" i="37"/>
  <c r="Z60" i="37"/>
  <c r="Y60" i="37"/>
  <c r="X60" i="37"/>
  <c r="W60" i="37"/>
  <c r="V60" i="37"/>
  <c r="Z59" i="37"/>
  <c r="Y59" i="37"/>
  <c r="X59" i="37"/>
  <c r="W59" i="37"/>
  <c r="V59" i="37"/>
  <c r="AQ58" i="37"/>
  <c r="D40" i="37" s="1"/>
  <c r="Z58" i="37"/>
  <c r="Y58" i="37"/>
  <c r="X58" i="37"/>
  <c r="W58" i="37"/>
  <c r="V58" i="37"/>
  <c r="Z57" i="37"/>
  <c r="Y57" i="37"/>
  <c r="X57" i="37"/>
  <c r="W57" i="37"/>
  <c r="V57" i="37"/>
  <c r="Z56" i="37"/>
  <c r="Y56" i="37"/>
  <c r="X56" i="37"/>
  <c r="W56" i="37"/>
  <c r="V56" i="37"/>
  <c r="AP44" i="37"/>
  <c r="B59" i="37" s="1"/>
  <c r="AP43" i="37"/>
  <c r="B58" i="37" s="1"/>
  <c r="AP42" i="37"/>
  <c r="B57" i="37" s="1"/>
  <c r="X42" i="37"/>
  <c r="AP41" i="37"/>
  <c r="B56" i="37" s="1"/>
  <c r="X41" i="37"/>
  <c r="AP40" i="37"/>
  <c r="B55" i="37" s="1"/>
  <c r="X40" i="37"/>
  <c r="B40" i="37"/>
  <c r="X39" i="37"/>
  <c r="X38" i="37"/>
  <c r="X37" i="37"/>
  <c r="X36" i="37"/>
  <c r="X35" i="37"/>
  <c r="Q35" i="37"/>
  <c r="P35" i="37"/>
  <c r="B35" i="37"/>
  <c r="X34" i="37"/>
  <c r="J34" i="37"/>
  <c r="D35" i="37" s="1"/>
  <c r="X33" i="37"/>
  <c r="X32" i="37"/>
  <c r="AG31" i="37"/>
  <c r="X31" i="37"/>
  <c r="X30" i="37"/>
  <c r="X29" i="37"/>
  <c r="B29" i="37"/>
  <c r="AQ27" i="37" s="1"/>
  <c r="X28" i="37"/>
  <c r="B27" i="37"/>
  <c r="P25" i="37"/>
  <c r="I24" i="37" s="1"/>
  <c r="G24" i="37"/>
  <c r="E24" i="37"/>
  <c r="C24" i="37"/>
  <c r="AB23" i="37"/>
  <c r="AA23" i="37"/>
  <c r="Z23" i="37"/>
  <c r="Y23" i="37"/>
  <c r="I23" i="37"/>
  <c r="G23" i="37"/>
  <c r="E23" i="37"/>
  <c r="C23" i="37"/>
  <c r="AB22" i="37"/>
  <c r="AA22" i="37"/>
  <c r="Z22" i="37"/>
  <c r="Y22" i="37"/>
  <c r="I22" i="37"/>
  <c r="G22" i="37"/>
  <c r="E22" i="37"/>
  <c r="C22" i="37"/>
  <c r="I21" i="37"/>
  <c r="G21" i="37"/>
  <c r="E21" i="37"/>
  <c r="C21" i="37"/>
  <c r="AQ20" i="37"/>
  <c r="B49" i="37" s="1"/>
  <c r="AQ36" i="37" s="1"/>
  <c r="AI20" i="37"/>
  <c r="I20" i="37"/>
  <c r="AQ19" i="37"/>
  <c r="AI19" i="37"/>
  <c r="AJ18" i="37" s="1"/>
  <c r="AK18" i="37" s="1"/>
  <c r="AV26" i="37" s="1"/>
  <c r="AQ18" i="37"/>
  <c r="B47" i="37" s="1"/>
  <c r="AQ34" i="37" s="1"/>
  <c r="AI18" i="37"/>
  <c r="I18" i="37"/>
  <c r="AI17" i="37"/>
  <c r="AI16" i="37"/>
  <c r="AI15" i="37"/>
  <c r="AJ15" i="37" s="1"/>
  <c r="AK15" i="37" s="1"/>
  <c r="AU26" i="37" s="1"/>
  <c r="AQ14" i="37"/>
  <c r="AI14" i="37"/>
  <c r="I14" i="37"/>
  <c r="AQ13" i="37"/>
  <c r="B45" i="37" s="1"/>
  <c r="AQ32" i="37" s="1"/>
  <c r="AI13" i="37"/>
  <c r="AJ12" i="37" s="1"/>
  <c r="AK12" i="37" s="1"/>
  <c r="AT26" i="37" s="1"/>
  <c r="AQ12" i="37"/>
  <c r="B44" i="37" s="1"/>
  <c r="AQ31" i="37" s="1"/>
  <c r="AI12" i="37"/>
  <c r="AI11" i="37"/>
  <c r="AB11" i="37"/>
  <c r="AA11" i="37"/>
  <c r="Z11" i="37"/>
  <c r="Y11" i="37"/>
  <c r="AI10" i="37"/>
  <c r="AB10" i="37"/>
  <c r="AC10" i="37" s="1"/>
  <c r="AA10" i="37"/>
  <c r="Z10" i="37"/>
  <c r="Y10" i="37"/>
  <c r="AI9" i="37"/>
  <c r="AJ9" i="37" s="1"/>
  <c r="AB9" i="37"/>
  <c r="AA9" i="37"/>
  <c r="AC9" i="37" s="1"/>
  <c r="Z9" i="37"/>
  <c r="Y9" i="37"/>
  <c r="AQ8" i="37"/>
  <c r="B43" i="37" s="1"/>
  <c r="AQ30" i="37" s="1"/>
  <c r="AB8" i="37"/>
  <c r="AA8" i="37"/>
  <c r="Z8" i="37"/>
  <c r="Y8" i="37"/>
  <c r="AQ7" i="37"/>
  <c r="AQ6" i="37"/>
  <c r="B41" i="37" s="1"/>
  <c r="AQ28" i="37" s="1"/>
  <c r="J46" i="55" l="1"/>
  <c r="AT8" i="55"/>
  <c r="AS8" i="55"/>
  <c r="AU8" i="55"/>
  <c r="AT7" i="55"/>
  <c r="J45" i="55"/>
  <c r="AS7" i="55"/>
  <c r="AU7" i="55"/>
  <c r="J44" i="55"/>
  <c r="AS6" i="55"/>
  <c r="AU6" i="55"/>
  <c r="AT6" i="55"/>
  <c r="D31" i="54"/>
  <c r="E31" i="54"/>
  <c r="J44" i="54"/>
  <c r="AU6" i="54"/>
  <c r="AU9" i="54" s="1"/>
  <c r="AU11" i="54" s="1"/>
  <c r="AS6" i="54"/>
  <c r="AT6" i="54"/>
  <c r="J45" i="54"/>
  <c r="AU7" i="54"/>
  <c r="AT7" i="54"/>
  <c r="AS7" i="54"/>
  <c r="J46" i="54"/>
  <c r="AU8" i="54"/>
  <c r="AS8" i="54"/>
  <c r="AT8" i="54"/>
  <c r="E55" i="52"/>
  <c r="D55" i="52"/>
  <c r="E54" i="52"/>
  <c r="AU9" i="52"/>
  <c r="AU11" i="52" s="1"/>
  <c r="E31" i="52"/>
  <c r="D31" i="52"/>
  <c r="AT9" i="52"/>
  <c r="AT11" i="52" s="1"/>
  <c r="D52" i="52"/>
  <c r="E51" i="52"/>
  <c r="E52" i="52"/>
  <c r="AS9" i="52"/>
  <c r="AS11" i="52" s="1"/>
  <c r="E49" i="52"/>
  <c r="E48" i="52"/>
  <c r="D49" i="52"/>
  <c r="AV8" i="49"/>
  <c r="AV7" i="49"/>
  <c r="AV6" i="49"/>
  <c r="D28" i="49"/>
  <c r="E28" i="49"/>
  <c r="E30" i="49"/>
  <c r="D30" i="49"/>
  <c r="D28" i="48"/>
  <c r="E28" i="48"/>
  <c r="J41" i="48"/>
  <c r="AU8" i="48"/>
  <c r="AS8" i="48"/>
  <c r="AT8" i="48"/>
  <c r="J40" i="48"/>
  <c r="AS7" i="48"/>
  <c r="AU7" i="48"/>
  <c r="AT7" i="48"/>
  <c r="J39" i="48"/>
  <c r="AU6" i="48"/>
  <c r="AT6" i="48"/>
  <c r="AS6" i="48"/>
  <c r="E30" i="48"/>
  <c r="D30" i="48"/>
  <c r="AV8" i="47"/>
  <c r="AV6" i="47"/>
  <c r="AV7" i="47"/>
  <c r="E30" i="47"/>
  <c r="D30" i="47"/>
  <c r="J30" i="43"/>
  <c r="D29" i="43"/>
  <c r="E29" i="43"/>
  <c r="AT27" i="43"/>
  <c r="AS27" i="43"/>
  <c r="AV27" i="43"/>
  <c r="AU27" i="43"/>
  <c r="N114" i="43"/>
  <c r="J28" i="43"/>
  <c r="E27" i="43"/>
  <c r="D27" i="43"/>
  <c r="P99" i="43"/>
  <c r="AT5" i="43"/>
  <c r="AU5" i="43"/>
  <c r="Q99" i="43"/>
  <c r="O99" i="43"/>
  <c r="AS5" i="43"/>
  <c r="V28" i="42"/>
  <c r="AU5" i="42" s="1"/>
  <c r="V27" i="42"/>
  <c r="P99" i="42" s="1"/>
  <c r="E36" i="42"/>
  <c r="Z47" i="42"/>
  <c r="Z48" i="42" s="1"/>
  <c r="Z49" i="42" s="1"/>
  <c r="J29" i="42" s="1"/>
  <c r="AS27" i="42" s="1"/>
  <c r="N114" i="42"/>
  <c r="AS5" i="42"/>
  <c r="O99" i="42"/>
  <c r="J28" i="42"/>
  <c r="E27" i="42"/>
  <c r="D27" i="42"/>
  <c r="O114" i="42"/>
  <c r="Q99" i="41"/>
  <c r="E40" i="41"/>
  <c r="P99" i="41"/>
  <c r="J30" i="41"/>
  <c r="D29" i="41"/>
  <c r="E29" i="41"/>
  <c r="AU27" i="41"/>
  <c r="AV27" i="41"/>
  <c r="AT27" i="41"/>
  <c r="AS27" i="41"/>
  <c r="J28" i="41"/>
  <c r="E27" i="41"/>
  <c r="D27" i="41"/>
  <c r="AV8" i="41"/>
  <c r="AV7" i="41"/>
  <c r="AV6" i="41"/>
  <c r="O99" i="41"/>
  <c r="AS5" i="41"/>
  <c r="N114" i="41"/>
  <c r="E35" i="37"/>
  <c r="AJ15" i="38"/>
  <c r="AK15" i="38" s="1"/>
  <c r="AU26" i="38" s="1"/>
  <c r="P114" i="38" s="1"/>
  <c r="AE89" i="37"/>
  <c r="AE92" i="38"/>
  <c r="AD8" i="37"/>
  <c r="AB36" i="37" s="1"/>
  <c r="AC22" i="37"/>
  <c r="E18" i="37"/>
  <c r="AE92" i="37"/>
  <c r="AE95" i="37"/>
  <c r="E35" i="38"/>
  <c r="E40" i="38"/>
  <c r="AE88" i="37"/>
  <c r="AC32" i="38"/>
  <c r="AU5" i="38" s="1"/>
  <c r="AC8" i="37"/>
  <c r="AD8" i="38"/>
  <c r="AB36" i="38" s="1"/>
  <c r="AC22" i="38"/>
  <c r="AE89" i="38"/>
  <c r="AE95" i="38"/>
  <c r="AE91" i="37"/>
  <c r="AE93" i="37"/>
  <c r="AC11" i="37"/>
  <c r="P24" i="37"/>
  <c r="E40" i="37"/>
  <c r="V49" i="37"/>
  <c r="AE87" i="37"/>
  <c r="AJ18" i="40"/>
  <c r="AK18" i="40" s="1"/>
  <c r="AV26" i="40" s="1"/>
  <c r="Q114" i="40" s="1"/>
  <c r="W18" i="40"/>
  <c r="U35" i="40" s="1"/>
  <c r="W8" i="40"/>
  <c r="U32" i="40" s="1"/>
  <c r="AE95" i="40"/>
  <c r="AE91" i="40"/>
  <c r="Z46" i="40" s="1"/>
  <c r="AE92" i="40"/>
  <c r="AQ59" i="40"/>
  <c r="D40" i="40" s="1"/>
  <c r="AJ15" i="40"/>
  <c r="AK15" i="40" s="1"/>
  <c r="AU26" i="40" s="1"/>
  <c r="P114" i="40" s="1"/>
  <c r="AE94" i="40"/>
  <c r="AJ12" i="40"/>
  <c r="AK12" i="40" s="1"/>
  <c r="AT26" i="40" s="1"/>
  <c r="O114" i="40" s="1"/>
  <c r="AE87" i="40"/>
  <c r="E18" i="40"/>
  <c r="AE88" i="40"/>
  <c r="AE90" i="40"/>
  <c r="AE93" i="40"/>
  <c r="V49" i="40"/>
  <c r="E35" i="40"/>
  <c r="AE89" i="40"/>
  <c r="P24" i="40"/>
  <c r="J35" i="40"/>
  <c r="B42" i="40"/>
  <c r="AQ29" i="40" s="1"/>
  <c r="AC31" i="38"/>
  <c r="P99" i="38" s="1"/>
  <c r="Q99" i="38"/>
  <c r="AL9" i="38"/>
  <c r="AK9" i="38" s="1"/>
  <c r="AS26" i="38" s="1"/>
  <c r="AL15" i="38"/>
  <c r="AL18" i="38"/>
  <c r="AL12" i="38"/>
  <c r="V47" i="38"/>
  <c r="V48" i="38" s="1"/>
  <c r="V51" i="38" s="1"/>
  <c r="J27" i="38" s="1"/>
  <c r="O114" i="38"/>
  <c r="Q114" i="38"/>
  <c r="G20" i="38"/>
  <c r="J35" i="38"/>
  <c r="B43" i="38"/>
  <c r="AQ30" i="38" s="1"/>
  <c r="B46" i="38"/>
  <c r="AQ33" i="38" s="1"/>
  <c r="B42" i="38"/>
  <c r="AQ29" i="38" s="1"/>
  <c r="AC31" i="37"/>
  <c r="P99" i="37" s="1"/>
  <c r="O114" i="37"/>
  <c r="P114" i="37"/>
  <c r="Q114" i="37"/>
  <c r="B46" i="37"/>
  <c r="AQ33" i="37" s="1"/>
  <c r="AC23" i="37"/>
  <c r="AD22" i="37" s="1"/>
  <c r="AB39" i="37" s="1"/>
  <c r="AC32" i="37" s="1"/>
  <c r="AE90" i="37"/>
  <c r="AE94" i="37"/>
  <c r="B42" i="37"/>
  <c r="Z46" i="37"/>
  <c r="B48" i="37"/>
  <c r="AQ35" i="37" s="1"/>
  <c r="J35" i="37"/>
  <c r="AV95" i="26"/>
  <c r="AV94" i="26"/>
  <c r="AV93" i="26"/>
  <c r="AV92" i="26"/>
  <c r="AV91" i="26"/>
  <c r="AV90" i="26"/>
  <c r="AV89" i="26"/>
  <c r="AV88" i="26"/>
  <c r="AV87" i="26"/>
  <c r="AV86" i="26"/>
  <c r="AV85" i="26"/>
  <c r="AV84" i="26"/>
  <c r="AV83" i="26"/>
  <c r="AV82" i="26"/>
  <c r="AV81" i="26"/>
  <c r="AV80" i="26"/>
  <c r="AV79" i="26"/>
  <c r="AV78" i="26"/>
  <c r="AV77" i="26"/>
  <c r="AV76" i="26"/>
  <c r="AV75" i="26"/>
  <c r="AV74" i="26"/>
  <c r="AV73" i="26"/>
  <c r="AV72" i="26"/>
  <c r="AV71" i="26"/>
  <c r="AV70" i="26"/>
  <c r="AV69" i="26"/>
  <c r="AV68" i="26"/>
  <c r="AV67" i="26"/>
  <c r="AV66" i="26"/>
  <c r="AV65" i="26"/>
  <c r="AV64" i="26"/>
  <c r="AV63" i="26"/>
  <c r="AV62" i="26"/>
  <c r="AV61" i="26"/>
  <c r="AV60" i="26"/>
  <c r="AV59" i="26"/>
  <c r="AV58" i="26"/>
  <c r="AV57" i="26"/>
  <c r="AV56" i="26"/>
  <c r="AV55" i="26"/>
  <c r="AV54" i="26"/>
  <c r="AV53" i="26"/>
  <c r="AV52" i="26"/>
  <c r="AV51" i="26"/>
  <c r="AV95" i="17"/>
  <c r="AV94" i="17"/>
  <c r="AV93" i="17"/>
  <c r="AV92" i="17"/>
  <c r="AV91" i="17"/>
  <c r="AV90" i="17"/>
  <c r="AV89" i="17"/>
  <c r="AV88" i="17"/>
  <c r="AV87" i="17"/>
  <c r="AV86" i="17"/>
  <c r="AV85" i="17"/>
  <c r="AV84" i="17"/>
  <c r="AV83" i="17"/>
  <c r="AV82" i="17"/>
  <c r="AV81" i="17"/>
  <c r="AV80" i="17"/>
  <c r="AV79" i="17"/>
  <c r="AV78" i="17"/>
  <c r="AV77" i="17"/>
  <c r="AV76" i="17"/>
  <c r="AV75" i="17"/>
  <c r="AV74" i="17"/>
  <c r="AV73" i="17"/>
  <c r="AV72" i="17"/>
  <c r="AV71" i="17"/>
  <c r="AV70" i="17"/>
  <c r="AV69" i="17"/>
  <c r="AV68" i="17"/>
  <c r="AV67" i="17"/>
  <c r="AV66" i="17"/>
  <c r="AV65" i="17"/>
  <c r="AV64" i="17"/>
  <c r="AV63" i="17"/>
  <c r="AV62" i="17"/>
  <c r="AV61" i="17"/>
  <c r="AV60" i="17"/>
  <c r="AV59" i="17"/>
  <c r="AV58" i="17"/>
  <c r="AV57" i="17"/>
  <c r="AV56" i="17"/>
  <c r="AV55" i="17"/>
  <c r="AV54" i="17"/>
  <c r="AV53" i="17"/>
  <c r="AV52" i="17"/>
  <c r="AV51" i="17"/>
  <c r="AV95" i="15"/>
  <c r="AV94" i="15"/>
  <c r="AV93" i="15"/>
  <c r="AV92" i="15"/>
  <c r="AV91" i="15"/>
  <c r="AV90" i="15"/>
  <c r="AV89" i="15"/>
  <c r="AV88" i="15"/>
  <c r="AV87" i="15"/>
  <c r="AV86" i="15"/>
  <c r="AV85" i="15"/>
  <c r="AV84" i="15"/>
  <c r="AV83" i="15"/>
  <c r="AV82" i="15"/>
  <c r="AV81" i="15"/>
  <c r="AV80" i="15"/>
  <c r="AV79" i="15"/>
  <c r="AV78" i="15"/>
  <c r="AV77" i="15"/>
  <c r="AV76" i="15"/>
  <c r="AV75" i="15"/>
  <c r="AV74" i="15"/>
  <c r="AV73" i="15"/>
  <c r="AV72" i="15"/>
  <c r="AV71" i="15"/>
  <c r="AV70" i="15"/>
  <c r="AV69" i="15"/>
  <c r="AV68" i="15"/>
  <c r="AV67" i="15"/>
  <c r="AV66" i="15"/>
  <c r="AV65" i="15"/>
  <c r="AV64" i="15"/>
  <c r="AV63" i="15"/>
  <c r="AV62" i="15"/>
  <c r="AV61" i="15"/>
  <c r="AV60" i="15"/>
  <c r="AV59" i="15"/>
  <c r="AV58" i="15"/>
  <c r="AV57" i="15"/>
  <c r="AV56" i="15"/>
  <c r="AV55" i="15"/>
  <c r="AV54" i="15"/>
  <c r="AV53" i="15"/>
  <c r="AV52" i="15"/>
  <c r="AV51" i="15"/>
  <c r="AV95" i="13"/>
  <c r="AV94" i="13"/>
  <c r="AV93" i="13"/>
  <c r="AV92" i="13"/>
  <c r="AV91" i="13"/>
  <c r="AV90" i="13"/>
  <c r="AV89" i="13"/>
  <c r="AV88" i="13"/>
  <c r="AV87" i="13"/>
  <c r="AV86" i="13"/>
  <c r="AV85" i="13"/>
  <c r="AV84" i="13"/>
  <c r="AV83" i="13"/>
  <c r="AV82" i="13"/>
  <c r="AV81" i="13"/>
  <c r="AV80" i="13"/>
  <c r="AV79" i="13"/>
  <c r="AV78" i="13"/>
  <c r="AV77" i="13"/>
  <c r="AV76" i="13"/>
  <c r="AV75" i="13"/>
  <c r="AV74" i="13"/>
  <c r="AV73" i="13"/>
  <c r="AV72" i="13"/>
  <c r="AV71" i="13"/>
  <c r="AV70" i="13"/>
  <c r="AV69" i="13"/>
  <c r="AV68" i="13"/>
  <c r="AV67" i="13"/>
  <c r="AV66" i="13"/>
  <c r="AV65" i="13"/>
  <c r="AV64" i="13"/>
  <c r="AV63" i="13"/>
  <c r="AV62" i="13"/>
  <c r="AV61" i="13"/>
  <c r="AV60" i="13"/>
  <c r="AV59" i="13"/>
  <c r="AV58" i="13"/>
  <c r="AV57" i="13"/>
  <c r="AV56" i="13"/>
  <c r="AV55" i="13"/>
  <c r="AV54" i="13"/>
  <c r="AV53" i="13"/>
  <c r="AV52" i="13"/>
  <c r="AV51" i="13"/>
  <c r="AV95" i="10"/>
  <c r="AV94" i="10"/>
  <c r="AV93" i="10"/>
  <c r="AV92" i="10"/>
  <c r="AV91" i="10"/>
  <c r="AV90" i="10"/>
  <c r="AV89" i="10"/>
  <c r="AV88" i="10"/>
  <c r="AV87" i="10"/>
  <c r="AV86" i="10"/>
  <c r="AV85" i="10"/>
  <c r="AV84" i="10"/>
  <c r="AV83" i="10"/>
  <c r="AV82" i="10"/>
  <c r="AV81" i="10"/>
  <c r="AV80" i="10"/>
  <c r="AV79" i="10"/>
  <c r="AV78" i="10"/>
  <c r="AV77" i="10"/>
  <c r="AV76" i="10"/>
  <c r="AV75" i="10"/>
  <c r="AV74" i="10"/>
  <c r="AV73" i="10"/>
  <c r="AV72" i="10"/>
  <c r="AV71" i="10"/>
  <c r="AV70" i="10"/>
  <c r="AV69" i="10"/>
  <c r="AV68" i="10"/>
  <c r="AV67" i="10"/>
  <c r="AV66" i="10"/>
  <c r="AV65" i="10"/>
  <c r="AV64" i="10"/>
  <c r="AV63" i="10"/>
  <c r="AV62" i="10"/>
  <c r="AV61" i="10"/>
  <c r="AV60" i="10"/>
  <c r="AV59" i="10"/>
  <c r="AV58" i="10"/>
  <c r="AV57" i="10"/>
  <c r="AV56" i="10"/>
  <c r="AV55" i="10"/>
  <c r="AV54" i="10"/>
  <c r="AV53" i="10"/>
  <c r="AV52" i="10"/>
  <c r="AV51" i="10"/>
  <c r="AT9" i="55" l="1"/>
  <c r="AT11" i="55" s="1"/>
  <c r="AS9" i="54"/>
  <c r="AS11" i="54" s="1"/>
  <c r="AU9" i="55"/>
  <c r="AU11" i="55" s="1"/>
  <c r="AV13" i="55" s="1"/>
  <c r="AV14" i="55"/>
  <c r="D55" i="55"/>
  <c r="E54" i="55"/>
  <c r="E55" i="55"/>
  <c r="D49" i="55"/>
  <c r="E49" i="55"/>
  <c r="E48" i="55"/>
  <c r="E52" i="55"/>
  <c r="E51" i="55"/>
  <c r="D52" i="55"/>
  <c r="AS9" i="55"/>
  <c r="AS11" i="55" s="1"/>
  <c r="AV13" i="54"/>
  <c r="AV12" i="54"/>
  <c r="AV14" i="54"/>
  <c r="E55" i="54"/>
  <c r="D55" i="54"/>
  <c r="E54" i="54"/>
  <c r="E52" i="54"/>
  <c r="E51" i="54"/>
  <c r="D52" i="54"/>
  <c r="AT9" i="54"/>
  <c r="AT11" i="54" s="1"/>
  <c r="E49" i="54"/>
  <c r="E48" i="54"/>
  <c r="D49" i="54"/>
  <c r="D54" i="52"/>
  <c r="I55" i="52"/>
  <c r="I54" i="52" s="1"/>
  <c r="I49" i="52"/>
  <c r="D48" i="52"/>
  <c r="AV12" i="52"/>
  <c r="AV14" i="52"/>
  <c r="AV13" i="52"/>
  <c r="D51" i="52"/>
  <c r="I52" i="52"/>
  <c r="I51" i="52" s="1"/>
  <c r="J39" i="49"/>
  <c r="AT6" i="49"/>
  <c r="AU6" i="49"/>
  <c r="AS6" i="49"/>
  <c r="AT7" i="49"/>
  <c r="J40" i="49"/>
  <c r="AS7" i="49"/>
  <c r="AU7" i="49"/>
  <c r="J41" i="49"/>
  <c r="AS8" i="49"/>
  <c r="AU8" i="49"/>
  <c r="AT8" i="49"/>
  <c r="AS9" i="48"/>
  <c r="AS11" i="48" s="1"/>
  <c r="AU9" i="48"/>
  <c r="AU11" i="48" s="1"/>
  <c r="AV13" i="48" s="1"/>
  <c r="E43" i="48"/>
  <c r="D43" i="48"/>
  <c r="AS28" i="48"/>
  <c r="AV28" i="48"/>
  <c r="AU28" i="48"/>
  <c r="AT28" i="48"/>
  <c r="AT9" i="48"/>
  <c r="AT11" i="48" s="1"/>
  <c r="E42" i="48"/>
  <c r="D42" i="48"/>
  <c r="E41" i="48"/>
  <c r="D41" i="48"/>
  <c r="J40" i="47"/>
  <c r="AT7" i="47"/>
  <c r="AS7" i="47"/>
  <c r="AU7" i="47"/>
  <c r="J39" i="47"/>
  <c r="AT6" i="47"/>
  <c r="AS6" i="47"/>
  <c r="AU6" i="47"/>
  <c r="J41" i="47"/>
  <c r="AU8" i="47"/>
  <c r="AS8" i="47"/>
  <c r="AT8" i="47"/>
  <c r="D28" i="43"/>
  <c r="E28" i="43"/>
  <c r="AV8" i="43"/>
  <c r="AV7" i="43"/>
  <c r="AV6" i="43"/>
  <c r="E30" i="43"/>
  <c r="D30" i="43"/>
  <c r="Q99" i="42"/>
  <c r="AT5" i="42"/>
  <c r="AV6" i="42" s="1"/>
  <c r="J39" i="42" s="1"/>
  <c r="AU27" i="42"/>
  <c r="AV27" i="42"/>
  <c r="J30" i="42"/>
  <c r="E30" i="42" s="1"/>
  <c r="E29" i="42"/>
  <c r="D29" i="42"/>
  <c r="AT27" i="42"/>
  <c r="D28" i="42"/>
  <c r="E28" i="42"/>
  <c r="J39" i="41"/>
  <c r="AS6" i="41"/>
  <c r="AT6" i="41"/>
  <c r="AU6" i="41"/>
  <c r="J40" i="41"/>
  <c r="AU7" i="41"/>
  <c r="AS7" i="41"/>
  <c r="AT7" i="41"/>
  <c r="J41" i="41"/>
  <c r="AS8" i="41"/>
  <c r="AU8" i="41"/>
  <c r="AT8" i="41"/>
  <c r="D28" i="41"/>
  <c r="E28" i="41"/>
  <c r="D30" i="41"/>
  <c r="E30" i="41"/>
  <c r="V47" i="37"/>
  <c r="V48" i="37" s="1"/>
  <c r="V51" i="37" s="1"/>
  <c r="J27" i="37" s="1"/>
  <c r="G20" i="37"/>
  <c r="AC30" i="37"/>
  <c r="AL18" i="37"/>
  <c r="AL12" i="37"/>
  <c r="AL9" i="37"/>
  <c r="AK9" i="37" s="1"/>
  <c r="AS26" i="37" s="1"/>
  <c r="AL15" i="37"/>
  <c r="AL15" i="40"/>
  <c r="V26" i="40"/>
  <c r="V27" i="40"/>
  <c r="AT5" i="40" s="1"/>
  <c r="V28" i="40"/>
  <c r="AU5" i="40" s="1"/>
  <c r="E40" i="40"/>
  <c r="AL12" i="40"/>
  <c r="AL9" i="40"/>
  <c r="AK9" i="40" s="1"/>
  <c r="AS26" i="40" s="1"/>
  <c r="N114" i="40" s="1"/>
  <c r="AL18" i="40"/>
  <c r="V47" i="40"/>
  <c r="G20" i="40"/>
  <c r="E36" i="40"/>
  <c r="D36" i="40"/>
  <c r="AT5" i="38"/>
  <c r="AV8" i="38" s="1"/>
  <c r="J28" i="38"/>
  <c r="E27" i="38"/>
  <c r="D27" i="38"/>
  <c r="E36" i="38"/>
  <c r="D36" i="38"/>
  <c r="AV7" i="38"/>
  <c r="AV6" i="38"/>
  <c r="AS5" i="38"/>
  <c r="O99" i="38"/>
  <c r="N114" i="38"/>
  <c r="AT5" i="37"/>
  <c r="E36" i="37"/>
  <c r="D36" i="37"/>
  <c r="N114" i="37"/>
  <c r="AQ29" i="37"/>
  <c r="Q99" i="37"/>
  <c r="AU5" i="37"/>
  <c r="AV8" i="37"/>
  <c r="AV6" i="37"/>
  <c r="AV7" i="37"/>
  <c r="AV95" i="20"/>
  <c r="AV94" i="20"/>
  <c r="AV93" i="20"/>
  <c r="AV92" i="20"/>
  <c r="AV91" i="20"/>
  <c r="AV90" i="20"/>
  <c r="AV89" i="20"/>
  <c r="AV88" i="20"/>
  <c r="AV87" i="20"/>
  <c r="AV86" i="20"/>
  <c r="AV85" i="20"/>
  <c r="AV84" i="20"/>
  <c r="AV83" i="20"/>
  <c r="AV82" i="20"/>
  <c r="AV81" i="20"/>
  <c r="AV80" i="20"/>
  <c r="AV79" i="20"/>
  <c r="AV78" i="20"/>
  <c r="AV77" i="20"/>
  <c r="AV76" i="20"/>
  <c r="AV75" i="20"/>
  <c r="AV74" i="20"/>
  <c r="AV73" i="20"/>
  <c r="AV72" i="20"/>
  <c r="AV71" i="20"/>
  <c r="AV70" i="20"/>
  <c r="AV69" i="20"/>
  <c r="AV68" i="20"/>
  <c r="AV67" i="20"/>
  <c r="AV66" i="20"/>
  <c r="AV65" i="20"/>
  <c r="AV64" i="20"/>
  <c r="AV63" i="20"/>
  <c r="AV62" i="20"/>
  <c r="AV61" i="20"/>
  <c r="AV60" i="20"/>
  <c r="AV59" i="20"/>
  <c r="AV58" i="20"/>
  <c r="AV57" i="20"/>
  <c r="AV56" i="20"/>
  <c r="AV55" i="20"/>
  <c r="AV54" i="20"/>
  <c r="AV53" i="20"/>
  <c r="AV52" i="20"/>
  <c r="AV51" i="20"/>
  <c r="AV95" i="8"/>
  <c r="AV94" i="8"/>
  <c r="AV93" i="8"/>
  <c r="AV92" i="8"/>
  <c r="AV91" i="8"/>
  <c r="AV90" i="8"/>
  <c r="AV89" i="8"/>
  <c r="AV88" i="8"/>
  <c r="AV87" i="8"/>
  <c r="AV86" i="8"/>
  <c r="AV85" i="8"/>
  <c r="AV84" i="8"/>
  <c r="AV83" i="8"/>
  <c r="AV82" i="8"/>
  <c r="AV81" i="8"/>
  <c r="AV80" i="8"/>
  <c r="AV79" i="8"/>
  <c r="AV78" i="8"/>
  <c r="AV77" i="8"/>
  <c r="AV76" i="8"/>
  <c r="AV75" i="8"/>
  <c r="AV74" i="8"/>
  <c r="AV73" i="8"/>
  <c r="AV72" i="8"/>
  <c r="AV71" i="8"/>
  <c r="AV70" i="8"/>
  <c r="AV69" i="8"/>
  <c r="AV68" i="8"/>
  <c r="AV67" i="8"/>
  <c r="AV66" i="8"/>
  <c r="AV65" i="8"/>
  <c r="AV64" i="8"/>
  <c r="AV63" i="8"/>
  <c r="AV62" i="8"/>
  <c r="AV61" i="8"/>
  <c r="AV60" i="8"/>
  <c r="AV59" i="8"/>
  <c r="AV58" i="8"/>
  <c r="AV57" i="8"/>
  <c r="AV56" i="8"/>
  <c r="AV55" i="8"/>
  <c r="AV54" i="8"/>
  <c r="AV53" i="8"/>
  <c r="AV52" i="8"/>
  <c r="AV51" i="8"/>
  <c r="AJ115" i="1"/>
  <c r="AJ110" i="1"/>
  <c r="AV12" i="55" l="1"/>
  <c r="J47" i="55" s="1"/>
  <c r="I49" i="55"/>
  <c r="D48" i="55"/>
  <c r="AS14" i="55"/>
  <c r="AT14" i="55"/>
  <c r="J49" i="55"/>
  <c r="AU14" i="55"/>
  <c r="D51" i="55"/>
  <c r="I52" i="55"/>
  <c r="I51" i="55" s="1"/>
  <c r="I55" i="55"/>
  <c r="I54" i="55" s="1"/>
  <c r="D54" i="55"/>
  <c r="AT12" i="55"/>
  <c r="AS12" i="55"/>
  <c r="AU12" i="55"/>
  <c r="AU15" i="55" s="1"/>
  <c r="AU17" i="55" s="1"/>
  <c r="AT13" i="55"/>
  <c r="J48" i="55"/>
  <c r="AS13" i="55"/>
  <c r="AU13" i="55"/>
  <c r="D51" i="54"/>
  <c r="I52" i="54"/>
  <c r="I51" i="54" s="1"/>
  <c r="J49" i="54"/>
  <c r="AU14" i="54"/>
  <c r="AT14" i="54"/>
  <c r="AS14" i="54"/>
  <c r="I49" i="54"/>
  <c r="D48" i="54"/>
  <c r="J47" i="54"/>
  <c r="AS12" i="54"/>
  <c r="AU12" i="54"/>
  <c r="AU15" i="54" s="1"/>
  <c r="AU17" i="54" s="1"/>
  <c r="AT12" i="54"/>
  <c r="J48" i="54"/>
  <c r="AS13" i="54"/>
  <c r="AT13" i="54"/>
  <c r="AU13" i="54"/>
  <c r="I55" i="54"/>
  <c r="I54" i="54" s="1"/>
  <c r="D54" i="54"/>
  <c r="J47" i="52"/>
  <c r="AT12" i="52"/>
  <c r="AU12" i="52"/>
  <c r="AS12" i="52"/>
  <c r="I48" i="52"/>
  <c r="J49" i="52"/>
  <c r="AS14" i="52"/>
  <c r="AU14" i="52"/>
  <c r="AT14" i="52"/>
  <c r="J48" i="52"/>
  <c r="AT13" i="52"/>
  <c r="AU13" i="52"/>
  <c r="AS13" i="52"/>
  <c r="AS9" i="49"/>
  <c r="AS11" i="49" s="1"/>
  <c r="E43" i="49"/>
  <c r="D43" i="49"/>
  <c r="AU28" i="49"/>
  <c r="AV28" i="49"/>
  <c r="AT28" i="49"/>
  <c r="AS28" i="49"/>
  <c r="AU9" i="49"/>
  <c r="AU11" i="49" s="1"/>
  <c r="AT9" i="49"/>
  <c r="AT11" i="49" s="1"/>
  <c r="E41" i="49"/>
  <c r="D41" i="49"/>
  <c r="D42" i="49"/>
  <c r="E42" i="49"/>
  <c r="AV14" i="48"/>
  <c r="AT14" i="48" s="1"/>
  <c r="AV12" i="48"/>
  <c r="J42" i="48" s="1"/>
  <c r="J43" i="48"/>
  <c r="AS13" i="48"/>
  <c r="AU13" i="48"/>
  <c r="AT13" i="48"/>
  <c r="AU9" i="47"/>
  <c r="AU11" i="47" s="1"/>
  <c r="AV14" i="47" s="1"/>
  <c r="AS9" i="47"/>
  <c r="AS11" i="47" s="1"/>
  <c r="E42" i="47"/>
  <c r="D42" i="47"/>
  <c r="AT9" i="47"/>
  <c r="AT11" i="47" s="1"/>
  <c r="D43" i="47"/>
  <c r="E43" i="47"/>
  <c r="AT28" i="47"/>
  <c r="AU28" i="47"/>
  <c r="AS28" i="47"/>
  <c r="AV28" i="47"/>
  <c r="E41" i="47"/>
  <c r="D41" i="47"/>
  <c r="AT8" i="43"/>
  <c r="J41" i="43"/>
  <c r="AS8" i="43"/>
  <c r="AU8" i="43"/>
  <c r="J39" i="43"/>
  <c r="AU6" i="43"/>
  <c r="AT6" i="43"/>
  <c r="AS6" i="43"/>
  <c r="J40" i="43"/>
  <c r="AU7" i="43"/>
  <c r="AT7" i="43"/>
  <c r="AS7" i="43"/>
  <c r="AS6" i="42"/>
  <c r="AU6" i="42"/>
  <c r="AV8" i="42"/>
  <c r="J41" i="42" s="1"/>
  <c r="E43" i="42" s="1"/>
  <c r="AT6" i="42"/>
  <c r="AV7" i="42"/>
  <c r="AS7" i="42" s="1"/>
  <c r="D30" i="42"/>
  <c r="E41" i="42"/>
  <c r="D41" i="42"/>
  <c r="AS9" i="41"/>
  <c r="AS11" i="41" s="1"/>
  <c r="E42" i="41"/>
  <c r="D42" i="41"/>
  <c r="D43" i="41"/>
  <c r="E43" i="41"/>
  <c r="AS28" i="41"/>
  <c r="AV28" i="41"/>
  <c r="AU28" i="41"/>
  <c r="AT28" i="41"/>
  <c r="AU9" i="41"/>
  <c r="AU11" i="41" s="1"/>
  <c r="AT9" i="41"/>
  <c r="AT11" i="41" s="1"/>
  <c r="E41" i="41"/>
  <c r="D41" i="41"/>
  <c r="AS5" i="37"/>
  <c r="O99" i="37"/>
  <c r="J28" i="37"/>
  <c r="D27" i="37"/>
  <c r="E27" i="37"/>
  <c r="O99" i="40"/>
  <c r="AS5" i="40"/>
  <c r="Q99" i="40"/>
  <c r="AV6" i="40"/>
  <c r="J39" i="40" s="1"/>
  <c r="AV7" i="40"/>
  <c r="J40" i="40" s="1"/>
  <c r="AV8" i="40"/>
  <c r="J41" i="40" s="1"/>
  <c r="P99" i="40"/>
  <c r="V48" i="40"/>
  <c r="V51" i="40" s="1"/>
  <c r="J27" i="40" s="1"/>
  <c r="J40" i="38"/>
  <c r="AT7" i="38"/>
  <c r="AU7" i="38"/>
  <c r="AS7" i="38"/>
  <c r="AS6" i="38"/>
  <c r="J39" i="38"/>
  <c r="AU6" i="38"/>
  <c r="AT6" i="38"/>
  <c r="E28" i="38"/>
  <c r="D28" i="38"/>
  <c r="AS8" i="38"/>
  <c r="J41" i="38"/>
  <c r="AU8" i="38"/>
  <c r="AT8" i="38"/>
  <c r="AT6" i="37"/>
  <c r="J39" i="37"/>
  <c r="AU6" i="37"/>
  <c r="AS6" i="37"/>
  <c r="AT8" i="37"/>
  <c r="AS8" i="37"/>
  <c r="J41" i="37"/>
  <c r="AU8" i="37"/>
  <c r="J40" i="37"/>
  <c r="AU7" i="37"/>
  <c r="AS7" i="37"/>
  <c r="AT7" i="37"/>
  <c r="AS15" i="55" l="1"/>
  <c r="AS17" i="55" s="1"/>
  <c r="AV20" i="55" s="1"/>
  <c r="AT15" i="55"/>
  <c r="AT17" i="55" s="1"/>
  <c r="AS15" i="52"/>
  <c r="AS17" i="52" s="1"/>
  <c r="AT15" i="54"/>
  <c r="AT17" i="54" s="1"/>
  <c r="AV18" i="55"/>
  <c r="I48" i="55"/>
  <c r="D58" i="55"/>
  <c r="E57" i="55"/>
  <c r="E58" i="55"/>
  <c r="E64" i="55"/>
  <c r="D64" i="55"/>
  <c r="E63" i="55"/>
  <c r="D61" i="55"/>
  <c r="E60" i="55"/>
  <c r="E61" i="55"/>
  <c r="D61" i="54"/>
  <c r="E60" i="54"/>
  <c r="E61" i="54"/>
  <c r="I48" i="54"/>
  <c r="AS15" i="54"/>
  <c r="AS17" i="54" s="1"/>
  <c r="E57" i="54"/>
  <c r="E58" i="54"/>
  <c r="D58" i="54"/>
  <c r="E63" i="54"/>
  <c r="E64" i="54"/>
  <c r="D64" i="54"/>
  <c r="AU15" i="52"/>
  <c r="AU17" i="52" s="1"/>
  <c r="E63" i="52"/>
  <c r="E64" i="52"/>
  <c r="D64" i="52"/>
  <c r="E57" i="52"/>
  <c r="E58" i="52"/>
  <c r="D58" i="52"/>
  <c r="E60" i="52"/>
  <c r="D61" i="52"/>
  <c r="E61" i="52"/>
  <c r="AV18" i="52"/>
  <c r="AV20" i="52"/>
  <c r="AV19" i="52"/>
  <c r="AT15" i="52"/>
  <c r="AT17" i="52" s="1"/>
  <c r="AV14" i="49"/>
  <c r="AV13" i="49"/>
  <c r="AV12" i="49"/>
  <c r="J44" i="48"/>
  <c r="D46" i="48" s="1"/>
  <c r="AS14" i="48"/>
  <c r="AU14" i="48"/>
  <c r="AS12" i="48"/>
  <c r="AU12" i="48"/>
  <c r="AT12" i="48"/>
  <c r="AT15" i="48" s="1"/>
  <c r="AT17" i="48" s="1"/>
  <c r="D44" i="48"/>
  <c r="E44" i="48"/>
  <c r="AT29" i="48"/>
  <c r="AV29" i="48"/>
  <c r="AS29" i="48"/>
  <c r="AU29" i="48"/>
  <c r="E46" i="48"/>
  <c r="E45" i="48"/>
  <c r="D45" i="48"/>
  <c r="AS30" i="48"/>
  <c r="AV35" i="48"/>
  <c r="AV36" i="48"/>
  <c r="AS35" i="48"/>
  <c r="AV33" i="48"/>
  <c r="AV30" i="48"/>
  <c r="AT30" i="48"/>
  <c r="AU36" i="48"/>
  <c r="AU35" i="48"/>
  <c r="AU33" i="48"/>
  <c r="AS36" i="48"/>
  <c r="AT36" i="48"/>
  <c r="AU30" i="48"/>
  <c r="AT35" i="48"/>
  <c r="AT33" i="48"/>
  <c r="AS33" i="48"/>
  <c r="AV12" i="47"/>
  <c r="AU12" i="47" s="1"/>
  <c r="AV13" i="47"/>
  <c r="AS13" i="47" s="1"/>
  <c r="J44" i="47"/>
  <c r="AU14" i="47"/>
  <c r="AS14" i="47"/>
  <c r="AT14" i="47"/>
  <c r="AT9" i="43"/>
  <c r="AT11" i="43" s="1"/>
  <c r="E42" i="43"/>
  <c r="D42" i="43"/>
  <c r="AS9" i="43"/>
  <c r="AS11" i="43" s="1"/>
  <c r="E43" i="43"/>
  <c r="D43" i="43"/>
  <c r="AV28" i="43"/>
  <c r="AU28" i="43"/>
  <c r="AT28" i="43"/>
  <c r="AS28" i="43"/>
  <c r="AU9" i="43"/>
  <c r="AU11" i="43" s="1"/>
  <c r="E41" i="43"/>
  <c r="D41" i="43"/>
  <c r="D43" i="42"/>
  <c r="J40" i="42"/>
  <c r="E42" i="42" s="1"/>
  <c r="AU7" i="42"/>
  <c r="AV28" i="42"/>
  <c r="AT7" i="42"/>
  <c r="AT28" i="42"/>
  <c r="AS8" i="42"/>
  <c r="AS9" i="42" s="1"/>
  <c r="AS11" i="42" s="1"/>
  <c r="AS28" i="42"/>
  <c r="AU28" i="42"/>
  <c r="AU8" i="42"/>
  <c r="AT8" i="42"/>
  <c r="AT9" i="42" s="1"/>
  <c r="AT11" i="42" s="1"/>
  <c r="AV14" i="41"/>
  <c r="AV13" i="41"/>
  <c r="AV12" i="41"/>
  <c r="AU8" i="40"/>
  <c r="D28" i="37"/>
  <c r="E28" i="37"/>
  <c r="AS7" i="40"/>
  <c r="AU6" i="40"/>
  <c r="AT8" i="40"/>
  <c r="AS6" i="40"/>
  <c r="AS8" i="40"/>
  <c r="AU7" i="40"/>
  <c r="AT6" i="40"/>
  <c r="AT7" i="40"/>
  <c r="D27" i="40"/>
  <c r="J28" i="40"/>
  <c r="E27" i="40"/>
  <c r="E43" i="40"/>
  <c r="D43" i="40"/>
  <c r="AT28" i="40"/>
  <c r="AS28" i="40"/>
  <c r="AV28" i="40"/>
  <c r="AU28" i="40"/>
  <c r="E41" i="40"/>
  <c r="D41" i="40"/>
  <c r="E42" i="40"/>
  <c r="D42" i="40"/>
  <c r="AS9" i="38"/>
  <c r="AS11" i="38" s="1"/>
  <c r="E43" i="38"/>
  <c r="D43" i="38"/>
  <c r="AV28" i="38"/>
  <c r="AU28" i="38"/>
  <c r="AT28" i="38"/>
  <c r="AS28" i="38"/>
  <c r="AU9" i="38"/>
  <c r="AU11" i="38" s="1"/>
  <c r="E41" i="38"/>
  <c r="D41" i="38"/>
  <c r="D42" i="38"/>
  <c r="E42" i="38"/>
  <c r="AT9" i="38"/>
  <c r="AT11" i="38" s="1"/>
  <c r="AU9" i="37"/>
  <c r="AU11" i="37" s="1"/>
  <c r="AV13" i="37" s="1"/>
  <c r="AT9" i="37"/>
  <c r="AT11" i="37" s="1"/>
  <c r="AS9" i="37"/>
  <c r="AS11" i="37" s="1"/>
  <c r="E43" i="37"/>
  <c r="D43" i="37"/>
  <c r="AU28" i="37"/>
  <c r="AT28" i="37"/>
  <c r="AV28" i="37"/>
  <c r="AS28" i="37"/>
  <c r="D42" i="37"/>
  <c r="E42" i="37"/>
  <c r="E41" i="37"/>
  <c r="D41" i="37"/>
  <c r="B31" i="34"/>
  <c r="B28" i="34"/>
  <c r="B25" i="34"/>
  <c r="B22" i="34"/>
  <c r="AV19" i="55" l="1"/>
  <c r="AT19" i="55" s="1"/>
  <c r="I61" i="55"/>
  <c r="I60" i="55" s="1"/>
  <c r="D60" i="55"/>
  <c r="J51" i="55"/>
  <c r="AU19" i="55"/>
  <c r="D63" i="55"/>
  <c r="I64" i="55"/>
  <c r="I63" i="55" s="1"/>
  <c r="J52" i="55"/>
  <c r="AS20" i="55"/>
  <c r="AT20" i="55"/>
  <c r="AU20" i="55"/>
  <c r="J50" i="55"/>
  <c r="AT18" i="55"/>
  <c r="AS18" i="55"/>
  <c r="AU18" i="55"/>
  <c r="I58" i="55"/>
  <c r="D57" i="55"/>
  <c r="D63" i="54"/>
  <c r="I64" i="54"/>
  <c r="I63" i="54" s="1"/>
  <c r="AV20" i="54"/>
  <c r="AV19" i="54"/>
  <c r="AV18" i="54"/>
  <c r="D60" i="54"/>
  <c r="I61" i="54"/>
  <c r="I60" i="54" s="1"/>
  <c r="I58" i="54"/>
  <c r="D57" i="54"/>
  <c r="AT19" i="52"/>
  <c r="J51" i="52"/>
  <c r="AU19" i="52"/>
  <c r="AS19" i="52"/>
  <c r="I58" i="52"/>
  <c r="D57" i="52"/>
  <c r="AS20" i="52"/>
  <c r="J52" i="52"/>
  <c r="AT20" i="52"/>
  <c r="AU20" i="52"/>
  <c r="AT18" i="52"/>
  <c r="AT21" i="52" s="1"/>
  <c r="P97" i="52" s="1"/>
  <c r="AU18" i="52"/>
  <c r="AU21" i="52" s="1"/>
  <c r="Q97" i="52" s="1"/>
  <c r="J50" i="52"/>
  <c r="AS18" i="52"/>
  <c r="D63" i="52"/>
  <c r="I64" i="52"/>
  <c r="I63" i="52" s="1"/>
  <c r="D60" i="52"/>
  <c r="I61" i="52"/>
  <c r="I60" i="52" s="1"/>
  <c r="AT13" i="49"/>
  <c r="J43" i="49"/>
  <c r="AU13" i="49"/>
  <c r="AS13" i="49"/>
  <c r="AT12" i="49"/>
  <c r="J42" i="49"/>
  <c r="AS12" i="49"/>
  <c r="AU12" i="49"/>
  <c r="AS14" i="49"/>
  <c r="J44" i="49"/>
  <c r="AU14" i="49"/>
  <c r="AT14" i="49"/>
  <c r="AS31" i="48"/>
  <c r="AV31" i="48"/>
  <c r="AT31" i="48"/>
  <c r="AU31" i="48"/>
  <c r="AS15" i="48"/>
  <c r="AS17" i="48" s="1"/>
  <c r="AV20" i="48" s="1"/>
  <c r="AU15" i="48"/>
  <c r="AU17" i="48" s="1"/>
  <c r="AS12" i="47"/>
  <c r="AS15" i="47" s="1"/>
  <c r="AS17" i="47" s="1"/>
  <c r="AV20" i="47" s="1"/>
  <c r="J42" i="47"/>
  <c r="AU29" i="47" s="1"/>
  <c r="AT12" i="47"/>
  <c r="AU13" i="47"/>
  <c r="AU15" i="47" s="1"/>
  <c r="AU17" i="47" s="1"/>
  <c r="J43" i="47"/>
  <c r="E45" i="47" s="1"/>
  <c r="AT13" i="47"/>
  <c r="D46" i="47"/>
  <c r="E46" i="47"/>
  <c r="AT31" i="47"/>
  <c r="AV31" i="47"/>
  <c r="AU31" i="47"/>
  <c r="AS31" i="47"/>
  <c r="AV14" i="43"/>
  <c r="AV13" i="43"/>
  <c r="AV12" i="43"/>
  <c r="D42" i="42"/>
  <c r="AU9" i="42"/>
  <c r="AU11" i="42" s="1"/>
  <c r="AV14" i="42" s="1"/>
  <c r="J44" i="42" s="1"/>
  <c r="J42" i="41"/>
  <c r="AS12" i="41"/>
  <c r="AT12" i="41"/>
  <c r="AU12" i="41"/>
  <c r="J43" i="41"/>
  <c r="AT13" i="41"/>
  <c r="AU13" i="41"/>
  <c r="AS13" i="41"/>
  <c r="J44" i="41"/>
  <c r="AU14" i="41"/>
  <c r="AS14" i="41"/>
  <c r="AT14" i="41"/>
  <c r="AT9" i="40"/>
  <c r="AT11" i="40" s="1"/>
  <c r="AU9" i="40"/>
  <c r="AU11" i="40" s="1"/>
  <c r="AV14" i="40" s="1"/>
  <c r="AS9" i="40"/>
  <c r="AS11" i="40" s="1"/>
  <c r="E28" i="40"/>
  <c r="D28" i="40"/>
  <c r="AV13" i="38"/>
  <c r="AV14" i="38"/>
  <c r="AV12" i="38"/>
  <c r="AV14" i="37"/>
  <c r="AU14" i="37" s="1"/>
  <c r="AV12" i="37"/>
  <c r="AU12" i="37" s="1"/>
  <c r="J43" i="37"/>
  <c r="AU13" i="37"/>
  <c r="AS13" i="37"/>
  <c r="AT13" i="37"/>
  <c r="I14" i="34"/>
  <c r="AS21" i="52" l="1"/>
  <c r="O97" i="52" s="1"/>
  <c r="AS19" i="55"/>
  <c r="AS21" i="55" s="1"/>
  <c r="O97" i="55" s="1"/>
  <c r="AT21" i="55"/>
  <c r="P97" i="55" s="1"/>
  <c r="AU21" i="55"/>
  <c r="Q97" i="55" s="1"/>
  <c r="I57" i="55"/>
  <c r="E66" i="55"/>
  <c r="D67" i="55"/>
  <c r="E67" i="55"/>
  <c r="D73" i="55"/>
  <c r="E72" i="55"/>
  <c r="E73" i="55"/>
  <c r="E70" i="55"/>
  <c r="D70" i="55"/>
  <c r="E69" i="55"/>
  <c r="AS29" i="55"/>
  <c r="AS24" i="55" s="1"/>
  <c r="AS37" i="55" s="1"/>
  <c r="AV29" i="55"/>
  <c r="AV24" i="55" s="1"/>
  <c r="AV37" i="55" s="1"/>
  <c r="AU29" i="55"/>
  <c r="AU24" i="55" s="1"/>
  <c r="AU37" i="55" s="1"/>
  <c r="AT29" i="55"/>
  <c r="AT24" i="55" s="1"/>
  <c r="AT37" i="55" s="1"/>
  <c r="J50" i="54"/>
  <c r="AU18" i="54"/>
  <c r="AS18" i="54"/>
  <c r="AT18" i="54"/>
  <c r="J51" i="54"/>
  <c r="AU19" i="54"/>
  <c r="AS19" i="54"/>
  <c r="AT19" i="54"/>
  <c r="J52" i="54"/>
  <c r="AT20" i="54"/>
  <c r="AS20" i="54"/>
  <c r="AU20" i="54"/>
  <c r="I57" i="54"/>
  <c r="I57" i="52"/>
  <c r="E73" i="52"/>
  <c r="D73" i="52"/>
  <c r="E72" i="52"/>
  <c r="E67" i="52"/>
  <c r="E66" i="52"/>
  <c r="D67" i="52"/>
  <c r="E70" i="52"/>
  <c r="D70" i="52"/>
  <c r="E69" i="52"/>
  <c r="AT29" i="52"/>
  <c r="AT24" i="52" s="1"/>
  <c r="AT37" i="52" s="1"/>
  <c r="AS29" i="52"/>
  <c r="AS24" i="52" s="1"/>
  <c r="AS37" i="52" s="1"/>
  <c r="AU29" i="52"/>
  <c r="AU24" i="52" s="1"/>
  <c r="AU37" i="52" s="1"/>
  <c r="AV29" i="52"/>
  <c r="AV24" i="52" s="1"/>
  <c r="AV37" i="52" s="1"/>
  <c r="E44" i="49"/>
  <c r="D44" i="49"/>
  <c r="AS29" i="49"/>
  <c r="AV29" i="49"/>
  <c r="AU29" i="49"/>
  <c r="AT29" i="49"/>
  <c r="AT15" i="49"/>
  <c r="AT17" i="49" s="1"/>
  <c r="E46" i="49"/>
  <c r="D46" i="49"/>
  <c r="AV31" i="49"/>
  <c r="AT31" i="49"/>
  <c r="AS31" i="49"/>
  <c r="AU31" i="49"/>
  <c r="AU15" i="49"/>
  <c r="AU17" i="49" s="1"/>
  <c r="D45" i="49"/>
  <c r="E45" i="49"/>
  <c r="AV33" i="49"/>
  <c r="AV30" i="49"/>
  <c r="AV35" i="49"/>
  <c r="AT36" i="49"/>
  <c r="AU33" i="49"/>
  <c r="AT35" i="49"/>
  <c r="AS36" i="49"/>
  <c r="AS33" i="49"/>
  <c r="AU35" i="49"/>
  <c r="AS35" i="49"/>
  <c r="AU30" i="49"/>
  <c r="AT30" i="49"/>
  <c r="AU36" i="49"/>
  <c r="AT33" i="49"/>
  <c r="AS30" i="49"/>
  <c r="AV36" i="49"/>
  <c r="AS15" i="49"/>
  <c r="AS17" i="49" s="1"/>
  <c r="AV18" i="48"/>
  <c r="AU18" i="48" s="1"/>
  <c r="AV19" i="48"/>
  <c r="J46" i="48" s="1"/>
  <c r="J47" i="48"/>
  <c r="AS20" i="48"/>
  <c r="AU20" i="48"/>
  <c r="AT20" i="48"/>
  <c r="E44" i="47"/>
  <c r="D44" i="47"/>
  <c r="AT29" i="47"/>
  <c r="AV29" i="47"/>
  <c r="AS29" i="47"/>
  <c r="AV35" i="47"/>
  <c r="AT15" i="47"/>
  <c r="AT17" i="47" s="1"/>
  <c r="AU35" i="47"/>
  <c r="AS30" i="47"/>
  <c r="AV33" i="47"/>
  <c r="AU33" i="47"/>
  <c r="AU30" i="47"/>
  <c r="D45" i="47"/>
  <c r="AT30" i="47"/>
  <c r="AT36" i="47"/>
  <c r="AU36" i="47"/>
  <c r="AS33" i="47"/>
  <c r="AS35" i="47"/>
  <c r="AV18" i="47"/>
  <c r="AS18" i="47" s="1"/>
  <c r="AT33" i="47"/>
  <c r="AS36" i="47"/>
  <c r="AV19" i="47"/>
  <c r="J46" i="47" s="1"/>
  <c r="AT35" i="47"/>
  <c r="AV30" i="47"/>
  <c r="AV36" i="47"/>
  <c r="J47" i="47"/>
  <c r="AU20" i="47"/>
  <c r="AT20" i="47"/>
  <c r="AS20" i="47"/>
  <c r="J42" i="43"/>
  <c r="AT12" i="43"/>
  <c r="AS12" i="43"/>
  <c r="AU12" i="43"/>
  <c r="J43" i="43"/>
  <c r="AT13" i="43"/>
  <c r="AS13" i="43"/>
  <c r="AU13" i="43"/>
  <c r="J44" i="43"/>
  <c r="AS14" i="43"/>
  <c r="AU14" i="43"/>
  <c r="AT14" i="43"/>
  <c r="AV13" i="42"/>
  <c r="J43" i="42" s="1"/>
  <c r="AT33" i="42" s="1"/>
  <c r="AS14" i="42"/>
  <c r="AT14" i="42"/>
  <c r="AU14" i="42"/>
  <c r="AV12" i="42"/>
  <c r="AS12" i="42" s="1"/>
  <c r="AU36" i="42"/>
  <c r="AS36" i="42"/>
  <c r="E46" i="42"/>
  <c r="D46" i="42"/>
  <c r="AU31" i="42"/>
  <c r="AT31" i="42"/>
  <c r="AS31" i="42"/>
  <c r="AV31" i="42"/>
  <c r="AT15" i="41"/>
  <c r="AT17" i="41" s="1"/>
  <c r="AU15" i="41"/>
  <c r="AU17" i="41" s="1"/>
  <c r="D45" i="41"/>
  <c r="E45" i="41"/>
  <c r="AT36" i="41"/>
  <c r="AS36" i="41"/>
  <c r="AU36" i="41"/>
  <c r="AV30" i="41"/>
  <c r="AV36" i="41"/>
  <c r="AT35" i="41"/>
  <c r="AU33" i="41"/>
  <c r="AT33" i="41"/>
  <c r="AU30" i="41"/>
  <c r="AV33" i="41"/>
  <c r="AV35" i="41"/>
  <c r="AS35" i="41"/>
  <c r="AT30" i="41"/>
  <c r="AU35" i="41"/>
  <c r="AS30" i="41"/>
  <c r="AS33" i="41"/>
  <c r="AS15" i="41"/>
  <c r="AS17" i="41" s="1"/>
  <c r="E44" i="41"/>
  <c r="D44" i="41"/>
  <c r="AV29" i="41"/>
  <c r="AU29" i="41"/>
  <c r="AT29" i="41"/>
  <c r="AS29" i="41"/>
  <c r="E46" i="41"/>
  <c r="D46" i="41"/>
  <c r="AS31" i="41"/>
  <c r="AV31" i="41"/>
  <c r="AU31" i="41"/>
  <c r="AT31" i="41"/>
  <c r="AT12" i="37"/>
  <c r="AV13" i="40"/>
  <c r="AU13" i="40" s="1"/>
  <c r="AV12" i="40"/>
  <c r="J42" i="40" s="1"/>
  <c r="J44" i="40"/>
  <c r="AT14" i="40"/>
  <c r="AU14" i="40"/>
  <c r="AS14" i="40"/>
  <c r="J44" i="38"/>
  <c r="AS14" i="38"/>
  <c r="AT14" i="38"/>
  <c r="AU14" i="38"/>
  <c r="AU13" i="38"/>
  <c r="AT13" i="38"/>
  <c r="J43" i="38"/>
  <c r="AS13" i="38"/>
  <c r="AS12" i="38"/>
  <c r="J42" i="38"/>
  <c r="AU12" i="38"/>
  <c r="AT12" i="38"/>
  <c r="AS14" i="37"/>
  <c r="J44" i="37"/>
  <c r="AT14" i="37"/>
  <c r="J42" i="37"/>
  <c r="E44" i="37" s="1"/>
  <c r="AS12" i="37"/>
  <c r="E45" i="37"/>
  <c r="D45" i="37"/>
  <c r="AV36" i="37"/>
  <c r="AS30" i="37"/>
  <c r="AU30" i="37"/>
  <c r="AS36" i="37"/>
  <c r="AT33" i="37"/>
  <c r="AU35" i="37"/>
  <c r="AT36" i="37"/>
  <c r="AT35" i="37"/>
  <c r="AT30" i="37"/>
  <c r="AV33" i="37"/>
  <c r="AS35" i="37"/>
  <c r="AU33" i="37"/>
  <c r="AV35" i="37"/>
  <c r="AU36" i="37"/>
  <c r="AS33" i="37"/>
  <c r="AV30" i="37"/>
  <c r="AS15" i="37"/>
  <c r="AS17" i="37" s="1"/>
  <c r="AU15" i="37"/>
  <c r="AU17" i="37" s="1"/>
  <c r="E46" i="37"/>
  <c r="D46" i="37"/>
  <c r="AT31" i="37"/>
  <c r="AU31" i="37"/>
  <c r="AV31" i="37"/>
  <c r="AS31" i="37"/>
  <c r="AU29" i="37"/>
  <c r="AV29" i="37"/>
  <c r="AT29" i="37"/>
  <c r="AS29" i="37"/>
  <c r="I14" i="32"/>
  <c r="D69" i="55" l="1"/>
  <c r="I70" i="55"/>
  <c r="I69" i="55" s="1"/>
  <c r="I67" i="55"/>
  <c r="D66" i="55"/>
  <c r="AS41" i="55"/>
  <c r="AS44" i="55"/>
  <c r="AS43" i="55"/>
  <c r="AS40" i="55"/>
  <c r="AS42" i="55"/>
  <c r="AT42" i="55"/>
  <c r="AT43" i="55"/>
  <c r="AT40" i="55"/>
  <c r="AT44" i="55"/>
  <c r="AT41" i="55"/>
  <c r="AU44" i="55"/>
  <c r="AU40" i="55"/>
  <c r="AU43" i="55"/>
  <c r="AU42" i="55"/>
  <c r="AU41" i="55"/>
  <c r="AR40" i="55"/>
  <c r="AR42" i="55"/>
  <c r="AR44" i="55"/>
  <c r="AR43" i="55"/>
  <c r="AR41" i="55"/>
  <c r="I73" i="55"/>
  <c r="I72" i="55" s="1"/>
  <c r="D72" i="55"/>
  <c r="AT21" i="54"/>
  <c r="P97" i="54" s="1"/>
  <c r="E70" i="54"/>
  <c r="D70" i="54"/>
  <c r="E69" i="54"/>
  <c r="AU29" i="54"/>
  <c r="AU24" i="54" s="1"/>
  <c r="AU37" i="54" s="1"/>
  <c r="AS29" i="54"/>
  <c r="AS24" i="54" s="1"/>
  <c r="AS37" i="54" s="1"/>
  <c r="AV29" i="54"/>
  <c r="AV24" i="54" s="1"/>
  <c r="AV37" i="54" s="1"/>
  <c r="AT29" i="54"/>
  <c r="AT24" i="54" s="1"/>
  <c r="AT37" i="54" s="1"/>
  <c r="E73" i="54"/>
  <c r="D73" i="54"/>
  <c r="E72" i="54"/>
  <c r="AU21" i="54"/>
  <c r="Q97" i="54" s="1"/>
  <c r="AS21" i="54"/>
  <c r="O97" i="54" s="1"/>
  <c r="E66" i="54"/>
  <c r="E67" i="54"/>
  <c r="D67" i="54"/>
  <c r="D69" i="52"/>
  <c r="I70" i="52"/>
  <c r="I69" i="52" s="1"/>
  <c r="I73" i="52"/>
  <c r="I72" i="52" s="1"/>
  <c r="D72" i="52"/>
  <c r="AU42" i="52"/>
  <c r="AU43" i="52"/>
  <c r="AU40" i="52"/>
  <c r="AU44" i="52"/>
  <c r="AU41" i="52"/>
  <c r="AR44" i="52"/>
  <c r="AR41" i="52"/>
  <c r="AR42" i="52"/>
  <c r="AR40" i="52"/>
  <c r="AR43" i="52"/>
  <c r="AT42" i="52"/>
  <c r="AT44" i="52"/>
  <c r="AT43" i="52"/>
  <c r="AT41" i="52"/>
  <c r="AT40" i="52"/>
  <c r="D66" i="52"/>
  <c r="I67" i="52"/>
  <c r="AS41" i="52"/>
  <c r="AS42" i="52"/>
  <c r="AS40" i="52"/>
  <c r="AS44" i="52"/>
  <c r="AS43" i="52"/>
  <c r="AV20" i="49"/>
  <c r="AV19" i="49"/>
  <c r="AV18" i="49"/>
  <c r="J45" i="48"/>
  <c r="E47" i="48" s="1"/>
  <c r="AT18" i="48"/>
  <c r="AU19" i="48"/>
  <c r="AU21" i="48" s="1"/>
  <c r="Q100" i="48" s="1"/>
  <c r="AT19" i="48"/>
  <c r="AS18" i="48"/>
  <c r="AS19" i="48"/>
  <c r="E48" i="48"/>
  <c r="D48" i="48"/>
  <c r="E49" i="48"/>
  <c r="D49" i="48"/>
  <c r="AV34" i="48"/>
  <c r="AT34" i="48"/>
  <c r="AS34" i="48"/>
  <c r="AU34" i="48"/>
  <c r="AT18" i="47"/>
  <c r="J45" i="47"/>
  <c r="E47" i="47" s="1"/>
  <c r="AU18" i="47"/>
  <c r="AS13" i="42"/>
  <c r="AS35" i="42"/>
  <c r="AS30" i="42"/>
  <c r="AT30" i="42"/>
  <c r="AU30" i="42"/>
  <c r="AS19" i="47"/>
  <c r="AS21" i="47" s="1"/>
  <c r="O100" i="47" s="1"/>
  <c r="AT19" i="47"/>
  <c r="AU19" i="47"/>
  <c r="E48" i="47"/>
  <c r="D48" i="47"/>
  <c r="E49" i="47"/>
  <c r="D49" i="47"/>
  <c r="AT34" i="47"/>
  <c r="AU34" i="47"/>
  <c r="AV34" i="47"/>
  <c r="AS34" i="47"/>
  <c r="AT15" i="43"/>
  <c r="AT17" i="43" s="1"/>
  <c r="AU15" i="43"/>
  <c r="AU17" i="43" s="1"/>
  <c r="E46" i="43"/>
  <c r="D46" i="43"/>
  <c r="AU31" i="43"/>
  <c r="AV31" i="43"/>
  <c r="AT31" i="43"/>
  <c r="AS31" i="43"/>
  <c r="AS15" i="43"/>
  <c r="AS17" i="43" s="1"/>
  <c r="E44" i="43"/>
  <c r="D44" i="43"/>
  <c r="AV29" i="43"/>
  <c r="AT29" i="43"/>
  <c r="AU29" i="43"/>
  <c r="AS29" i="43"/>
  <c r="E45" i="43"/>
  <c r="D45" i="43"/>
  <c r="AU30" i="43"/>
  <c r="AV30" i="43"/>
  <c r="AT30" i="43"/>
  <c r="AT35" i="43"/>
  <c r="AV36" i="43"/>
  <c r="AS36" i="43"/>
  <c r="AV33" i="43"/>
  <c r="AS35" i="43"/>
  <c r="AU33" i="43"/>
  <c r="AU36" i="43"/>
  <c r="AV35" i="43"/>
  <c r="AS33" i="43"/>
  <c r="AT36" i="43"/>
  <c r="AU35" i="43"/>
  <c r="AS30" i="43"/>
  <c r="AT33" i="43"/>
  <c r="AV36" i="42"/>
  <c r="AS33" i="42"/>
  <c r="AV35" i="42"/>
  <c r="AT13" i="42"/>
  <c r="AT36" i="42"/>
  <c r="AU35" i="42"/>
  <c r="E45" i="42"/>
  <c r="AV30" i="42"/>
  <c r="AV33" i="42"/>
  <c r="D45" i="42"/>
  <c r="AU33" i="42"/>
  <c r="AT35" i="42"/>
  <c r="AU13" i="42"/>
  <c r="AS15" i="42"/>
  <c r="AS17" i="42" s="1"/>
  <c r="AV18" i="42" s="1"/>
  <c r="J42" i="42"/>
  <c r="E44" i="42" s="1"/>
  <c r="AT12" i="42"/>
  <c r="AT15" i="42" s="1"/>
  <c r="AT17" i="42" s="1"/>
  <c r="AU12" i="42"/>
  <c r="AU15" i="42" s="1"/>
  <c r="AU17" i="42" s="1"/>
  <c r="AU29" i="42"/>
  <c r="AV29" i="42"/>
  <c r="AS29" i="42"/>
  <c r="AT29" i="42"/>
  <c r="AV20" i="41"/>
  <c r="AV19" i="41"/>
  <c r="AV18" i="41"/>
  <c r="AT15" i="37"/>
  <c r="AT17" i="37" s="1"/>
  <c r="D44" i="37"/>
  <c r="AT13" i="40"/>
  <c r="AT12" i="40"/>
  <c r="AS13" i="40"/>
  <c r="J43" i="40"/>
  <c r="AV35" i="40" s="1"/>
  <c r="AS12" i="40"/>
  <c r="AU12" i="40"/>
  <c r="AU15" i="40" s="1"/>
  <c r="AU17" i="40" s="1"/>
  <c r="E44" i="40"/>
  <c r="D44" i="40"/>
  <c r="AV29" i="40"/>
  <c r="AU29" i="40"/>
  <c r="AT29" i="40"/>
  <c r="AS29" i="40"/>
  <c r="E46" i="40"/>
  <c r="D46" i="40"/>
  <c r="AT31" i="40"/>
  <c r="AU31" i="40"/>
  <c r="AS31" i="40"/>
  <c r="AV31" i="40"/>
  <c r="AU15" i="38"/>
  <c r="AU17" i="38" s="1"/>
  <c r="AS15" i="38"/>
  <c r="AS17" i="38" s="1"/>
  <c r="AV19" i="38" s="1"/>
  <c r="E46" i="38"/>
  <c r="D46" i="38"/>
  <c r="AU31" i="38"/>
  <c r="AV31" i="38"/>
  <c r="AS31" i="38"/>
  <c r="AT31" i="38"/>
  <c r="AT15" i="38"/>
  <c r="AT17" i="38" s="1"/>
  <c r="E45" i="38"/>
  <c r="D45" i="38"/>
  <c r="AT30" i="38"/>
  <c r="AV35" i="38"/>
  <c r="AT36" i="38"/>
  <c r="AS30" i="38"/>
  <c r="AV36" i="38"/>
  <c r="AV33" i="38"/>
  <c r="AS35" i="38"/>
  <c r="AV30" i="38"/>
  <c r="AS36" i="38"/>
  <c r="AU33" i="38"/>
  <c r="AT35" i="38"/>
  <c r="AU30" i="38"/>
  <c r="AU35" i="38"/>
  <c r="AT33" i="38"/>
  <c r="AS33" i="38"/>
  <c r="AU36" i="38"/>
  <c r="E44" i="38"/>
  <c r="D44" i="38"/>
  <c r="AU29" i="38"/>
  <c r="AT29" i="38"/>
  <c r="AS29" i="38"/>
  <c r="AV29" i="38"/>
  <c r="AV20" i="37"/>
  <c r="AV19" i="37"/>
  <c r="AV18" i="37"/>
  <c r="E83" i="31"/>
  <c r="E82" i="31"/>
  <c r="E81" i="31"/>
  <c r="E80" i="31"/>
  <c r="E79" i="31"/>
  <c r="E78" i="31"/>
  <c r="E77" i="31"/>
  <c r="E76" i="31"/>
  <c r="E75" i="31"/>
  <c r="E74" i="31"/>
  <c r="E73" i="31"/>
  <c r="E72" i="31"/>
  <c r="E71" i="31"/>
  <c r="E70" i="31"/>
  <c r="E69" i="31"/>
  <c r="E68" i="31"/>
  <c r="E67" i="31"/>
  <c r="E66" i="31"/>
  <c r="E65" i="31"/>
  <c r="E64" i="31"/>
  <c r="E63" i="31"/>
  <c r="E62" i="31"/>
  <c r="E58" i="31"/>
  <c r="E57" i="31"/>
  <c r="E56" i="31"/>
  <c r="E55" i="31"/>
  <c r="E51" i="31"/>
  <c r="E50" i="31"/>
  <c r="E49" i="31"/>
  <c r="E48" i="31"/>
  <c r="E47" i="31"/>
  <c r="E46" i="31"/>
  <c r="E45" i="31"/>
  <c r="E44" i="31"/>
  <c r="E43" i="31"/>
  <c r="E42" i="31"/>
  <c r="E41" i="31"/>
  <c r="E40" i="31"/>
  <c r="E39" i="31"/>
  <c r="E34" i="31"/>
  <c r="E30" i="31"/>
  <c r="E29" i="31"/>
  <c r="E28" i="31"/>
  <c r="E27" i="31"/>
  <c r="E23" i="31"/>
  <c r="E22" i="31"/>
  <c r="E21" i="31"/>
  <c r="E20" i="31"/>
  <c r="E19" i="31"/>
  <c r="E18" i="31"/>
  <c r="E17" i="31"/>
  <c r="E14" i="31"/>
  <c r="E13" i="31"/>
  <c r="E12" i="31"/>
  <c r="E11" i="31"/>
  <c r="E10" i="31"/>
  <c r="E9" i="31"/>
  <c r="E8" i="31"/>
  <c r="E7" i="31"/>
  <c r="M17" i="29"/>
  <c r="M16" i="29"/>
  <c r="M15" i="29"/>
  <c r="M14" i="29"/>
  <c r="M13" i="29"/>
  <c r="M12" i="29"/>
  <c r="M11" i="29"/>
  <c r="M10" i="29"/>
  <c r="M9" i="29"/>
  <c r="M8" i="29"/>
  <c r="M7" i="29"/>
  <c r="M6" i="29"/>
  <c r="M5" i="29"/>
  <c r="AO179" i="27"/>
  <c r="AN179" i="27"/>
  <c r="AM179" i="27"/>
  <c r="AL179" i="27"/>
  <c r="AK179" i="27"/>
  <c r="AJ179" i="27"/>
  <c r="AI179" i="27"/>
  <c r="AH179" i="27"/>
  <c r="AG179" i="27"/>
  <c r="AF179" i="27"/>
  <c r="AE179" i="27"/>
  <c r="AD179" i="27"/>
  <c r="AC179" i="27"/>
  <c r="AB179" i="27"/>
  <c r="AA179" i="27"/>
  <c r="Z179" i="27"/>
  <c r="Y179" i="27"/>
  <c r="X179" i="27"/>
  <c r="W179" i="27"/>
  <c r="V179" i="27"/>
  <c r="AO178" i="27"/>
  <c r="AN178" i="27"/>
  <c r="AM178" i="27"/>
  <c r="AL178" i="27"/>
  <c r="AK178" i="27"/>
  <c r="AJ178" i="27"/>
  <c r="AI178" i="27"/>
  <c r="AH178" i="27"/>
  <c r="AG178" i="27"/>
  <c r="AF178" i="27"/>
  <c r="AE178" i="27"/>
  <c r="AD178" i="27"/>
  <c r="AC178" i="27"/>
  <c r="AB178" i="27"/>
  <c r="AA178" i="27"/>
  <c r="Z178" i="27"/>
  <c r="Y178" i="27"/>
  <c r="X178" i="27"/>
  <c r="W178" i="27"/>
  <c r="V178" i="27"/>
  <c r="AO177" i="27"/>
  <c r="AN177" i="27"/>
  <c r="AM177" i="27"/>
  <c r="AL177" i="27"/>
  <c r="AK177" i="27"/>
  <c r="AJ177" i="27"/>
  <c r="AI177" i="27"/>
  <c r="AH177" i="27"/>
  <c r="AG177" i="27"/>
  <c r="AF177" i="27"/>
  <c r="AE177" i="27"/>
  <c r="AD177" i="27"/>
  <c r="AC177" i="27"/>
  <c r="AB177" i="27"/>
  <c r="AA177" i="27"/>
  <c r="Z177" i="27"/>
  <c r="Y177" i="27"/>
  <c r="X177" i="27"/>
  <c r="W177" i="27"/>
  <c r="V177" i="27"/>
  <c r="AO176" i="27"/>
  <c r="AN176" i="27"/>
  <c r="AM176" i="27"/>
  <c r="AL176" i="27"/>
  <c r="AK176" i="27"/>
  <c r="AJ176" i="27"/>
  <c r="AI176" i="27"/>
  <c r="AH176" i="27"/>
  <c r="AG176" i="27"/>
  <c r="AF176" i="27"/>
  <c r="AE176" i="27"/>
  <c r="AD176" i="27"/>
  <c r="AC176" i="27"/>
  <c r="AB176" i="27"/>
  <c r="AA176" i="27"/>
  <c r="Z176" i="27"/>
  <c r="Y176" i="27"/>
  <c r="X176" i="27"/>
  <c r="W176" i="27"/>
  <c r="V176" i="27"/>
  <c r="AO175" i="27"/>
  <c r="AN175" i="27"/>
  <c r="AM175" i="27"/>
  <c r="AL175" i="27"/>
  <c r="AK175" i="27"/>
  <c r="AJ175" i="27"/>
  <c r="AI175" i="27"/>
  <c r="AH175" i="27"/>
  <c r="AG175" i="27"/>
  <c r="AF175" i="27"/>
  <c r="AE175" i="27"/>
  <c r="AD175" i="27"/>
  <c r="AC175" i="27"/>
  <c r="AB175" i="27"/>
  <c r="AA175" i="27"/>
  <c r="Z175" i="27"/>
  <c r="Y175" i="27"/>
  <c r="X175" i="27"/>
  <c r="W175" i="27"/>
  <c r="V175" i="27"/>
  <c r="AO174" i="27"/>
  <c r="AN174" i="27"/>
  <c r="AM174" i="27"/>
  <c r="AL174" i="27"/>
  <c r="AK174" i="27"/>
  <c r="AJ174" i="27"/>
  <c r="AI174" i="27"/>
  <c r="AH174" i="27"/>
  <c r="AG174" i="27"/>
  <c r="AF174" i="27"/>
  <c r="AE174" i="27"/>
  <c r="AD174" i="27"/>
  <c r="AC174" i="27"/>
  <c r="AB174" i="27"/>
  <c r="AA174" i="27"/>
  <c r="Z174" i="27"/>
  <c r="Y174" i="27"/>
  <c r="X174" i="27"/>
  <c r="W174" i="27"/>
  <c r="V174" i="27"/>
  <c r="AO173" i="27"/>
  <c r="AN173" i="27"/>
  <c r="AM173" i="27"/>
  <c r="AL173" i="27"/>
  <c r="AK173" i="27"/>
  <c r="AJ173" i="27"/>
  <c r="AI173" i="27"/>
  <c r="AH173" i="27"/>
  <c r="AG173" i="27"/>
  <c r="AF173" i="27"/>
  <c r="AE173" i="27"/>
  <c r="AD173" i="27"/>
  <c r="AC173" i="27"/>
  <c r="AB173" i="27"/>
  <c r="AA173" i="27"/>
  <c r="Z173" i="27"/>
  <c r="Y173" i="27"/>
  <c r="X173" i="27"/>
  <c r="W173" i="27"/>
  <c r="V173" i="27"/>
  <c r="AO172" i="27"/>
  <c r="AN172" i="27"/>
  <c r="AM172" i="27"/>
  <c r="AL172" i="27"/>
  <c r="AK172" i="27"/>
  <c r="AJ172" i="27"/>
  <c r="AI172" i="27"/>
  <c r="AH172" i="27"/>
  <c r="AG172" i="27"/>
  <c r="AF172" i="27"/>
  <c r="AE172" i="27"/>
  <c r="AD172" i="27"/>
  <c r="AC172" i="27"/>
  <c r="AB172" i="27"/>
  <c r="AA172" i="27"/>
  <c r="Z172" i="27"/>
  <c r="Y172" i="27"/>
  <c r="X172" i="27"/>
  <c r="W172" i="27"/>
  <c r="V172" i="27"/>
  <c r="AO171" i="27"/>
  <c r="AN171" i="27"/>
  <c r="AM171" i="27"/>
  <c r="AL171" i="27"/>
  <c r="AK171" i="27"/>
  <c r="AJ171" i="27"/>
  <c r="AI171" i="27"/>
  <c r="AH171" i="27"/>
  <c r="AG171" i="27"/>
  <c r="AF171" i="27"/>
  <c r="AE171" i="27"/>
  <c r="AD171" i="27"/>
  <c r="AC171" i="27"/>
  <c r="AB171" i="27"/>
  <c r="AA171" i="27"/>
  <c r="Z171" i="27"/>
  <c r="Y171" i="27"/>
  <c r="X171" i="27"/>
  <c r="W171" i="27"/>
  <c r="V171" i="27"/>
  <c r="AO170" i="27"/>
  <c r="AN170" i="27"/>
  <c r="AM170" i="27"/>
  <c r="AL170" i="27"/>
  <c r="AK170" i="27"/>
  <c r="AJ170" i="27"/>
  <c r="AI170" i="27"/>
  <c r="AH170" i="27"/>
  <c r="AG170" i="27"/>
  <c r="AF170" i="27"/>
  <c r="AE170" i="27"/>
  <c r="AD170" i="27"/>
  <c r="AC170" i="27"/>
  <c r="AB170" i="27"/>
  <c r="AA170" i="27"/>
  <c r="Z170" i="27"/>
  <c r="Y170" i="27"/>
  <c r="X170" i="27"/>
  <c r="W170" i="27"/>
  <c r="V170" i="27"/>
  <c r="AO169" i="27"/>
  <c r="AN169" i="27"/>
  <c r="AM169" i="27"/>
  <c r="AL169" i="27"/>
  <c r="AK169" i="27"/>
  <c r="AJ169" i="27"/>
  <c r="AI169" i="27"/>
  <c r="AH169" i="27"/>
  <c r="AG169" i="27"/>
  <c r="AF169" i="27"/>
  <c r="AE169" i="27"/>
  <c r="AD169" i="27"/>
  <c r="AC169" i="27"/>
  <c r="AB169" i="27"/>
  <c r="AA169" i="27"/>
  <c r="Z169" i="27"/>
  <c r="Y169" i="27"/>
  <c r="X169" i="27"/>
  <c r="W169" i="27"/>
  <c r="V169" i="27"/>
  <c r="AO168" i="27"/>
  <c r="AN168" i="27"/>
  <c r="AM168" i="27"/>
  <c r="AL168" i="27"/>
  <c r="X95" i="27" s="1"/>
  <c r="AK168" i="27"/>
  <c r="AJ168" i="27"/>
  <c r="AI168" i="27"/>
  <c r="AH168" i="27"/>
  <c r="AG168" i="27"/>
  <c r="AF168" i="27"/>
  <c r="AE168" i="27"/>
  <c r="AD168" i="27"/>
  <c r="AD95" i="27" s="1"/>
  <c r="AC168" i="27"/>
  <c r="AB168" i="27"/>
  <c r="AB95" i="27" s="1"/>
  <c r="AA168" i="27"/>
  <c r="AA95" i="27" s="1"/>
  <c r="Z168" i="27"/>
  <c r="Z95" i="27" s="1"/>
  <c r="Y168" i="27"/>
  <c r="Y95" i="27" s="1"/>
  <c r="X168" i="27"/>
  <c r="W168" i="27"/>
  <c r="V168" i="27"/>
  <c r="V95" i="27" s="1"/>
  <c r="AO167" i="27"/>
  <c r="AN167" i="27"/>
  <c r="AM167" i="27"/>
  <c r="AL167" i="27"/>
  <c r="X94" i="27" s="1"/>
  <c r="AK167" i="27"/>
  <c r="AJ167" i="27"/>
  <c r="AI167" i="27"/>
  <c r="AH167" i="27"/>
  <c r="AG167" i="27"/>
  <c r="AF167" i="27"/>
  <c r="AE167" i="27"/>
  <c r="AD167" i="27"/>
  <c r="AD94" i="27" s="1"/>
  <c r="AC167" i="27"/>
  <c r="AC94" i="27" s="1"/>
  <c r="AB167" i="27"/>
  <c r="AB94" i="27" s="1"/>
  <c r="AA167" i="27"/>
  <c r="AA94" i="27" s="1"/>
  <c r="Z167" i="27"/>
  <c r="Z94" i="27" s="1"/>
  <c r="Y167" i="27"/>
  <c r="Y94" i="27" s="1"/>
  <c r="X167" i="27"/>
  <c r="W167" i="27"/>
  <c r="W94" i="27" s="1"/>
  <c r="V167" i="27"/>
  <c r="V94" i="27" s="1"/>
  <c r="AO166" i="27"/>
  <c r="AN166" i="27"/>
  <c r="AM166" i="27"/>
  <c r="AL166" i="27"/>
  <c r="X93" i="27" s="1"/>
  <c r="AK166" i="27"/>
  <c r="AJ166" i="27"/>
  <c r="AI166" i="27"/>
  <c r="AH166" i="27"/>
  <c r="AG166" i="27"/>
  <c r="AF166" i="27"/>
  <c r="AE166" i="27"/>
  <c r="AD166" i="27"/>
  <c r="AD93" i="27" s="1"/>
  <c r="AC166" i="27"/>
  <c r="AC93" i="27" s="1"/>
  <c r="AB166" i="27"/>
  <c r="AB93" i="27" s="1"/>
  <c r="AA166" i="27"/>
  <c r="AA93" i="27" s="1"/>
  <c r="Z166" i="27"/>
  <c r="Z93" i="27" s="1"/>
  <c r="Y166" i="27"/>
  <c r="Y93" i="27" s="1"/>
  <c r="X166" i="27"/>
  <c r="W166" i="27"/>
  <c r="W93" i="27" s="1"/>
  <c r="V166" i="27"/>
  <c r="V93" i="27" s="1"/>
  <c r="AO165" i="27"/>
  <c r="AN165" i="27"/>
  <c r="AM165" i="27"/>
  <c r="AL165" i="27"/>
  <c r="X92" i="27" s="1"/>
  <c r="AK165" i="27"/>
  <c r="AJ165" i="27"/>
  <c r="AI165" i="27"/>
  <c r="AH165" i="27"/>
  <c r="AG165" i="27"/>
  <c r="AF165" i="27"/>
  <c r="AE165" i="27"/>
  <c r="AD165" i="27"/>
  <c r="AD92" i="27" s="1"/>
  <c r="AC165" i="27"/>
  <c r="AC92" i="27" s="1"/>
  <c r="AB165" i="27"/>
  <c r="AB92" i="27" s="1"/>
  <c r="AA165" i="27"/>
  <c r="AA92" i="27" s="1"/>
  <c r="Z165" i="27"/>
  <c r="Z92" i="27" s="1"/>
  <c r="Y165" i="27"/>
  <c r="Y92" i="27" s="1"/>
  <c r="X165" i="27"/>
  <c r="W165" i="27"/>
  <c r="W92" i="27" s="1"/>
  <c r="V165" i="27"/>
  <c r="V92" i="27" s="1"/>
  <c r="AO164" i="27"/>
  <c r="AN164" i="27"/>
  <c r="AM164" i="27"/>
  <c r="AL164" i="27"/>
  <c r="X91" i="27" s="1"/>
  <c r="AK164" i="27"/>
  <c r="AJ164" i="27"/>
  <c r="AI164" i="27"/>
  <c r="AH164" i="27"/>
  <c r="AG164" i="27"/>
  <c r="AF164" i="27"/>
  <c r="AE164" i="27"/>
  <c r="AD164" i="27"/>
  <c r="AD91" i="27" s="1"/>
  <c r="AC164" i="27"/>
  <c r="AC91" i="27" s="1"/>
  <c r="AB164" i="27"/>
  <c r="AB91" i="27" s="1"/>
  <c r="AA164" i="27"/>
  <c r="AA91" i="27" s="1"/>
  <c r="Z164" i="27"/>
  <c r="Z91" i="27" s="1"/>
  <c r="Y164" i="27"/>
  <c r="Y91" i="27" s="1"/>
  <c r="X164" i="27"/>
  <c r="W164" i="27"/>
  <c r="W91" i="27" s="1"/>
  <c r="V164" i="27"/>
  <c r="V91" i="27" s="1"/>
  <c r="AO163" i="27"/>
  <c r="AN163" i="27"/>
  <c r="AM163" i="27"/>
  <c r="AL163" i="27"/>
  <c r="X90" i="27" s="1"/>
  <c r="AK163" i="27"/>
  <c r="AJ163" i="27"/>
  <c r="AI163" i="27"/>
  <c r="AH163" i="27"/>
  <c r="AG163" i="27"/>
  <c r="AF163" i="27"/>
  <c r="AE163" i="27"/>
  <c r="AD163" i="27"/>
  <c r="AD90" i="27" s="1"/>
  <c r="AC163" i="27"/>
  <c r="AC90" i="27" s="1"/>
  <c r="AB163" i="27"/>
  <c r="AB90" i="27" s="1"/>
  <c r="AA163" i="27"/>
  <c r="AA90" i="27" s="1"/>
  <c r="Z163" i="27"/>
  <c r="Z90" i="27" s="1"/>
  <c r="Y163" i="27"/>
  <c r="Y90" i="27" s="1"/>
  <c r="X163" i="27"/>
  <c r="W163" i="27"/>
  <c r="W90" i="27" s="1"/>
  <c r="V163" i="27"/>
  <c r="V90" i="27" s="1"/>
  <c r="AO162" i="27"/>
  <c r="AN162" i="27"/>
  <c r="AM162" i="27"/>
  <c r="AL162" i="27"/>
  <c r="X89" i="27" s="1"/>
  <c r="AK162" i="27"/>
  <c r="AJ162" i="27"/>
  <c r="AI162" i="27"/>
  <c r="AH162" i="27"/>
  <c r="AG162" i="27"/>
  <c r="AF162" i="27"/>
  <c r="AE162" i="27"/>
  <c r="AD162" i="27"/>
  <c r="AD89" i="27" s="1"/>
  <c r="AC162" i="27"/>
  <c r="AC89" i="27" s="1"/>
  <c r="AB162" i="27"/>
  <c r="AB89" i="27" s="1"/>
  <c r="AA162" i="27"/>
  <c r="AA89" i="27" s="1"/>
  <c r="Z162" i="27"/>
  <c r="Z89" i="27" s="1"/>
  <c r="Y162" i="27"/>
  <c r="Y89" i="27" s="1"/>
  <c r="X162" i="27"/>
  <c r="W162" i="27"/>
  <c r="W89" i="27" s="1"/>
  <c r="V162" i="27"/>
  <c r="V89" i="27" s="1"/>
  <c r="AO161" i="27"/>
  <c r="AN161" i="27"/>
  <c r="AM161" i="27"/>
  <c r="AL161" i="27"/>
  <c r="X88" i="27" s="1"/>
  <c r="AK161" i="27"/>
  <c r="AJ161" i="27"/>
  <c r="AI161" i="27"/>
  <c r="AH161" i="27"/>
  <c r="AG161" i="27"/>
  <c r="AF161" i="27"/>
  <c r="AE161" i="27"/>
  <c r="AD161" i="27"/>
  <c r="AD88" i="27" s="1"/>
  <c r="AC161" i="27"/>
  <c r="AB161" i="27"/>
  <c r="AB88" i="27" s="1"/>
  <c r="AA161" i="27"/>
  <c r="AA88" i="27" s="1"/>
  <c r="Z161" i="27"/>
  <c r="Z88" i="27" s="1"/>
  <c r="Y161" i="27"/>
  <c r="Y88" i="27" s="1"/>
  <c r="X161" i="27"/>
  <c r="W161" i="27"/>
  <c r="W88" i="27" s="1"/>
  <c r="V161" i="27"/>
  <c r="V88" i="27" s="1"/>
  <c r="AO160" i="27"/>
  <c r="AN160" i="27"/>
  <c r="AM160" i="27"/>
  <c r="AL160" i="27"/>
  <c r="X87" i="27" s="1"/>
  <c r="AK160" i="27"/>
  <c r="AJ160" i="27"/>
  <c r="AI160" i="27"/>
  <c r="AH160" i="27"/>
  <c r="AG160" i="27"/>
  <c r="AF160" i="27"/>
  <c r="AE160" i="27"/>
  <c r="AD160" i="27"/>
  <c r="AD87" i="27" s="1"/>
  <c r="AC160" i="27"/>
  <c r="AC87" i="27" s="1"/>
  <c r="AB160" i="27"/>
  <c r="AB87" i="27" s="1"/>
  <c r="AA160" i="27"/>
  <c r="AA87" i="27" s="1"/>
  <c r="Z160" i="27"/>
  <c r="Z87" i="27" s="1"/>
  <c r="Y160" i="27"/>
  <c r="Y87" i="27" s="1"/>
  <c r="X160" i="27"/>
  <c r="W160" i="27"/>
  <c r="W87" i="27" s="1"/>
  <c r="V160" i="27"/>
  <c r="V87" i="27" s="1"/>
  <c r="AO159" i="27"/>
  <c r="AN159" i="27"/>
  <c r="AM159" i="27"/>
  <c r="AL159" i="27"/>
  <c r="AK159" i="27"/>
  <c r="AJ159" i="27"/>
  <c r="AI159" i="27"/>
  <c r="AH159" i="27"/>
  <c r="AG159" i="27"/>
  <c r="AF159" i="27"/>
  <c r="AE159" i="27"/>
  <c r="AD159" i="27"/>
  <c r="AC159" i="27"/>
  <c r="AB159" i="27"/>
  <c r="AA159" i="27"/>
  <c r="Z159" i="27"/>
  <c r="Y159" i="27"/>
  <c r="X159" i="27"/>
  <c r="W159" i="27"/>
  <c r="V159" i="27"/>
  <c r="AO158" i="27"/>
  <c r="AN158" i="27"/>
  <c r="AM158" i="27"/>
  <c r="AL158" i="27"/>
  <c r="AK158" i="27"/>
  <c r="AJ158" i="27"/>
  <c r="AI158" i="27"/>
  <c r="AH158" i="27"/>
  <c r="AG158" i="27"/>
  <c r="AF158" i="27"/>
  <c r="AE158" i="27"/>
  <c r="AD158" i="27"/>
  <c r="AC158" i="27"/>
  <c r="AB158" i="27"/>
  <c r="AA158" i="27"/>
  <c r="Z158" i="27"/>
  <c r="Y158" i="27"/>
  <c r="X158" i="27"/>
  <c r="W158" i="27"/>
  <c r="V158" i="27"/>
  <c r="AO157" i="27"/>
  <c r="AN157" i="27"/>
  <c r="AM157" i="27"/>
  <c r="AL157" i="27"/>
  <c r="AK157" i="27"/>
  <c r="AJ157" i="27"/>
  <c r="AI157" i="27"/>
  <c r="AH157" i="27"/>
  <c r="AG157" i="27"/>
  <c r="AF157" i="27"/>
  <c r="AE157" i="27"/>
  <c r="AD157" i="27"/>
  <c r="AC157" i="27"/>
  <c r="AB157" i="27"/>
  <c r="AA157" i="27"/>
  <c r="Z157" i="27"/>
  <c r="Y157" i="27"/>
  <c r="X157" i="27"/>
  <c r="W157" i="27"/>
  <c r="V157" i="27"/>
  <c r="AO156" i="27"/>
  <c r="AN156" i="27"/>
  <c r="AM156" i="27"/>
  <c r="AL156" i="27"/>
  <c r="AK156" i="27"/>
  <c r="AJ156" i="27"/>
  <c r="AI156" i="27"/>
  <c r="AH156" i="27"/>
  <c r="AG156" i="27"/>
  <c r="AF156" i="27"/>
  <c r="AE156" i="27"/>
  <c r="AD156" i="27"/>
  <c r="AC156" i="27"/>
  <c r="AB156" i="27"/>
  <c r="AA156" i="27"/>
  <c r="Z156" i="27"/>
  <c r="Y156" i="27"/>
  <c r="X156" i="27"/>
  <c r="W156" i="27"/>
  <c r="V156" i="27"/>
  <c r="AO155" i="27"/>
  <c r="AN155" i="27"/>
  <c r="AM155" i="27"/>
  <c r="AL155" i="27"/>
  <c r="AK155" i="27"/>
  <c r="AJ155" i="27"/>
  <c r="AI155" i="27"/>
  <c r="AH155" i="27"/>
  <c r="AG155" i="27"/>
  <c r="AF155" i="27"/>
  <c r="AE155" i="27"/>
  <c r="AD155" i="27"/>
  <c r="AC155" i="27"/>
  <c r="AB155" i="27"/>
  <c r="AA155" i="27"/>
  <c r="Z155" i="27"/>
  <c r="Y155" i="27"/>
  <c r="X155" i="27"/>
  <c r="W155" i="27"/>
  <c r="V155" i="27"/>
  <c r="AO154" i="27"/>
  <c r="AN154" i="27"/>
  <c r="AM154" i="27"/>
  <c r="AL154" i="27"/>
  <c r="AK154" i="27"/>
  <c r="AJ154" i="27"/>
  <c r="AI154" i="27"/>
  <c r="AH154" i="27"/>
  <c r="AG154" i="27"/>
  <c r="AF154" i="27"/>
  <c r="AE154" i="27"/>
  <c r="AD154" i="27"/>
  <c r="AC154" i="27"/>
  <c r="AB154" i="27"/>
  <c r="AA154" i="27"/>
  <c r="Z154" i="27"/>
  <c r="Y154" i="27"/>
  <c r="X154" i="27"/>
  <c r="W154" i="27"/>
  <c r="V154" i="27"/>
  <c r="AO153" i="27"/>
  <c r="AN153" i="27"/>
  <c r="AM153" i="27"/>
  <c r="AL153" i="27"/>
  <c r="AK153" i="27"/>
  <c r="AJ153" i="27"/>
  <c r="AI153" i="27"/>
  <c r="AH153" i="27"/>
  <c r="AG153" i="27"/>
  <c r="AF153" i="27"/>
  <c r="AE153" i="27"/>
  <c r="AD153" i="27"/>
  <c r="AC153" i="27"/>
  <c r="AB153" i="27"/>
  <c r="AA153" i="27"/>
  <c r="Z153" i="27"/>
  <c r="Y153" i="27"/>
  <c r="X153" i="27"/>
  <c r="W153" i="27"/>
  <c r="V153" i="27"/>
  <c r="AO152" i="27"/>
  <c r="AN152" i="27"/>
  <c r="AM152" i="27"/>
  <c r="AL152" i="27"/>
  <c r="AK152" i="27"/>
  <c r="AJ152" i="27"/>
  <c r="AI152" i="27"/>
  <c r="AH152" i="27"/>
  <c r="AG152" i="27"/>
  <c r="AF152" i="27"/>
  <c r="AE152" i="27"/>
  <c r="AD152" i="27"/>
  <c r="AC152" i="27"/>
  <c r="AB152" i="27"/>
  <c r="AA152" i="27"/>
  <c r="Z152" i="27"/>
  <c r="Y152" i="27"/>
  <c r="X152" i="27"/>
  <c r="W152" i="27"/>
  <c r="V152" i="27"/>
  <c r="AO151" i="27"/>
  <c r="AN151" i="27"/>
  <c r="AM151" i="27"/>
  <c r="AL151" i="27"/>
  <c r="AK151" i="27"/>
  <c r="AJ151" i="27"/>
  <c r="AI151" i="27"/>
  <c r="AH151" i="27"/>
  <c r="AG151" i="27"/>
  <c r="AF151" i="27"/>
  <c r="AE151" i="27"/>
  <c r="AD151" i="27"/>
  <c r="AC151" i="27"/>
  <c r="AB151" i="27"/>
  <c r="AA151" i="27"/>
  <c r="Z151" i="27"/>
  <c r="Y151" i="27"/>
  <c r="X151" i="27"/>
  <c r="W151" i="27"/>
  <c r="V151" i="27"/>
  <c r="AO150" i="27"/>
  <c r="AN150" i="27"/>
  <c r="AM150" i="27"/>
  <c r="AL150" i="27"/>
  <c r="AK150" i="27"/>
  <c r="AJ150" i="27"/>
  <c r="AI150" i="27"/>
  <c r="AH150" i="27"/>
  <c r="AG150" i="27"/>
  <c r="AF150" i="27"/>
  <c r="AE150" i="27"/>
  <c r="AD150" i="27"/>
  <c r="AC150" i="27"/>
  <c r="AB150" i="27"/>
  <c r="AA150" i="27"/>
  <c r="Z150" i="27"/>
  <c r="Y150" i="27"/>
  <c r="X150" i="27"/>
  <c r="W150" i="27"/>
  <c r="V150" i="27"/>
  <c r="AO149" i="27"/>
  <c r="AN149" i="27"/>
  <c r="AM149" i="27"/>
  <c r="AL149" i="27"/>
  <c r="AK149" i="27"/>
  <c r="AJ149" i="27"/>
  <c r="AI149" i="27"/>
  <c r="AH149" i="27"/>
  <c r="AG149" i="27"/>
  <c r="AF149" i="27"/>
  <c r="AE149" i="27"/>
  <c r="AD149" i="27"/>
  <c r="AC149" i="27"/>
  <c r="AB149" i="27"/>
  <c r="AA149" i="27"/>
  <c r="Z149" i="27"/>
  <c r="Y149" i="27"/>
  <c r="X149" i="27"/>
  <c r="W149" i="27"/>
  <c r="V149" i="27"/>
  <c r="AO148" i="27"/>
  <c r="AN148" i="27"/>
  <c r="AM148" i="27"/>
  <c r="AL148" i="27"/>
  <c r="AK148" i="27"/>
  <c r="AJ148" i="27"/>
  <c r="AI148" i="27"/>
  <c r="AH148" i="27"/>
  <c r="AG148" i="27"/>
  <c r="AF148" i="27"/>
  <c r="AE148" i="27"/>
  <c r="AD148" i="27"/>
  <c r="AC148" i="27"/>
  <c r="AB148" i="27"/>
  <c r="AA148" i="27"/>
  <c r="Z148" i="27"/>
  <c r="Y148" i="27"/>
  <c r="X148" i="27"/>
  <c r="W148" i="27"/>
  <c r="V148" i="27"/>
  <c r="AO147" i="27"/>
  <c r="AN147" i="27"/>
  <c r="AM147" i="27"/>
  <c r="AL147" i="27"/>
  <c r="AK147" i="27"/>
  <c r="AJ147" i="27"/>
  <c r="AI147" i="27"/>
  <c r="AH147" i="27"/>
  <c r="AG147" i="27"/>
  <c r="AF147" i="27"/>
  <c r="AE147" i="27"/>
  <c r="AD147" i="27"/>
  <c r="AC147" i="27"/>
  <c r="AB147" i="27"/>
  <c r="AA147" i="27"/>
  <c r="Z147" i="27"/>
  <c r="Y147" i="27"/>
  <c r="X147" i="27"/>
  <c r="W147" i="27"/>
  <c r="V147" i="27"/>
  <c r="AO146" i="27"/>
  <c r="AN146" i="27"/>
  <c r="AM146" i="27"/>
  <c r="AL146" i="27"/>
  <c r="AK146" i="27"/>
  <c r="AJ146" i="27"/>
  <c r="AI146" i="27"/>
  <c r="AH146" i="27"/>
  <c r="AG146" i="27"/>
  <c r="AF146" i="27"/>
  <c r="AE146" i="27"/>
  <c r="AD146" i="27"/>
  <c r="AC146" i="27"/>
  <c r="AB146" i="27"/>
  <c r="AA146" i="27"/>
  <c r="Z146" i="27"/>
  <c r="Y146" i="27"/>
  <c r="X146" i="27"/>
  <c r="W146" i="27"/>
  <c r="V146" i="27"/>
  <c r="AO145" i="27"/>
  <c r="AN145" i="27"/>
  <c r="AM145" i="27"/>
  <c r="AL145" i="27"/>
  <c r="AK145" i="27"/>
  <c r="AJ145" i="27"/>
  <c r="AI145" i="27"/>
  <c r="AH145" i="27"/>
  <c r="AG145" i="27"/>
  <c r="AF145" i="27"/>
  <c r="AE145" i="27"/>
  <c r="AD145" i="27"/>
  <c r="AC145" i="27"/>
  <c r="AB145" i="27"/>
  <c r="AA145" i="27"/>
  <c r="Z145" i="27"/>
  <c r="Y145" i="27"/>
  <c r="X145" i="27"/>
  <c r="W145" i="27"/>
  <c r="V145" i="27"/>
  <c r="AO144" i="27"/>
  <c r="AN144" i="27"/>
  <c r="AM144" i="27"/>
  <c r="AL144" i="27"/>
  <c r="AK144" i="27"/>
  <c r="AJ144" i="27"/>
  <c r="AI144" i="27"/>
  <c r="AH144" i="27"/>
  <c r="AG144" i="27"/>
  <c r="AF144" i="27"/>
  <c r="AE144" i="27"/>
  <c r="AD144" i="27"/>
  <c r="AC144" i="27"/>
  <c r="AB144" i="27"/>
  <c r="AA144" i="27"/>
  <c r="Z144" i="27"/>
  <c r="Y144" i="27"/>
  <c r="X144" i="27"/>
  <c r="W144" i="27"/>
  <c r="V144" i="27"/>
  <c r="AO143" i="27"/>
  <c r="AN143" i="27"/>
  <c r="AM143" i="27"/>
  <c r="AL143" i="27"/>
  <c r="AK143" i="27"/>
  <c r="AJ143" i="27"/>
  <c r="AI143" i="27"/>
  <c r="AH143" i="27"/>
  <c r="AG143" i="27"/>
  <c r="AF143" i="27"/>
  <c r="AE143" i="27"/>
  <c r="AD143" i="27"/>
  <c r="AC143" i="27"/>
  <c r="AB143" i="27"/>
  <c r="AA143" i="27"/>
  <c r="Z143" i="27"/>
  <c r="Y143" i="27"/>
  <c r="X143" i="27"/>
  <c r="W143" i="27"/>
  <c r="V143" i="27"/>
  <c r="AO142" i="27"/>
  <c r="AN142" i="27"/>
  <c r="AM142" i="27"/>
  <c r="AL142" i="27"/>
  <c r="AK142" i="27"/>
  <c r="AJ142" i="27"/>
  <c r="AI142" i="27"/>
  <c r="AH142" i="27"/>
  <c r="AG142" i="27"/>
  <c r="AF142" i="27"/>
  <c r="AE142" i="27"/>
  <c r="AD142" i="27"/>
  <c r="AC142" i="27"/>
  <c r="AB142" i="27"/>
  <c r="AA142" i="27"/>
  <c r="Z142" i="27"/>
  <c r="Y142" i="27"/>
  <c r="X142" i="27"/>
  <c r="W142" i="27"/>
  <c r="V142" i="27"/>
  <c r="AO141" i="27"/>
  <c r="AN141" i="27"/>
  <c r="AM141" i="27"/>
  <c r="AL141" i="27"/>
  <c r="AK141" i="27"/>
  <c r="AJ141" i="27"/>
  <c r="AI141" i="27"/>
  <c r="AH141" i="27"/>
  <c r="AG141" i="27"/>
  <c r="AF141" i="27"/>
  <c r="AE141" i="27"/>
  <c r="AD141" i="27"/>
  <c r="AC141" i="27"/>
  <c r="AB141" i="27"/>
  <c r="AA141" i="27"/>
  <c r="Z141" i="27"/>
  <c r="Y141" i="27"/>
  <c r="X141" i="27"/>
  <c r="W141" i="27"/>
  <c r="V141" i="27"/>
  <c r="AO140" i="27"/>
  <c r="AN140" i="27"/>
  <c r="AM140" i="27"/>
  <c r="AL140" i="27"/>
  <c r="AK140" i="27"/>
  <c r="AJ140" i="27"/>
  <c r="AI140" i="27"/>
  <c r="AH140" i="27"/>
  <c r="AG140" i="27"/>
  <c r="AF140" i="27"/>
  <c r="AE140" i="27"/>
  <c r="AD140" i="27"/>
  <c r="AC140" i="27"/>
  <c r="AB140" i="27"/>
  <c r="AA140" i="27"/>
  <c r="Z140" i="27"/>
  <c r="Y140" i="27"/>
  <c r="X140" i="27"/>
  <c r="W140" i="27"/>
  <c r="V140" i="27"/>
  <c r="AO139" i="27"/>
  <c r="AN139" i="27"/>
  <c r="AM139" i="27"/>
  <c r="AL139" i="27"/>
  <c r="AK139" i="27"/>
  <c r="AJ139" i="27"/>
  <c r="AI139" i="27"/>
  <c r="AH139" i="27"/>
  <c r="AG139" i="27"/>
  <c r="AF139" i="27"/>
  <c r="AE139" i="27"/>
  <c r="AD139" i="27"/>
  <c r="AC139" i="27"/>
  <c r="AB139" i="27"/>
  <c r="AA139" i="27"/>
  <c r="Z139" i="27"/>
  <c r="Y139" i="27"/>
  <c r="X139" i="27"/>
  <c r="W139" i="27"/>
  <c r="V139" i="27"/>
  <c r="AO138" i="27"/>
  <c r="AN138" i="27"/>
  <c r="AM138" i="27"/>
  <c r="AL138" i="27"/>
  <c r="AK138" i="27"/>
  <c r="AJ138" i="27"/>
  <c r="AI138" i="27"/>
  <c r="AH138" i="27"/>
  <c r="AG138" i="27"/>
  <c r="AF138" i="27"/>
  <c r="AE138" i="27"/>
  <c r="AD138" i="27"/>
  <c r="AC138" i="27"/>
  <c r="AB138" i="27"/>
  <c r="AA138" i="27"/>
  <c r="Z138" i="27"/>
  <c r="Y138" i="27"/>
  <c r="X138" i="27"/>
  <c r="W138" i="27"/>
  <c r="V138" i="27"/>
  <c r="AO137" i="27"/>
  <c r="AN137" i="27"/>
  <c r="AM137" i="27"/>
  <c r="AL137" i="27"/>
  <c r="AK137" i="27"/>
  <c r="AJ137" i="27"/>
  <c r="AI137" i="27"/>
  <c r="AH137" i="27"/>
  <c r="AG137" i="27"/>
  <c r="AF137" i="27"/>
  <c r="AE137" i="27"/>
  <c r="AD137" i="27"/>
  <c r="AC137" i="27"/>
  <c r="AB137" i="27"/>
  <c r="AA137" i="27"/>
  <c r="Z137" i="27"/>
  <c r="Y137" i="27"/>
  <c r="X137" i="27"/>
  <c r="W137" i="27"/>
  <c r="V137" i="27"/>
  <c r="AO136" i="27"/>
  <c r="AN136" i="27"/>
  <c r="AM136" i="27"/>
  <c r="AL136" i="27"/>
  <c r="AK136" i="27"/>
  <c r="AJ136" i="27"/>
  <c r="AI136" i="27"/>
  <c r="AH136" i="27"/>
  <c r="AG136" i="27"/>
  <c r="AF136" i="27"/>
  <c r="AE136" i="27"/>
  <c r="AD136" i="27"/>
  <c r="AC136" i="27"/>
  <c r="AB136" i="27"/>
  <c r="AA136" i="27"/>
  <c r="Z136" i="27"/>
  <c r="Y136" i="27"/>
  <c r="X136" i="27"/>
  <c r="W136" i="27"/>
  <c r="V136" i="27"/>
  <c r="AO135" i="27"/>
  <c r="AN135" i="27"/>
  <c r="AM135" i="27"/>
  <c r="AL135" i="27"/>
  <c r="AK135" i="27"/>
  <c r="AJ135" i="27"/>
  <c r="AI135" i="27"/>
  <c r="AH135" i="27"/>
  <c r="AG135" i="27"/>
  <c r="AF135" i="27"/>
  <c r="AE135" i="27"/>
  <c r="AD135" i="27"/>
  <c r="AC135" i="27"/>
  <c r="AB135" i="27"/>
  <c r="AA135" i="27"/>
  <c r="Z135" i="27"/>
  <c r="Y135" i="27"/>
  <c r="X135" i="27"/>
  <c r="W135" i="27"/>
  <c r="V135" i="27"/>
  <c r="AO134" i="27"/>
  <c r="AN134" i="27"/>
  <c r="AM134" i="27"/>
  <c r="AL134" i="27"/>
  <c r="AK134" i="27"/>
  <c r="AJ134" i="27"/>
  <c r="AI134" i="27"/>
  <c r="AH134" i="27"/>
  <c r="AG134" i="27"/>
  <c r="AF134" i="27"/>
  <c r="AE134" i="27"/>
  <c r="AD134" i="27"/>
  <c r="AC134" i="27"/>
  <c r="AB134" i="27"/>
  <c r="AA134" i="27"/>
  <c r="Z134" i="27"/>
  <c r="Y134" i="27"/>
  <c r="X134" i="27"/>
  <c r="W134" i="27"/>
  <c r="V134" i="27"/>
  <c r="AO133" i="27"/>
  <c r="AN133" i="27"/>
  <c r="AM133" i="27"/>
  <c r="AL133" i="27"/>
  <c r="AK133" i="27"/>
  <c r="AJ133" i="27"/>
  <c r="AI133" i="27"/>
  <c r="AH133" i="27"/>
  <c r="AG133" i="27"/>
  <c r="AF133" i="27"/>
  <c r="AE133" i="27"/>
  <c r="AD133" i="27"/>
  <c r="AC133" i="27"/>
  <c r="AB133" i="27"/>
  <c r="AA133" i="27"/>
  <c r="Z133" i="27"/>
  <c r="Y133" i="27"/>
  <c r="X133" i="27"/>
  <c r="W133" i="27"/>
  <c r="V133" i="27"/>
  <c r="AO132" i="27"/>
  <c r="AN132" i="27"/>
  <c r="AM132" i="27"/>
  <c r="AL132" i="27"/>
  <c r="AK132" i="27"/>
  <c r="AJ132" i="27"/>
  <c r="AI132" i="27"/>
  <c r="AH132" i="27"/>
  <c r="AG132" i="27"/>
  <c r="AF132" i="27"/>
  <c r="AE132" i="27"/>
  <c r="AD132" i="27"/>
  <c r="AC132" i="27"/>
  <c r="AB132" i="27"/>
  <c r="AA132" i="27"/>
  <c r="Z132" i="27"/>
  <c r="Y132" i="27"/>
  <c r="X132" i="27"/>
  <c r="W132" i="27"/>
  <c r="V132" i="27"/>
  <c r="AO131" i="27"/>
  <c r="AN131" i="27"/>
  <c r="AM131" i="27"/>
  <c r="AL131" i="27"/>
  <c r="AK131" i="27"/>
  <c r="AJ131" i="27"/>
  <c r="AI131" i="27"/>
  <c r="AH131" i="27"/>
  <c r="AG131" i="27"/>
  <c r="AF131" i="27"/>
  <c r="AE131" i="27"/>
  <c r="AD131" i="27"/>
  <c r="AC131" i="27"/>
  <c r="AB131" i="27"/>
  <c r="AA131" i="27"/>
  <c r="Z131" i="27"/>
  <c r="Y131" i="27"/>
  <c r="X131" i="27"/>
  <c r="W131" i="27"/>
  <c r="V131" i="27"/>
  <c r="AO130" i="27"/>
  <c r="AN130" i="27"/>
  <c r="AM130" i="27"/>
  <c r="AL130" i="27"/>
  <c r="AK130" i="27"/>
  <c r="AJ130" i="27"/>
  <c r="AI130" i="27"/>
  <c r="AH130" i="27"/>
  <c r="AG130" i="27"/>
  <c r="AF130" i="27"/>
  <c r="AE130" i="27"/>
  <c r="AD130" i="27"/>
  <c r="AC130" i="27"/>
  <c r="AB130" i="27"/>
  <c r="AA130" i="27"/>
  <c r="Z130" i="27"/>
  <c r="Y130" i="27"/>
  <c r="X130" i="27"/>
  <c r="W130" i="27"/>
  <c r="V130" i="27"/>
  <c r="AO129" i="27"/>
  <c r="AN129" i="27"/>
  <c r="AM129" i="27"/>
  <c r="AL129" i="27"/>
  <c r="AK129" i="27"/>
  <c r="AJ129" i="27"/>
  <c r="AI129" i="27"/>
  <c r="AH129" i="27"/>
  <c r="AG129" i="27"/>
  <c r="AF129" i="27"/>
  <c r="AE129" i="27"/>
  <c r="AD129" i="27"/>
  <c r="AC129" i="27"/>
  <c r="AB129" i="27"/>
  <c r="AA129" i="27"/>
  <c r="Z129" i="27"/>
  <c r="Y129" i="27"/>
  <c r="X129" i="27"/>
  <c r="W129" i="27"/>
  <c r="V129" i="27"/>
  <c r="AO128" i="27"/>
  <c r="AN128" i="27"/>
  <c r="AM128" i="27"/>
  <c r="AL128" i="27"/>
  <c r="AK128" i="27"/>
  <c r="AJ128" i="27"/>
  <c r="AI128" i="27"/>
  <c r="AH128" i="27"/>
  <c r="AG128" i="27"/>
  <c r="AF128" i="27"/>
  <c r="AE128" i="27"/>
  <c r="AD128" i="27"/>
  <c r="AC128" i="27"/>
  <c r="AB128" i="27"/>
  <c r="AA128" i="27"/>
  <c r="Z128" i="27"/>
  <c r="Y128" i="27"/>
  <c r="X128" i="27"/>
  <c r="W128" i="27"/>
  <c r="V128" i="27"/>
  <c r="AO127" i="27"/>
  <c r="AN127" i="27"/>
  <c r="AM127" i="27"/>
  <c r="AL127" i="27"/>
  <c r="AK127" i="27"/>
  <c r="AJ127" i="27"/>
  <c r="AI127" i="27"/>
  <c r="AH127" i="27"/>
  <c r="AG127" i="27"/>
  <c r="AF127" i="27"/>
  <c r="AE127" i="27"/>
  <c r="AD127" i="27"/>
  <c r="AC127" i="27"/>
  <c r="AB127" i="27"/>
  <c r="AA127" i="27"/>
  <c r="Z127" i="27"/>
  <c r="Y127" i="27"/>
  <c r="X127" i="27"/>
  <c r="W127" i="27"/>
  <c r="V127" i="27"/>
  <c r="AO126" i="27"/>
  <c r="AN126" i="27"/>
  <c r="AM126" i="27"/>
  <c r="AL126" i="27"/>
  <c r="AK126" i="27"/>
  <c r="AJ126" i="27"/>
  <c r="AI126" i="27"/>
  <c r="AH126" i="27"/>
  <c r="AG126" i="27"/>
  <c r="AF126" i="27"/>
  <c r="AE126" i="27"/>
  <c r="AD126" i="27"/>
  <c r="AC126" i="27"/>
  <c r="AB126" i="27"/>
  <c r="AA126" i="27"/>
  <c r="Z126" i="27"/>
  <c r="Y126" i="27"/>
  <c r="X126" i="27"/>
  <c r="W126" i="27"/>
  <c r="V126" i="27"/>
  <c r="AO125" i="27"/>
  <c r="AN125" i="27"/>
  <c r="AM125" i="27"/>
  <c r="AL125" i="27"/>
  <c r="AK125" i="27"/>
  <c r="AJ125" i="27"/>
  <c r="AI125" i="27"/>
  <c r="AH125" i="27"/>
  <c r="AG125" i="27"/>
  <c r="AF125" i="27"/>
  <c r="AE125" i="27"/>
  <c r="AD125" i="27"/>
  <c r="AC125" i="27"/>
  <c r="AB125" i="27"/>
  <c r="AA125" i="27"/>
  <c r="Z125" i="27"/>
  <c r="Y125" i="27"/>
  <c r="X125" i="27"/>
  <c r="W125" i="27"/>
  <c r="V125" i="27"/>
  <c r="AO124" i="27"/>
  <c r="AN124" i="27"/>
  <c r="AM124" i="27"/>
  <c r="AL124" i="27"/>
  <c r="AK124" i="27"/>
  <c r="AJ124" i="27"/>
  <c r="AI124" i="27"/>
  <c r="AH124" i="27"/>
  <c r="AG124" i="27"/>
  <c r="AF124" i="27"/>
  <c r="AE124" i="27"/>
  <c r="AD124" i="27"/>
  <c r="AC124" i="27"/>
  <c r="AB124" i="27"/>
  <c r="AA124" i="27"/>
  <c r="Z124" i="27"/>
  <c r="Y124" i="27"/>
  <c r="X124" i="27"/>
  <c r="W124" i="27"/>
  <c r="V124" i="27"/>
  <c r="AO123" i="27"/>
  <c r="AN123" i="27"/>
  <c r="AM123" i="27"/>
  <c r="AL123" i="27"/>
  <c r="AK123" i="27"/>
  <c r="AJ123" i="27"/>
  <c r="AI123" i="27"/>
  <c r="AH123" i="27"/>
  <c r="AG123" i="27"/>
  <c r="AF123" i="27"/>
  <c r="AE123" i="27"/>
  <c r="AD123" i="27"/>
  <c r="AC123" i="27"/>
  <c r="AB123" i="27"/>
  <c r="AA123" i="27"/>
  <c r="Z123" i="27"/>
  <c r="Y123" i="27"/>
  <c r="X123" i="27"/>
  <c r="W123" i="27"/>
  <c r="V123" i="27"/>
  <c r="AO122" i="27"/>
  <c r="AN122" i="27"/>
  <c r="AM122" i="27"/>
  <c r="AL122" i="27"/>
  <c r="AK122" i="27"/>
  <c r="AJ122" i="27"/>
  <c r="AI122" i="27"/>
  <c r="AH122" i="27"/>
  <c r="AG122" i="27"/>
  <c r="AF122" i="27"/>
  <c r="AE122" i="27"/>
  <c r="AD122" i="27"/>
  <c r="AC122" i="27"/>
  <c r="AB122" i="27"/>
  <c r="AA122" i="27"/>
  <c r="Z122" i="27"/>
  <c r="Y122" i="27"/>
  <c r="X122" i="27"/>
  <c r="W122" i="27"/>
  <c r="V122" i="27"/>
  <c r="AO121" i="27"/>
  <c r="AN121" i="27"/>
  <c r="AM121" i="27"/>
  <c r="AL121" i="27"/>
  <c r="AK121" i="27"/>
  <c r="AJ121" i="27"/>
  <c r="AI121" i="27"/>
  <c r="AH121" i="27"/>
  <c r="AG121" i="27"/>
  <c r="AF121" i="27"/>
  <c r="AE121" i="27"/>
  <c r="AD121" i="27"/>
  <c r="AC121" i="27"/>
  <c r="AB121" i="27"/>
  <c r="AA121" i="27"/>
  <c r="Z121" i="27"/>
  <c r="Y121" i="27"/>
  <c r="X121" i="27"/>
  <c r="W121" i="27"/>
  <c r="V121" i="27"/>
  <c r="AO120" i="27"/>
  <c r="AN120" i="27"/>
  <c r="AM120" i="27"/>
  <c r="AL120" i="27"/>
  <c r="AK120" i="27"/>
  <c r="AJ120" i="27"/>
  <c r="AI120" i="27"/>
  <c r="AH120" i="27"/>
  <c r="AG120" i="27"/>
  <c r="AF120" i="27"/>
  <c r="AE120" i="27"/>
  <c r="AD120" i="27"/>
  <c r="AC120" i="27"/>
  <c r="AB120" i="27"/>
  <c r="AA120" i="27"/>
  <c r="Z120" i="27"/>
  <c r="Y120" i="27"/>
  <c r="X120" i="27"/>
  <c r="W120" i="27"/>
  <c r="V120" i="27"/>
  <c r="AO119" i="27"/>
  <c r="AN119" i="27"/>
  <c r="AM119" i="27"/>
  <c r="AL119" i="27"/>
  <c r="AK119" i="27"/>
  <c r="AJ119" i="27"/>
  <c r="AI119" i="27"/>
  <c r="AH119" i="27"/>
  <c r="AG119" i="27"/>
  <c r="AF119" i="27"/>
  <c r="AE119" i="27"/>
  <c r="AD119" i="27"/>
  <c r="AC119" i="27"/>
  <c r="AB119" i="27"/>
  <c r="AA119" i="27"/>
  <c r="Z119" i="27"/>
  <c r="Y119" i="27"/>
  <c r="X119" i="27"/>
  <c r="W119" i="27"/>
  <c r="V119" i="27"/>
  <c r="AO118" i="27"/>
  <c r="AN118" i="27"/>
  <c r="AM118" i="27"/>
  <c r="AL118" i="27"/>
  <c r="AK118" i="27"/>
  <c r="AJ118" i="27"/>
  <c r="AI118" i="27"/>
  <c r="AH118" i="27"/>
  <c r="AG118" i="27"/>
  <c r="AF118" i="27"/>
  <c r="AE118" i="27"/>
  <c r="AD118" i="27"/>
  <c r="AC118" i="27"/>
  <c r="AB118" i="27"/>
  <c r="AA118" i="27"/>
  <c r="Z118" i="27"/>
  <c r="Y118" i="27"/>
  <c r="X118" i="27"/>
  <c r="W118" i="27"/>
  <c r="V118" i="27"/>
  <c r="AO117" i="27"/>
  <c r="AN117" i="27"/>
  <c r="AM117" i="27"/>
  <c r="AL117" i="27"/>
  <c r="AK117" i="27"/>
  <c r="AJ117" i="27"/>
  <c r="AI117" i="27"/>
  <c r="AH117" i="27"/>
  <c r="AG117" i="27"/>
  <c r="AF117" i="27"/>
  <c r="AE117" i="27"/>
  <c r="AD117" i="27"/>
  <c r="AC117" i="27"/>
  <c r="AB117" i="27"/>
  <c r="AA117" i="27"/>
  <c r="Z117" i="27"/>
  <c r="Y117" i="27"/>
  <c r="X117" i="27"/>
  <c r="W117" i="27"/>
  <c r="V117" i="27"/>
  <c r="AO116" i="27"/>
  <c r="AN116" i="27"/>
  <c r="AM116" i="27"/>
  <c r="AL116" i="27"/>
  <c r="AK116" i="27"/>
  <c r="AJ116" i="27"/>
  <c r="AI116" i="27"/>
  <c r="AH116" i="27"/>
  <c r="AG116" i="27"/>
  <c r="AF116" i="27"/>
  <c r="AE116" i="27"/>
  <c r="AD116" i="27"/>
  <c r="AC116" i="27"/>
  <c r="AB116" i="27"/>
  <c r="AA116" i="27"/>
  <c r="Z116" i="27"/>
  <c r="Y116" i="27"/>
  <c r="X116" i="27"/>
  <c r="W116" i="27"/>
  <c r="V116" i="27"/>
  <c r="AO115" i="27"/>
  <c r="AN115" i="27"/>
  <c r="AM115" i="27"/>
  <c r="AL115" i="27"/>
  <c r="AK115" i="27"/>
  <c r="AJ115" i="27"/>
  <c r="AI115" i="27"/>
  <c r="AH115" i="27"/>
  <c r="AG115" i="27"/>
  <c r="AF115" i="27"/>
  <c r="AE115" i="27"/>
  <c r="AD115" i="27"/>
  <c r="AC115" i="27"/>
  <c r="AB115" i="27"/>
  <c r="AA115" i="27"/>
  <c r="Z115" i="27"/>
  <c r="Y115" i="27"/>
  <c r="X115" i="27"/>
  <c r="W115" i="27"/>
  <c r="V115" i="27"/>
  <c r="AO114" i="27"/>
  <c r="AN114" i="27"/>
  <c r="AM114" i="27"/>
  <c r="AL114" i="27"/>
  <c r="AK114" i="27"/>
  <c r="AJ114" i="27"/>
  <c r="AI114" i="27"/>
  <c r="AH114" i="27"/>
  <c r="AG114" i="27"/>
  <c r="AF114" i="27"/>
  <c r="AE114" i="27"/>
  <c r="AD114" i="27"/>
  <c r="AC114" i="27"/>
  <c r="AB114" i="27"/>
  <c r="AA114" i="27"/>
  <c r="Z114" i="27"/>
  <c r="Y114" i="27"/>
  <c r="X114" i="27"/>
  <c r="W114" i="27"/>
  <c r="V114" i="27"/>
  <c r="AO113" i="27"/>
  <c r="AN113" i="27"/>
  <c r="AM113" i="27"/>
  <c r="AL113" i="27"/>
  <c r="AK113" i="27"/>
  <c r="AJ113" i="27"/>
  <c r="AI113" i="27"/>
  <c r="AH113" i="27"/>
  <c r="AG113" i="27"/>
  <c r="AF113" i="27"/>
  <c r="AE113" i="27"/>
  <c r="AD113" i="27"/>
  <c r="AC113" i="27"/>
  <c r="AB113" i="27"/>
  <c r="AA113" i="27"/>
  <c r="Z113" i="27"/>
  <c r="Y113" i="27"/>
  <c r="X113" i="27"/>
  <c r="W113" i="27"/>
  <c r="V113" i="27"/>
  <c r="AO112" i="27"/>
  <c r="AN112" i="27"/>
  <c r="AM112" i="27"/>
  <c r="AL112" i="27"/>
  <c r="AK112" i="27"/>
  <c r="AJ112" i="27"/>
  <c r="AI112" i="27"/>
  <c r="AH112" i="27"/>
  <c r="AG112" i="27"/>
  <c r="AF112" i="27"/>
  <c r="AE112" i="27"/>
  <c r="AD112" i="27"/>
  <c r="AC112" i="27"/>
  <c r="AB112" i="27"/>
  <c r="AA112" i="27"/>
  <c r="Z112" i="27"/>
  <c r="Y112" i="27"/>
  <c r="X112" i="27"/>
  <c r="W112" i="27"/>
  <c r="V112" i="27"/>
  <c r="AO111" i="27"/>
  <c r="AN111" i="27"/>
  <c r="AM111" i="27"/>
  <c r="AL111" i="27"/>
  <c r="AK111" i="27"/>
  <c r="AJ111" i="27"/>
  <c r="AI111" i="27"/>
  <c r="AH111" i="27"/>
  <c r="AG111" i="27"/>
  <c r="AF111" i="27"/>
  <c r="AE111" i="27"/>
  <c r="AD111" i="27"/>
  <c r="AC111" i="27"/>
  <c r="AB111" i="27"/>
  <c r="AA111" i="27"/>
  <c r="Z111" i="27"/>
  <c r="Y111" i="27"/>
  <c r="X111" i="27"/>
  <c r="W111" i="27"/>
  <c r="V111" i="27"/>
  <c r="AO110" i="27"/>
  <c r="AN110" i="27"/>
  <c r="AM110" i="27"/>
  <c r="AL110" i="27"/>
  <c r="AK110" i="27"/>
  <c r="AJ110" i="27"/>
  <c r="AI110" i="27"/>
  <c r="AH110" i="27"/>
  <c r="AG110" i="27"/>
  <c r="AF110" i="27"/>
  <c r="AE110" i="27"/>
  <c r="AD110" i="27"/>
  <c r="AC110" i="27"/>
  <c r="AB110" i="27"/>
  <c r="AA110" i="27"/>
  <c r="Z110" i="27"/>
  <c r="Y110" i="27"/>
  <c r="X110" i="27"/>
  <c r="W110" i="27"/>
  <c r="V110" i="27"/>
  <c r="AO109" i="27"/>
  <c r="AN109" i="27"/>
  <c r="AM109" i="27"/>
  <c r="AL109" i="27"/>
  <c r="AK109" i="27"/>
  <c r="AJ109" i="27"/>
  <c r="AI109" i="27"/>
  <c r="AH109" i="27"/>
  <c r="AG109" i="27"/>
  <c r="AF109" i="27"/>
  <c r="AE109" i="27"/>
  <c r="AD109" i="27"/>
  <c r="AC109" i="27"/>
  <c r="AB109" i="27"/>
  <c r="AA109" i="27"/>
  <c r="Z109" i="27"/>
  <c r="Y109" i="27"/>
  <c r="X109" i="27"/>
  <c r="W109" i="27"/>
  <c r="V109" i="27"/>
  <c r="AO108" i="27"/>
  <c r="AN108" i="27"/>
  <c r="AM108" i="27"/>
  <c r="AL108" i="27"/>
  <c r="AK108" i="27"/>
  <c r="AJ108" i="27"/>
  <c r="AI108" i="27"/>
  <c r="AH108" i="27"/>
  <c r="AG108" i="27"/>
  <c r="AF108" i="27"/>
  <c r="AE108" i="27"/>
  <c r="AD108" i="27"/>
  <c r="AC108" i="27"/>
  <c r="AB108" i="27"/>
  <c r="AA108" i="27"/>
  <c r="Z108" i="27"/>
  <c r="Y108" i="27"/>
  <c r="X108" i="27"/>
  <c r="W108" i="27"/>
  <c r="V108" i="27"/>
  <c r="AO107" i="27"/>
  <c r="AN107" i="27"/>
  <c r="AM107" i="27"/>
  <c r="AL107" i="27"/>
  <c r="AK107" i="27"/>
  <c r="AJ107" i="27"/>
  <c r="AI107" i="27"/>
  <c r="AH107" i="27"/>
  <c r="AG107" i="27"/>
  <c r="AF107" i="27"/>
  <c r="AE107" i="27"/>
  <c r="AD107" i="27"/>
  <c r="AC107" i="27"/>
  <c r="AB107" i="27"/>
  <c r="AA107" i="27"/>
  <c r="Z107" i="27"/>
  <c r="Y107" i="27"/>
  <c r="X107" i="27"/>
  <c r="W107" i="27"/>
  <c r="V107" i="27"/>
  <c r="AO106" i="27"/>
  <c r="AN106" i="27"/>
  <c r="AM106" i="27"/>
  <c r="AL106" i="27"/>
  <c r="AK106" i="27"/>
  <c r="AJ106" i="27"/>
  <c r="AI106" i="27"/>
  <c r="AH106" i="27"/>
  <c r="AG106" i="27"/>
  <c r="AF106" i="27"/>
  <c r="AE106" i="27"/>
  <c r="AD106" i="27"/>
  <c r="AC106" i="27"/>
  <c r="AB106" i="27"/>
  <c r="AA106" i="27"/>
  <c r="Z106" i="27"/>
  <c r="Y106" i="27"/>
  <c r="X106" i="27"/>
  <c r="W106" i="27"/>
  <c r="V106" i="27"/>
  <c r="AO105" i="27"/>
  <c r="AN105" i="27"/>
  <c r="AM105" i="27"/>
  <c r="AL105" i="27"/>
  <c r="AK105" i="27"/>
  <c r="AJ105" i="27"/>
  <c r="AI105" i="27"/>
  <c r="AH105" i="27"/>
  <c r="AG105" i="27"/>
  <c r="AF105" i="27"/>
  <c r="AE105" i="27"/>
  <c r="AD105" i="27"/>
  <c r="AC105" i="27"/>
  <c r="AB105" i="27"/>
  <c r="AA105" i="27"/>
  <c r="Z105" i="27"/>
  <c r="Y105" i="27"/>
  <c r="X105" i="27"/>
  <c r="W105" i="27"/>
  <c r="V105" i="27"/>
  <c r="AO104" i="27"/>
  <c r="AN104" i="27"/>
  <c r="AM104" i="27"/>
  <c r="AL104" i="27"/>
  <c r="AK104" i="27"/>
  <c r="AJ104" i="27"/>
  <c r="AI104" i="27"/>
  <c r="AH104" i="27"/>
  <c r="AG104" i="27"/>
  <c r="AF104" i="27"/>
  <c r="AE104" i="27"/>
  <c r="AD104" i="27"/>
  <c r="AC104" i="27"/>
  <c r="AB104" i="27"/>
  <c r="AA104" i="27"/>
  <c r="Z104" i="27"/>
  <c r="Y104" i="27"/>
  <c r="X104" i="27"/>
  <c r="W104" i="27"/>
  <c r="V104" i="27"/>
  <c r="AO103" i="27"/>
  <c r="AN103" i="27"/>
  <c r="AM103" i="27"/>
  <c r="AL103" i="27"/>
  <c r="AK103" i="27"/>
  <c r="AJ103" i="27"/>
  <c r="AI103" i="27"/>
  <c r="AH103" i="27"/>
  <c r="AG103" i="27"/>
  <c r="AF103" i="27"/>
  <c r="AE103" i="27"/>
  <c r="AD103" i="27"/>
  <c r="AC103" i="27"/>
  <c r="AB103" i="27"/>
  <c r="AA103" i="27"/>
  <c r="Z103" i="27"/>
  <c r="Y103" i="27"/>
  <c r="X103" i="27"/>
  <c r="W103" i="27"/>
  <c r="V103" i="27"/>
  <c r="AO102" i="27"/>
  <c r="AN102" i="27"/>
  <c r="AM102" i="27"/>
  <c r="AL102" i="27"/>
  <c r="AK102" i="27"/>
  <c r="AJ102" i="27"/>
  <c r="AI102" i="27"/>
  <c r="AH102" i="27"/>
  <c r="AG102" i="27"/>
  <c r="AF102" i="27"/>
  <c r="AE102" i="27"/>
  <c r="AD102" i="27"/>
  <c r="AC102" i="27"/>
  <c r="AB102" i="27"/>
  <c r="AA102" i="27"/>
  <c r="Z102" i="27"/>
  <c r="Y102" i="27"/>
  <c r="X102" i="27"/>
  <c r="W102" i="27"/>
  <c r="V102" i="27"/>
  <c r="AO101" i="27"/>
  <c r="AN101" i="27"/>
  <c r="AM101" i="27"/>
  <c r="AL101" i="27"/>
  <c r="AK101" i="27"/>
  <c r="AJ101" i="27"/>
  <c r="AI101" i="27"/>
  <c r="AH101" i="27"/>
  <c r="AG101" i="27"/>
  <c r="AF101" i="27"/>
  <c r="AE101" i="27"/>
  <c r="AD101" i="27"/>
  <c r="AC101" i="27"/>
  <c r="AB101" i="27"/>
  <c r="AA101" i="27"/>
  <c r="Z101" i="27"/>
  <c r="Y101" i="27"/>
  <c r="X101" i="27"/>
  <c r="W101" i="27"/>
  <c r="V101" i="27"/>
  <c r="AO100" i="27"/>
  <c r="AN100" i="27"/>
  <c r="AM100" i="27"/>
  <c r="AL100" i="27"/>
  <c r="AK100" i="27"/>
  <c r="AJ100" i="27"/>
  <c r="AI100" i="27"/>
  <c r="AH100" i="27"/>
  <c r="AG100" i="27"/>
  <c r="AF100" i="27"/>
  <c r="AE100" i="27"/>
  <c r="AD100" i="27"/>
  <c r="AC100" i="27"/>
  <c r="AB100" i="27"/>
  <c r="AA100" i="27"/>
  <c r="Z100" i="27"/>
  <c r="Y100" i="27"/>
  <c r="X100" i="27"/>
  <c r="W100" i="27"/>
  <c r="V100" i="27"/>
  <c r="AC95" i="27"/>
  <c r="W95" i="27"/>
  <c r="AC88" i="27"/>
  <c r="Z82" i="27"/>
  <c r="Y82" i="27"/>
  <c r="X82" i="27"/>
  <c r="W82" i="27"/>
  <c r="V82" i="27"/>
  <c r="Z81" i="27"/>
  <c r="Y81" i="27"/>
  <c r="X81" i="27"/>
  <c r="W81" i="27"/>
  <c r="V81" i="27"/>
  <c r="Z80" i="27"/>
  <c r="Y80" i="27"/>
  <c r="X80" i="27"/>
  <c r="W80" i="27"/>
  <c r="V80" i="27"/>
  <c r="Z79" i="27"/>
  <c r="Y79" i="27"/>
  <c r="X79" i="27"/>
  <c r="W79" i="27"/>
  <c r="V79" i="27"/>
  <c r="Z78" i="27"/>
  <c r="Y78" i="27"/>
  <c r="X78" i="27"/>
  <c r="W78" i="27"/>
  <c r="V78" i="27"/>
  <c r="Z77" i="27"/>
  <c r="Y77" i="27"/>
  <c r="X77" i="27"/>
  <c r="W77" i="27"/>
  <c r="V77" i="27"/>
  <c r="Z76" i="27"/>
  <c r="Y76" i="27"/>
  <c r="X76" i="27"/>
  <c r="W76" i="27"/>
  <c r="V76" i="27"/>
  <c r="Z75" i="27"/>
  <c r="Y75" i="27"/>
  <c r="X75" i="27"/>
  <c r="W75" i="27"/>
  <c r="V75" i="27"/>
  <c r="Z74" i="27"/>
  <c r="Y74" i="27"/>
  <c r="X74" i="27"/>
  <c r="W74" i="27"/>
  <c r="V74" i="27"/>
  <c r="Z73" i="27"/>
  <c r="Y73" i="27"/>
  <c r="X73" i="27"/>
  <c r="W73" i="27"/>
  <c r="V73" i="27"/>
  <c r="Z68" i="27"/>
  <c r="Y68" i="27"/>
  <c r="X68" i="27"/>
  <c r="W68" i="27"/>
  <c r="V68" i="27"/>
  <c r="Z67" i="27"/>
  <c r="Y67" i="27"/>
  <c r="X67" i="27"/>
  <c r="W67" i="27"/>
  <c r="V67" i="27"/>
  <c r="Z66" i="27"/>
  <c r="Y66" i="27"/>
  <c r="X66" i="27"/>
  <c r="W66" i="27"/>
  <c r="V66" i="27"/>
  <c r="Z65" i="27"/>
  <c r="Y65" i="27"/>
  <c r="X65" i="27"/>
  <c r="W65" i="27"/>
  <c r="V65" i="27"/>
  <c r="Z64" i="27"/>
  <c r="Y64" i="27"/>
  <c r="X64" i="27"/>
  <c r="W64" i="27"/>
  <c r="V64" i="27"/>
  <c r="Z63" i="27"/>
  <c r="Y63" i="27"/>
  <c r="X63" i="27"/>
  <c r="W63" i="27"/>
  <c r="V63" i="27"/>
  <c r="Z62" i="27"/>
  <c r="Y62" i="27"/>
  <c r="X62" i="27"/>
  <c r="W62" i="27"/>
  <c r="V62" i="27"/>
  <c r="Z61" i="27"/>
  <c r="Y61" i="27"/>
  <c r="X61" i="27"/>
  <c r="W61" i="27"/>
  <c r="V61" i="27"/>
  <c r="Z60" i="27"/>
  <c r="Y60" i="27"/>
  <c r="X60" i="27"/>
  <c r="W60" i="27"/>
  <c r="V60" i="27"/>
  <c r="Z59" i="27"/>
  <c r="Y59" i="27"/>
  <c r="X59" i="27"/>
  <c r="W59" i="27"/>
  <c r="V59" i="27"/>
  <c r="AQ58" i="27"/>
  <c r="E40" i="27" s="1"/>
  <c r="Z58" i="27"/>
  <c r="Y58" i="27"/>
  <c r="X58" i="27"/>
  <c r="W58" i="27"/>
  <c r="V58" i="27"/>
  <c r="Z57" i="27"/>
  <c r="Y57" i="27"/>
  <c r="X57" i="27"/>
  <c r="W57" i="27"/>
  <c r="V57" i="27"/>
  <c r="Z56" i="27"/>
  <c r="Y56" i="27"/>
  <c r="X56" i="27"/>
  <c r="W56" i="27"/>
  <c r="V56" i="27"/>
  <c r="AP44" i="27"/>
  <c r="B59" i="27" s="1"/>
  <c r="AP43" i="27"/>
  <c r="B58" i="27" s="1"/>
  <c r="AP42" i="27"/>
  <c r="B57" i="27" s="1"/>
  <c r="AP41" i="27"/>
  <c r="B56" i="27" s="1"/>
  <c r="AP40" i="27"/>
  <c r="B55" i="27" s="1"/>
  <c r="B40" i="27"/>
  <c r="X39" i="27"/>
  <c r="X38" i="27"/>
  <c r="X37" i="27"/>
  <c r="X36" i="27"/>
  <c r="X35" i="27"/>
  <c r="Q35" i="27"/>
  <c r="P35" i="27"/>
  <c r="B35" i="27"/>
  <c r="X34" i="27"/>
  <c r="J34" i="27"/>
  <c r="D35" i="27" s="1"/>
  <c r="X33" i="27"/>
  <c r="X32" i="27"/>
  <c r="AG31" i="27"/>
  <c r="X31" i="27"/>
  <c r="X30" i="27"/>
  <c r="X29" i="27"/>
  <c r="B29" i="27"/>
  <c r="AQ27" i="27" s="1"/>
  <c r="X28" i="27"/>
  <c r="B27" i="27"/>
  <c r="P25" i="27"/>
  <c r="I24" i="27" s="1"/>
  <c r="G24" i="27"/>
  <c r="E24" i="27"/>
  <c r="C24" i="27"/>
  <c r="AB23" i="27"/>
  <c r="AA23" i="27"/>
  <c r="Z23" i="27"/>
  <c r="Y23" i="27"/>
  <c r="I23" i="27"/>
  <c r="G23" i="27"/>
  <c r="E23" i="27"/>
  <c r="C23" i="27"/>
  <c r="AB22" i="27"/>
  <c r="AA22" i="27"/>
  <c r="Z22" i="27"/>
  <c r="Y22" i="27"/>
  <c r="I22" i="27"/>
  <c r="G22" i="27"/>
  <c r="E22" i="27"/>
  <c r="C22" i="27"/>
  <c r="I21" i="27"/>
  <c r="G21" i="27"/>
  <c r="E21" i="27"/>
  <c r="C21" i="27"/>
  <c r="AQ20" i="27"/>
  <c r="B49" i="27" s="1"/>
  <c r="AQ36" i="27" s="1"/>
  <c r="AI20" i="27"/>
  <c r="I20" i="27"/>
  <c r="AQ19" i="27"/>
  <c r="B48" i="27" s="1"/>
  <c r="AQ35" i="27" s="1"/>
  <c r="AI19" i="27"/>
  <c r="AQ18" i="27"/>
  <c r="AI18" i="27"/>
  <c r="AJ18" i="27" s="1"/>
  <c r="I18" i="27"/>
  <c r="AI17" i="27"/>
  <c r="AI16" i="27"/>
  <c r="AI15" i="27"/>
  <c r="AQ14" i="27"/>
  <c r="B46" i="27" s="1"/>
  <c r="AQ33" i="27" s="1"/>
  <c r="AI14" i="27"/>
  <c r="I14" i="27"/>
  <c r="AQ13" i="27"/>
  <c r="B45" i="27" s="1"/>
  <c r="AQ32" i="27" s="1"/>
  <c r="AI13" i="27"/>
  <c r="AQ12" i="27"/>
  <c r="AI12" i="27"/>
  <c r="AI11" i="27"/>
  <c r="AB11" i="27"/>
  <c r="AA11" i="27"/>
  <c r="Z11" i="27"/>
  <c r="Y11" i="27"/>
  <c r="AI10" i="27"/>
  <c r="AB10" i="27"/>
  <c r="AA10" i="27"/>
  <c r="Z10" i="27"/>
  <c r="Y10" i="27"/>
  <c r="AI9" i="27"/>
  <c r="AJ9" i="27" s="1"/>
  <c r="AB9" i="27"/>
  <c r="AA9" i="27"/>
  <c r="Z9" i="27"/>
  <c r="Y9" i="27"/>
  <c r="AQ8" i="27"/>
  <c r="AB8" i="27"/>
  <c r="AA8" i="27"/>
  <c r="Z8" i="27"/>
  <c r="AC8" i="27" s="1"/>
  <c r="Y8" i="27"/>
  <c r="AQ7" i="27"/>
  <c r="AQ6" i="27"/>
  <c r="AC30" i="26"/>
  <c r="O99" i="26" s="1"/>
  <c r="AO179" i="26"/>
  <c r="AN179" i="26"/>
  <c r="AM179" i="26"/>
  <c r="AL179" i="26"/>
  <c r="AK179" i="26"/>
  <c r="AJ179" i="26"/>
  <c r="AI179" i="26"/>
  <c r="AH179" i="26"/>
  <c r="AG179" i="26"/>
  <c r="AF179" i="26"/>
  <c r="AE179" i="26"/>
  <c r="AD179" i="26"/>
  <c r="AC179" i="26"/>
  <c r="AB179" i="26"/>
  <c r="AA179" i="26"/>
  <c r="Z179" i="26"/>
  <c r="Y179" i="26"/>
  <c r="X179" i="26"/>
  <c r="W179" i="26"/>
  <c r="V179" i="26"/>
  <c r="AO178" i="26"/>
  <c r="AN178" i="26"/>
  <c r="AM178" i="26"/>
  <c r="AL178" i="26"/>
  <c r="AK178" i="26"/>
  <c r="AJ178" i="26"/>
  <c r="AI178" i="26"/>
  <c r="AH178" i="26"/>
  <c r="AG178" i="26"/>
  <c r="AF178" i="26"/>
  <c r="AE178" i="26"/>
  <c r="AD178" i="26"/>
  <c r="AC178" i="26"/>
  <c r="AB178" i="26"/>
  <c r="AA178" i="26"/>
  <c r="Z178" i="26"/>
  <c r="Y178" i="26"/>
  <c r="X178" i="26"/>
  <c r="W178" i="26"/>
  <c r="V178" i="26"/>
  <c r="AO177" i="26"/>
  <c r="AN177" i="26"/>
  <c r="AM177" i="26"/>
  <c r="AL177" i="26"/>
  <c r="AK177" i="26"/>
  <c r="AJ177" i="26"/>
  <c r="AI177" i="26"/>
  <c r="AH177" i="26"/>
  <c r="AG177" i="26"/>
  <c r="AF177" i="26"/>
  <c r="AE177" i="26"/>
  <c r="AD177" i="26"/>
  <c r="AC177" i="26"/>
  <c r="AB177" i="26"/>
  <c r="AA177" i="26"/>
  <c r="Z177" i="26"/>
  <c r="Y177" i="26"/>
  <c r="X177" i="26"/>
  <c r="W177" i="26"/>
  <c r="V177" i="26"/>
  <c r="AO176" i="26"/>
  <c r="AN176" i="26"/>
  <c r="AM176" i="26"/>
  <c r="AL176" i="26"/>
  <c r="AK176" i="26"/>
  <c r="AJ176" i="26"/>
  <c r="AI176" i="26"/>
  <c r="AH176" i="26"/>
  <c r="AG176" i="26"/>
  <c r="AF176" i="26"/>
  <c r="AE176" i="26"/>
  <c r="AD176" i="26"/>
  <c r="AC176" i="26"/>
  <c r="AB176" i="26"/>
  <c r="AA176" i="26"/>
  <c r="Z176" i="26"/>
  <c r="Y176" i="26"/>
  <c r="X176" i="26"/>
  <c r="W176" i="26"/>
  <c r="V176" i="26"/>
  <c r="AO175" i="26"/>
  <c r="AN175" i="26"/>
  <c r="AM175" i="26"/>
  <c r="AL175" i="26"/>
  <c r="AK175" i="26"/>
  <c r="AJ175" i="26"/>
  <c r="AI175" i="26"/>
  <c r="AH175" i="26"/>
  <c r="AG175" i="26"/>
  <c r="AF175" i="26"/>
  <c r="AE175" i="26"/>
  <c r="AD175" i="26"/>
  <c r="AC175" i="26"/>
  <c r="AB175" i="26"/>
  <c r="AA175" i="26"/>
  <c r="Z175" i="26"/>
  <c r="Y175" i="26"/>
  <c r="X175" i="26"/>
  <c r="W175" i="26"/>
  <c r="V175" i="26"/>
  <c r="AO174" i="26"/>
  <c r="AN174" i="26"/>
  <c r="AM174" i="26"/>
  <c r="AL174" i="26"/>
  <c r="AK174" i="26"/>
  <c r="AJ174" i="26"/>
  <c r="AI174" i="26"/>
  <c r="AH174" i="26"/>
  <c r="AG174" i="26"/>
  <c r="AF174" i="26"/>
  <c r="AE174" i="26"/>
  <c r="AD174" i="26"/>
  <c r="AC174" i="26"/>
  <c r="AB174" i="26"/>
  <c r="AA174" i="26"/>
  <c r="Z174" i="26"/>
  <c r="Y174" i="26"/>
  <c r="X174" i="26"/>
  <c r="W174" i="26"/>
  <c r="V174" i="26"/>
  <c r="AO173" i="26"/>
  <c r="AN173" i="26"/>
  <c r="AM173" i="26"/>
  <c r="AL173" i="26"/>
  <c r="AK173" i="26"/>
  <c r="AJ173" i="26"/>
  <c r="AI173" i="26"/>
  <c r="AH173" i="26"/>
  <c r="AG173" i="26"/>
  <c r="AF173" i="26"/>
  <c r="AE173" i="26"/>
  <c r="AD173" i="26"/>
  <c r="AC173" i="26"/>
  <c r="AB173" i="26"/>
  <c r="AA173" i="26"/>
  <c r="Z173" i="26"/>
  <c r="Y173" i="26"/>
  <c r="X173" i="26"/>
  <c r="W173" i="26"/>
  <c r="V173" i="26"/>
  <c r="AO172" i="26"/>
  <c r="AN172" i="26"/>
  <c r="AM172" i="26"/>
  <c r="AL172" i="26"/>
  <c r="AK172" i="26"/>
  <c r="AJ172" i="26"/>
  <c r="AI172" i="26"/>
  <c r="AH172" i="26"/>
  <c r="AG172" i="26"/>
  <c r="AF172" i="26"/>
  <c r="AE172" i="26"/>
  <c r="AD172" i="26"/>
  <c r="AC172" i="26"/>
  <c r="AB172" i="26"/>
  <c r="AA172" i="26"/>
  <c r="Z172" i="26"/>
  <c r="Y172" i="26"/>
  <c r="X172" i="26"/>
  <c r="W172" i="26"/>
  <c r="V172" i="26"/>
  <c r="AO171" i="26"/>
  <c r="AN171" i="26"/>
  <c r="AM171" i="26"/>
  <c r="AL171" i="26"/>
  <c r="AK171" i="26"/>
  <c r="AJ171" i="26"/>
  <c r="AI171" i="26"/>
  <c r="AH171" i="26"/>
  <c r="AG171" i="26"/>
  <c r="AF171" i="26"/>
  <c r="AE171" i="26"/>
  <c r="AD171" i="26"/>
  <c r="AC171" i="26"/>
  <c r="AB171" i="26"/>
  <c r="AA171" i="26"/>
  <c r="Z171" i="26"/>
  <c r="Y171" i="26"/>
  <c r="X171" i="26"/>
  <c r="W171" i="26"/>
  <c r="V171" i="26"/>
  <c r="AO170" i="26"/>
  <c r="AN170" i="26"/>
  <c r="AM170" i="26"/>
  <c r="AL170" i="26"/>
  <c r="AK170" i="26"/>
  <c r="AJ170" i="26"/>
  <c r="AI170" i="26"/>
  <c r="AH170" i="26"/>
  <c r="AG170" i="26"/>
  <c r="AF170" i="26"/>
  <c r="AE170" i="26"/>
  <c r="AD170" i="26"/>
  <c r="AC170" i="26"/>
  <c r="AB170" i="26"/>
  <c r="AA170" i="26"/>
  <c r="Z170" i="26"/>
  <c r="Y170" i="26"/>
  <c r="X170" i="26"/>
  <c r="W170" i="26"/>
  <c r="V170" i="26"/>
  <c r="AO169" i="26"/>
  <c r="AN169" i="26"/>
  <c r="AM169" i="26"/>
  <c r="AL169" i="26"/>
  <c r="AK169" i="26"/>
  <c r="AJ169" i="26"/>
  <c r="AI169" i="26"/>
  <c r="AH169" i="26"/>
  <c r="AG169" i="26"/>
  <c r="AF169" i="26"/>
  <c r="AE169" i="26"/>
  <c r="AD169" i="26"/>
  <c r="AC169" i="26"/>
  <c r="AB169" i="26"/>
  <c r="AA169" i="26"/>
  <c r="Z169" i="26"/>
  <c r="Y169" i="26"/>
  <c r="X169" i="26"/>
  <c r="W169" i="26"/>
  <c r="V169" i="26"/>
  <c r="AO168" i="26"/>
  <c r="AN168" i="26"/>
  <c r="AM168" i="26"/>
  <c r="AL168" i="26"/>
  <c r="X95" i="26" s="1"/>
  <c r="AK168" i="26"/>
  <c r="AJ168" i="26"/>
  <c r="AI168" i="26"/>
  <c r="AH168" i="26"/>
  <c r="AG168" i="26"/>
  <c r="AF168" i="26"/>
  <c r="AE168" i="26"/>
  <c r="AD168" i="26"/>
  <c r="AD95" i="26" s="1"/>
  <c r="AC168" i="26"/>
  <c r="AC95" i="26" s="1"/>
  <c r="AB168" i="26"/>
  <c r="AB95" i="26" s="1"/>
  <c r="AA168" i="26"/>
  <c r="Z168" i="26"/>
  <c r="Z95" i="26" s="1"/>
  <c r="Y168" i="26"/>
  <c r="Y95" i="26" s="1"/>
  <c r="X168" i="26"/>
  <c r="W168" i="26"/>
  <c r="W95" i="26" s="1"/>
  <c r="V168" i="26"/>
  <c r="V95" i="26" s="1"/>
  <c r="AO167" i="26"/>
  <c r="AN167" i="26"/>
  <c r="AM167" i="26"/>
  <c r="AL167" i="26"/>
  <c r="X94" i="26" s="1"/>
  <c r="AK167" i="26"/>
  <c r="AJ167" i="26"/>
  <c r="AI167" i="26"/>
  <c r="AH167" i="26"/>
  <c r="AG167" i="26"/>
  <c r="AF167" i="26"/>
  <c r="AE167" i="26"/>
  <c r="AD167" i="26"/>
  <c r="AD94" i="26" s="1"/>
  <c r="AC167" i="26"/>
  <c r="AB167" i="26"/>
  <c r="AB94" i="26" s="1"/>
  <c r="AA167" i="26"/>
  <c r="AA94" i="26" s="1"/>
  <c r="Z167" i="26"/>
  <c r="Z94" i="26" s="1"/>
  <c r="Y167" i="26"/>
  <c r="Y94" i="26" s="1"/>
  <c r="X167" i="26"/>
  <c r="W167" i="26"/>
  <c r="V167" i="26"/>
  <c r="V94" i="26" s="1"/>
  <c r="AO166" i="26"/>
  <c r="AN166" i="26"/>
  <c r="AM166" i="26"/>
  <c r="AL166" i="26"/>
  <c r="X93" i="26" s="1"/>
  <c r="AK166" i="26"/>
  <c r="AJ166" i="26"/>
  <c r="AI166" i="26"/>
  <c r="AH166" i="26"/>
  <c r="AG166" i="26"/>
  <c r="AF166" i="26"/>
  <c r="AE166" i="26"/>
  <c r="AD166" i="26"/>
  <c r="AD93" i="26" s="1"/>
  <c r="AC166" i="26"/>
  <c r="AC93" i="26" s="1"/>
  <c r="AB166" i="26"/>
  <c r="AB93" i="26" s="1"/>
  <c r="AA166" i="26"/>
  <c r="AA93" i="26" s="1"/>
  <c r="Z166" i="26"/>
  <c r="Z93" i="26" s="1"/>
  <c r="Y166" i="26"/>
  <c r="X166" i="26"/>
  <c r="W166" i="26"/>
  <c r="W93" i="26" s="1"/>
  <c r="V166" i="26"/>
  <c r="V93" i="26" s="1"/>
  <c r="AO165" i="26"/>
  <c r="AN165" i="26"/>
  <c r="AM165" i="26"/>
  <c r="AL165" i="26"/>
  <c r="X92" i="26" s="1"/>
  <c r="AK165" i="26"/>
  <c r="AJ165" i="26"/>
  <c r="AI165" i="26"/>
  <c r="AH165" i="26"/>
  <c r="AG165" i="26"/>
  <c r="AF165" i="26"/>
  <c r="AE165" i="26"/>
  <c r="AD165" i="26"/>
  <c r="AD92" i="26" s="1"/>
  <c r="AC165" i="26"/>
  <c r="AC92" i="26" s="1"/>
  <c r="AB165" i="26"/>
  <c r="AB92" i="26" s="1"/>
  <c r="AA165" i="26"/>
  <c r="AA92" i="26" s="1"/>
  <c r="Z165" i="26"/>
  <c r="Z92" i="26" s="1"/>
  <c r="Y165" i="26"/>
  <c r="Y92" i="26" s="1"/>
  <c r="X165" i="26"/>
  <c r="W165" i="26"/>
  <c r="W92" i="26" s="1"/>
  <c r="V165" i="26"/>
  <c r="V92" i="26" s="1"/>
  <c r="AO164" i="26"/>
  <c r="AN164" i="26"/>
  <c r="AM164" i="26"/>
  <c r="AL164" i="26"/>
  <c r="X91" i="26" s="1"/>
  <c r="AK164" i="26"/>
  <c r="AJ164" i="26"/>
  <c r="AI164" i="26"/>
  <c r="AH164" i="26"/>
  <c r="AG164" i="26"/>
  <c r="AF164" i="26"/>
  <c r="AE164" i="26"/>
  <c r="AD164" i="26"/>
  <c r="AD91" i="26" s="1"/>
  <c r="AC164" i="26"/>
  <c r="AC91" i="26" s="1"/>
  <c r="AB164" i="26"/>
  <c r="AB91" i="26" s="1"/>
  <c r="AA164" i="26"/>
  <c r="AA91" i="26" s="1"/>
  <c r="Z164" i="26"/>
  <c r="Z91" i="26" s="1"/>
  <c r="Y164" i="26"/>
  <c r="Y91" i="26" s="1"/>
  <c r="X164" i="26"/>
  <c r="W164" i="26"/>
  <c r="W91" i="26" s="1"/>
  <c r="V164" i="26"/>
  <c r="V91" i="26" s="1"/>
  <c r="AO163" i="26"/>
  <c r="AN163" i="26"/>
  <c r="AM163" i="26"/>
  <c r="AL163" i="26"/>
  <c r="X90" i="26" s="1"/>
  <c r="AK163" i="26"/>
  <c r="AJ163" i="26"/>
  <c r="AI163" i="26"/>
  <c r="AH163" i="26"/>
  <c r="AG163" i="26"/>
  <c r="AF163" i="26"/>
  <c r="AE163" i="26"/>
  <c r="AD163" i="26"/>
  <c r="AD90" i="26" s="1"/>
  <c r="AC163" i="26"/>
  <c r="AC90" i="26" s="1"/>
  <c r="AB163" i="26"/>
  <c r="AB90" i="26" s="1"/>
  <c r="AA163" i="26"/>
  <c r="Z163" i="26"/>
  <c r="Z90" i="26" s="1"/>
  <c r="Y163" i="26"/>
  <c r="Y90" i="26" s="1"/>
  <c r="X163" i="26"/>
  <c r="W163" i="26"/>
  <c r="W90" i="26" s="1"/>
  <c r="V163" i="26"/>
  <c r="V90" i="26" s="1"/>
  <c r="AO162" i="26"/>
  <c r="AN162" i="26"/>
  <c r="AM162" i="26"/>
  <c r="AL162" i="26"/>
  <c r="X89" i="26" s="1"/>
  <c r="AK162" i="26"/>
  <c r="AJ162" i="26"/>
  <c r="AI162" i="26"/>
  <c r="AH162" i="26"/>
  <c r="AG162" i="26"/>
  <c r="AF162" i="26"/>
  <c r="AE162" i="26"/>
  <c r="AD162" i="26"/>
  <c r="AD89" i="26" s="1"/>
  <c r="AC162" i="26"/>
  <c r="AC89" i="26" s="1"/>
  <c r="AB162" i="26"/>
  <c r="AB89" i="26" s="1"/>
  <c r="AA162" i="26"/>
  <c r="AA89" i="26" s="1"/>
  <c r="Z162" i="26"/>
  <c r="Z89" i="26" s="1"/>
  <c r="Y162" i="26"/>
  <c r="Y89" i="26" s="1"/>
  <c r="X162" i="26"/>
  <c r="W162" i="26"/>
  <c r="W89" i="26" s="1"/>
  <c r="V162" i="26"/>
  <c r="V89" i="26" s="1"/>
  <c r="AO161" i="26"/>
  <c r="AN161" i="26"/>
  <c r="AM161" i="26"/>
  <c r="AL161" i="26"/>
  <c r="X88" i="26" s="1"/>
  <c r="AK161" i="26"/>
  <c r="AJ161" i="26"/>
  <c r="AI161" i="26"/>
  <c r="AH161" i="26"/>
  <c r="AG161" i="26"/>
  <c r="AF161" i="26"/>
  <c r="AE161" i="26"/>
  <c r="AD161" i="26"/>
  <c r="AD88" i="26" s="1"/>
  <c r="AC161" i="26"/>
  <c r="AC88" i="26" s="1"/>
  <c r="AB161" i="26"/>
  <c r="AB88" i="26" s="1"/>
  <c r="AA161" i="26"/>
  <c r="AA88" i="26" s="1"/>
  <c r="Z161" i="26"/>
  <c r="Z88" i="26" s="1"/>
  <c r="Y161" i="26"/>
  <c r="Y88" i="26" s="1"/>
  <c r="X161" i="26"/>
  <c r="W161" i="26"/>
  <c r="W88" i="26" s="1"/>
  <c r="V161" i="26"/>
  <c r="V88" i="26" s="1"/>
  <c r="AO160" i="26"/>
  <c r="AN160" i="26"/>
  <c r="AM160" i="26"/>
  <c r="AL160" i="26"/>
  <c r="X87" i="26" s="1"/>
  <c r="AK160" i="26"/>
  <c r="AJ160" i="26"/>
  <c r="AI160" i="26"/>
  <c r="AH160" i="26"/>
  <c r="AG160" i="26"/>
  <c r="AF160" i="26"/>
  <c r="AE160" i="26"/>
  <c r="AD160" i="26"/>
  <c r="AD87" i="26" s="1"/>
  <c r="AC160" i="26"/>
  <c r="AC87" i="26" s="1"/>
  <c r="AB160" i="26"/>
  <c r="AB87" i="26" s="1"/>
  <c r="AA160" i="26"/>
  <c r="AA87" i="26" s="1"/>
  <c r="Z160" i="26"/>
  <c r="Z87" i="26" s="1"/>
  <c r="Y160" i="26"/>
  <c r="X160" i="26"/>
  <c r="W160" i="26"/>
  <c r="W87" i="26" s="1"/>
  <c r="V160" i="26"/>
  <c r="V87" i="26" s="1"/>
  <c r="AO159" i="26"/>
  <c r="AN159" i="26"/>
  <c r="AM159" i="26"/>
  <c r="AL159" i="26"/>
  <c r="AK159" i="26"/>
  <c r="AJ159" i="26"/>
  <c r="AI159" i="26"/>
  <c r="AH159" i="26"/>
  <c r="AG159" i="26"/>
  <c r="AF159" i="26"/>
  <c r="AE159" i="26"/>
  <c r="AD159" i="26"/>
  <c r="AC159" i="26"/>
  <c r="AB159" i="26"/>
  <c r="AA159" i="26"/>
  <c r="Z159" i="26"/>
  <c r="Y159" i="26"/>
  <c r="X159" i="26"/>
  <c r="W159" i="26"/>
  <c r="V159" i="26"/>
  <c r="AO158" i="26"/>
  <c r="AN158" i="26"/>
  <c r="AM158" i="26"/>
  <c r="AL158" i="26"/>
  <c r="AK158" i="26"/>
  <c r="AJ158" i="26"/>
  <c r="AI158" i="26"/>
  <c r="AH158" i="26"/>
  <c r="AG158" i="26"/>
  <c r="AF158" i="26"/>
  <c r="AE158" i="26"/>
  <c r="AD158" i="26"/>
  <c r="AC158" i="26"/>
  <c r="AB158" i="26"/>
  <c r="AA158" i="26"/>
  <c r="Z158" i="26"/>
  <c r="Y158" i="26"/>
  <c r="X158" i="26"/>
  <c r="W158" i="26"/>
  <c r="V158" i="26"/>
  <c r="AO157" i="26"/>
  <c r="AN157" i="26"/>
  <c r="AM157" i="26"/>
  <c r="AL157" i="26"/>
  <c r="AK157" i="26"/>
  <c r="AJ157" i="26"/>
  <c r="AI157" i="26"/>
  <c r="AH157" i="26"/>
  <c r="AG157" i="26"/>
  <c r="AF157" i="26"/>
  <c r="AE157" i="26"/>
  <c r="AD157" i="26"/>
  <c r="AC157" i="26"/>
  <c r="AB157" i="26"/>
  <c r="AA157" i="26"/>
  <c r="Z157" i="26"/>
  <c r="Y157" i="26"/>
  <c r="X157" i="26"/>
  <c r="W157" i="26"/>
  <c r="V157" i="26"/>
  <c r="AO156" i="26"/>
  <c r="AN156" i="26"/>
  <c r="AM156" i="26"/>
  <c r="AL156" i="26"/>
  <c r="AK156" i="26"/>
  <c r="AJ156" i="26"/>
  <c r="AI156" i="26"/>
  <c r="AH156" i="26"/>
  <c r="AG156" i="26"/>
  <c r="AF156" i="26"/>
  <c r="AE156" i="26"/>
  <c r="AD156" i="26"/>
  <c r="AC156" i="26"/>
  <c r="AB156" i="26"/>
  <c r="AA156" i="26"/>
  <c r="Z156" i="26"/>
  <c r="Y156" i="26"/>
  <c r="X156" i="26"/>
  <c r="W156" i="26"/>
  <c r="V156" i="26"/>
  <c r="AO155" i="26"/>
  <c r="AN155" i="26"/>
  <c r="AM155" i="26"/>
  <c r="AL155" i="26"/>
  <c r="AK155" i="26"/>
  <c r="AJ155" i="26"/>
  <c r="AI155" i="26"/>
  <c r="AH155" i="26"/>
  <c r="AG155" i="26"/>
  <c r="AF155" i="26"/>
  <c r="AE155" i="26"/>
  <c r="AD155" i="26"/>
  <c r="AC155" i="26"/>
  <c r="AB155" i="26"/>
  <c r="AA155" i="26"/>
  <c r="Z155" i="26"/>
  <c r="Y155" i="26"/>
  <c r="X155" i="26"/>
  <c r="W155" i="26"/>
  <c r="V155" i="26"/>
  <c r="AO154" i="26"/>
  <c r="AN154" i="26"/>
  <c r="AM154" i="26"/>
  <c r="AL154" i="26"/>
  <c r="AK154" i="26"/>
  <c r="AJ154" i="26"/>
  <c r="AI154" i="26"/>
  <c r="AH154" i="26"/>
  <c r="AG154" i="26"/>
  <c r="AF154" i="26"/>
  <c r="AE154" i="26"/>
  <c r="AD154" i="26"/>
  <c r="AC154" i="26"/>
  <c r="AB154" i="26"/>
  <c r="AA154" i="26"/>
  <c r="Z154" i="26"/>
  <c r="Y154" i="26"/>
  <c r="X154" i="26"/>
  <c r="W154" i="26"/>
  <c r="V154" i="26"/>
  <c r="AO153" i="26"/>
  <c r="AN153" i="26"/>
  <c r="AM153" i="26"/>
  <c r="AL153" i="26"/>
  <c r="AK153" i="26"/>
  <c r="AJ153" i="26"/>
  <c r="AI153" i="26"/>
  <c r="AH153" i="26"/>
  <c r="AG153" i="26"/>
  <c r="AF153" i="26"/>
  <c r="AE153" i="26"/>
  <c r="AD153" i="26"/>
  <c r="AC153" i="26"/>
  <c r="AB153" i="26"/>
  <c r="AA153" i="26"/>
  <c r="Z153" i="26"/>
  <c r="Y153" i="26"/>
  <c r="X153" i="26"/>
  <c r="W153" i="26"/>
  <c r="V153" i="26"/>
  <c r="AO152" i="26"/>
  <c r="AN152" i="26"/>
  <c r="AM152" i="26"/>
  <c r="AL152" i="26"/>
  <c r="AK152" i="26"/>
  <c r="AJ152" i="26"/>
  <c r="AI152" i="26"/>
  <c r="AH152" i="26"/>
  <c r="AG152" i="26"/>
  <c r="AF152" i="26"/>
  <c r="AE152" i="26"/>
  <c r="AD152" i="26"/>
  <c r="AC152" i="26"/>
  <c r="AB152" i="26"/>
  <c r="AA152" i="26"/>
  <c r="Z152" i="26"/>
  <c r="Y152" i="26"/>
  <c r="X152" i="26"/>
  <c r="W152" i="26"/>
  <c r="V152" i="26"/>
  <c r="AO151" i="26"/>
  <c r="AN151" i="26"/>
  <c r="AM151" i="26"/>
  <c r="AL151" i="26"/>
  <c r="AK151" i="26"/>
  <c r="AJ151" i="26"/>
  <c r="AI151" i="26"/>
  <c r="AH151" i="26"/>
  <c r="AG151" i="26"/>
  <c r="AF151" i="26"/>
  <c r="AE151" i="26"/>
  <c r="AD151" i="26"/>
  <c r="AC151" i="26"/>
  <c r="AB151" i="26"/>
  <c r="AA151" i="26"/>
  <c r="Z151" i="26"/>
  <c r="Y151" i="26"/>
  <c r="X151" i="26"/>
  <c r="W151" i="26"/>
  <c r="V151" i="26"/>
  <c r="AO150" i="26"/>
  <c r="AN150" i="26"/>
  <c r="AM150" i="26"/>
  <c r="AL150" i="26"/>
  <c r="AK150" i="26"/>
  <c r="AJ150" i="26"/>
  <c r="AI150" i="26"/>
  <c r="AH150" i="26"/>
  <c r="AG150" i="26"/>
  <c r="AF150" i="26"/>
  <c r="AE150" i="26"/>
  <c r="AD150" i="26"/>
  <c r="AC150" i="26"/>
  <c r="AB150" i="26"/>
  <c r="AA150" i="26"/>
  <c r="Z150" i="26"/>
  <c r="Y150" i="26"/>
  <c r="X150" i="26"/>
  <c r="W150" i="26"/>
  <c r="V150" i="26"/>
  <c r="AO149" i="26"/>
  <c r="AN149" i="26"/>
  <c r="AM149" i="26"/>
  <c r="AL149" i="26"/>
  <c r="AK149" i="26"/>
  <c r="AJ149" i="26"/>
  <c r="AI149" i="26"/>
  <c r="AH149" i="26"/>
  <c r="AG149" i="26"/>
  <c r="AF149" i="26"/>
  <c r="AE149" i="26"/>
  <c r="AD149" i="26"/>
  <c r="AC149" i="26"/>
  <c r="AB149" i="26"/>
  <c r="AA149" i="26"/>
  <c r="Z149" i="26"/>
  <c r="Y149" i="26"/>
  <c r="X149" i="26"/>
  <c r="W149" i="26"/>
  <c r="V149" i="26"/>
  <c r="AO148" i="26"/>
  <c r="AN148" i="26"/>
  <c r="AM148" i="26"/>
  <c r="AL148" i="26"/>
  <c r="AK148" i="26"/>
  <c r="AJ148" i="26"/>
  <c r="AI148" i="26"/>
  <c r="AH148" i="26"/>
  <c r="AG148" i="26"/>
  <c r="AF148" i="26"/>
  <c r="AE148" i="26"/>
  <c r="AD148" i="26"/>
  <c r="AC148" i="26"/>
  <c r="AB148" i="26"/>
  <c r="AA148" i="26"/>
  <c r="Z148" i="26"/>
  <c r="Y148" i="26"/>
  <c r="X148" i="26"/>
  <c r="W148" i="26"/>
  <c r="V148" i="26"/>
  <c r="AO147" i="26"/>
  <c r="AN147" i="26"/>
  <c r="AM147" i="26"/>
  <c r="AL147" i="26"/>
  <c r="AK147" i="26"/>
  <c r="AJ147" i="26"/>
  <c r="AI147" i="26"/>
  <c r="AH147" i="26"/>
  <c r="AG147" i="26"/>
  <c r="AF147" i="26"/>
  <c r="AE147" i="26"/>
  <c r="AD147" i="26"/>
  <c r="AC147" i="26"/>
  <c r="AB147" i="26"/>
  <c r="AA147" i="26"/>
  <c r="Z147" i="26"/>
  <c r="Y147" i="26"/>
  <c r="X147" i="26"/>
  <c r="W147" i="26"/>
  <c r="V147" i="26"/>
  <c r="AO146" i="26"/>
  <c r="AN146" i="26"/>
  <c r="AM146" i="26"/>
  <c r="AL146" i="26"/>
  <c r="AK146" i="26"/>
  <c r="AJ146" i="26"/>
  <c r="AI146" i="26"/>
  <c r="AH146" i="26"/>
  <c r="AG146" i="26"/>
  <c r="AF146" i="26"/>
  <c r="AE146" i="26"/>
  <c r="AD146" i="26"/>
  <c r="AC146" i="26"/>
  <c r="AB146" i="26"/>
  <c r="AA146" i="26"/>
  <c r="Z146" i="26"/>
  <c r="Y146" i="26"/>
  <c r="X146" i="26"/>
  <c r="W146" i="26"/>
  <c r="V146" i="26"/>
  <c r="AO145" i="26"/>
  <c r="AN145" i="26"/>
  <c r="AM145" i="26"/>
  <c r="AL145" i="26"/>
  <c r="AK145" i="26"/>
  <c r="AJ145" i="26"/>
  <c r="AI145" i="26"/>
  <c r="AH145" i="26"/>
  <c r="AG145" i="26"/>
  <c r="AF145" i="26"/>
  <c r="AE145" i="26"/>
  <c r="AD145" i="26"/>
  <c r="AC145" i="26"/>
  <c r="AB145" i="26"/>
  <c r="AA145" i="26"/>
  <c r="Z145" i="26"/>
  <c r="Y145" i="26"/>
  <c r="X145" i="26"/>
  <c r="W145" i="26"/>
  <c r="V145" i="26"/>
  <c r="AO144" i="26"/>
  <c r="AN144" i="26"/>
  <c r="AM144" i="26"/>
  <c r="AL144" i="26"/>
  <c r="AK144" i="26"/>
  <c r="AJ144" i="26"/>
  <c r="AI144" i="26"/>
  <c r="AH144" i="26"/>
  <c r="AG144" i="26"/>
  <c r="AF144" i="26"/>
  <c r="AE144" i="26"/>
  <c r="AD144" i="26"/>
  <c r="AC144" i="26"/>
  <c r="AB144" i="26"/>
  <c r="AA144" i="26"/>
  <c r="Z144" i="26"/>
  <c r="Y144" i="26"/>
  <c r="X144" i="26"/>
  <c r="W144" i="26"/>
  <c r="V144" i="26"/>
  <c r="AO143" i="26"/>
  <c r="AN143" i="26"/>
  <c r="AM143" i="26"/>
  <c r="AL143" i="26"/>
  <c r="AK143" i="26"/>
  <c r="AJ143" i="26"/>
  <c r="AI143" i="26"/>
  <c r="AH143" i="26"/>
  <c r="AG143" i="26"/>
  <c r="AF143" i="26"/>
  <c r="AE143" i="26"/>
  <c r="AD143" i="26"/>
  <c r="AC143" i="26"/>
  <c r="AB143" i="26"/>
  <c r="AA143" i="26"/>
  <c r="Z143" i="26"/>
  <c r="Y143" i="26"/>
  <c r="X143" i="26"/>
  <c r="W143" i="26"/>
  <c r="V143" i="26"/>
  <c r="AO142" i="26"/>
  <c r="AN142" i="26"/>
  <c r="AM142" i="26"/>
  <c r="AL142" i="26"/>
  <c r="AK142" i="26"/>
  <c r="AJ142" i="26"/>
  <c r="AI142" i="26"/>
  <c r="AH142" i="26"/>
  <c r="AG142" i="26"/>
  <c r="AF142" i="26"/>
  <c r="AE142" i="26"/>
  <c r="AD142" i="26"/>
  <c r="AC142" i="26"/>
  <c r="AB142" i="26"/>
  <c r="AA142" i="26"/>
  <c r="Z142" i="26"/>
  <c r="Y142" i="26"/>
  <c r="X142" i="26"/>
  <c r="W142" i="26"/>
  <c r="V142" i="26"/>
  <c r="AO141" i="26"/>
  <c r="AN141" i="26"/>
  <c r="AM141" i="26"/>
  <c r="AL141" i="26"/>
  <c r="AK141" i="26"/>
  <c r="AJ141" i="26"/>
  <c r="AI141" i="26"/>
  <c r="AH141" i="26"/>
  <c r="AG141" i="26"/>
  <c r="AF141" i="26"/>
  <c r="AE141" i="26"/>
  <c r="AD141" i="26"/>
  <c r="AC141" i="26"/>
  <c r="AB141" i="26"/>
  <c r="AA141" i="26"/>
  <c r="Z141" i="26"/>
  <c r="Y141" i="26"/>
  <c r="X141" i="26"/>
  <c r="W141" i="26"/>
  <c r="V141" i="26"/>
  <c r="AO140" i="26"/>
  <c r="AN140" i="26"/>
  <c r="AM140" i="26"/>
  <c r="AL140" i="26"/>
  <c r="AK140" i="26"/>
  <c r="AJ140" i="26"/>
  <c r="AI140" i="26"/>
  <c r="AH140" i="26"/>
  <c r="AG140" i="26"/>
  <c r="AF140" i="26"/>
  <c r="AE140" i="26"/>
  <c r="AD140" i="26"/>
  <c r="AC140" i="26"/>
  <c r="AB140" i="26"/>
  <c r="AA140" i="26"/>
  <c r="Z140" i="26"/>
  <c r="Y140" i="26"/>
  <c r="X140" i="26"/>
  <c r="W140" i="26"/>
  <c r="V140" i="26"/>
  <c r="AO139" i="26"/>
  <c r="AN139" i="26"/>
  <c r="AM139" i="26"/>
  <c r="AL139" i="26"/>
  <c r="AK139" i="26"/>
  <c r="AJ139" i="26"/>
  <c r="AI139" i="26"/>
  <c r="AH139" i="26"/>
  <c r="AG139" i="26"/>
  <c r="AF139" i="26"/>
  <c r="AE139" i="26"/>
  <c r="AD139" i="26"/>
  <c r="AC139" i="26"/>
  <c r="AB139" i="26"/>
  <c r="AA139" i="26"/>
  <c r="Z139" i="26"/>
  <c r="Y139" i="26"/>
  <c r="X139" i="26"/>
  <c r="W139" i="26"/>
  <c r="V139" i="26"/>
  <c r="AO138" i="26"/>
  <c r="AN138" i="26"/>
  <c r="AM138" i="26"/>
  <c r="AL138" i="26"/>
  <c r="AK138" i="26"/>
  <c r="AJ138" i="26"/>
  <c r="AI138" i="26"/>
  <c r="AH138" i="26"/>
  <c r="AG138" i="26"/>
  <c r="AF138" i="26"/>
  <c r="AE138" i="26"/>
  <c r="AD138" i="26"/>
  <c r="AC138" i="26"/>
  <c r="AB138" i="26"/>
  <c r="AA138" i="26"/>
  <c r="Z138" i="26"/>
  <c r="Y138" i="26"/>
  <c r="X138" i="26"/>
  <c r="W138" i="26"/>
  <c r="V138" i="26"/>
  <c r="AO137" i="26"/>
  <c r="AN137" i="26"/>
  <c r="AM137" i="26"/>
  <c r="AL137" i="26"/>
  <c r="AK137" i="26"/>
  <c r="AJ137" i="26"/>
  <c r="AI137" i="26"/>
  <c r="AH137" i="26"/>
  <c r="AG137" i="26"/>
  <c r="AF137" i="26"/>
  <c r="AE137" i="26"/>
  <c r="AD137" i="26"/>
  <c r="AC137" i="26"/>
  <c r="AB137" i="26"/>
  <c r="AA137" i="26"/>
  <c r="Z137" i="26"/>
  <c r="Y137" i="26"/>
  <c r="X137" i="26"/>
  <c r="W137" i="26"/>
  <c r="V137" i="26"/>
  <c r="AO136" i="26"/>
  <c r="AN136" i="26"/>
  <c r="AM136" i="26"/>
  <c r="AL136" i="26"/>
  <c r="AK136" i="26"/>
  <c r="AJ136" i="26"/>
  <c r="AI136" i="26"/>
  <c r="AH136" i="26"/>
  <c r="AG136" i="26"/>
  <c r="AF136" i="26"/>
  <c r="AE136" i="26"/>
  <c r="AD136" i="26"/>
  <c r="AC136" i="26"/>
  <c r="AB136" i="26"/>
  <c r="AA136" i="26"/>
  <c r="Z136" i="26"/>
  <c r="Y136" i="26"/>
  <c r="X136" i="26"/>
  <c r="W136" i="26"/>
  <c r="V136" i="26"/>
  <c r="AO135" i="26"/>
  <c r="AN135" i="26"/>
  <c r="AM135" i="26"/>
  <c r="AL135" i="26"/>
  <c r="AK135" i="26"/>
  <c r="AJ135" i="26"/>
  <c r="AI135" i="26"/>
  <c r="AH135" i="26"/>
  <c r="AG135" i="26"/>
  <c r="AF135" i="26"/>
  <c r="AE135" i="26"/>
  <c r="AD135" i="26"/>
  <c r="AC135" i="26"/>
  <c r="AB135" i="26"/>
  <c r="AA135" i="26"/>
  <c r="Z135" i="26"/>
  <c r="Y135" i="26"/>
  <c r="X135" i="26"/>
  <c r="W135" i="26"/>
  <c r="V135" i="26"/>
  <c r="AO134" i="26"/>
  <c r="AN134" i="26"/>
  <c r="AM134" i="26"/>
  <c r="AL134" i="26"/>
  <c r="AK134" i="26"/>
  <c r="AJ134" i="26"/>
  <c r="AI134" i="26"/>
  <c r="AH134" i="26"/>
  <c r="AG134" i="26"/>
  <c r="AF134" i="26"/>
  <c r="AE134" i="26"/>
  <c r="AD134" i="26"/>
  <c r="AC134" i="26"/>
  <c r="AB134" i="26"/>
  <c r="AA134" i="26"/>
  <c r="Z134" i="26"/>
  <c r="Y134" i="26"/>
  <c r="X134" i="26"/>
  <c r="W134" i="26"/>
  <c r="V134" i="26"/>
  <c r="AO133" i="26"/>
  <c r="AN133" i="26"/>
  <c r="AM133" i="26"/>
  <c r="AL133" i="26"/>
  <c r="AK133" i="26"/>
  <c r="AJ133" i="26"/>
  <c r="AI133" i="26"/>
  <c r="AH133" i="26"/>
  <c r="AG133" i="26"/>
  <c r="AF133" i="26"/>
  <c r="AE133" i="26"/>
  <c r="AD133" i="26"/>
  <c r="AC133" i="26"/>
  <c r="AB133" i="26"/>
  <c r="AA133" i="26"/>
  <c r="Z133" i="26"/>
  <c r="Y133" i="26"/>
  <c r="X133" i="26"/>
  <c r="W133" i="26"/>
  <c r="V133" i="26"/>
  <c r="AO132" i="26"/>
  <c r="AN132" i="26"/>
  <c r="AM132" i="26"/>
  <c r="AL132" i="26"/>
  <c r="AK132" i="26"/>
  <c r="AJ132" i="26"/>
  <c r="AI132" i="26"/>
  <c r="AH132" i="26"/>
  <c r="AG132" i="26"/>
  <c r="AF132" i="26"/>
  <c r="AE132" i="26"/>
  <c r="AD132" i="26"/>
  <c r="AC132" i="26"/>
  <c r="AB132" i="26"/>
  <c r="AA132" i="26"/>
  <c r="Z132" i="26"/>
  <c r="Y132" i="26"/>
  <c r="X132" i="26"/>
  <c r="W132" i="26"/>
  <c r="V132" i="26"/>
  <c r="AO131" i="26"/>
  <c r="AN131" i="26"/>
  <c r="AM131" i="26"/>
  <c r="AL131" i="26"/>
  <c r="AK131" i="26"/>
  <c r="AJ131" i="26"/>
  <c r="AI131" i="26"/>
  <c r="AH131" i="26"/>
  <c r="AG131" i="26"/>
  <c r="AF131" i="26"/>
  <c r="AE131" i="26"/>
  <c r="AD131" i="26"/>
  <c r="AC131" i="26"/>
  <c r="AB131" i="26"/>
  <c r="AA131" i="26"/>
  <c r="Z131" i="26"/>
  <c r="Y131" i="26"/>
  <c r="X131" i="26"/>
  <c r="W131" i="26"/>
  <c r="V131" i="26"/>
  <c r="AO130" i="26"/>
  <c r="AN130" i="26"/>
  <c r="AM130" i="26"/>
  <c r="AL130" i="26"/>
  <c r="AK130" i="26"/>
  <c r="AJ130" i="26"/>
  <c r="AI130" i="26"/>
  <c r="AH130" i="26"/>
  <c r="AG130" i="26"/>
  <c r="AF130" i="26"/>
  <c r="AE130" i="26"/>
  <c r="AD130" i="26"/>
  <c r="AC130" i="26"/>
  <c r="AB130" i="26"/>
  <c r="AA130" i="26"/>
  <c r="Z130" i="26"/>
  <c r="Y130" i="26"/>
  <c r="X130" i="26"/>
  <c r="W130" i="26"/>
  <c r="V130" i="26"/>
  <c r="AO129" i="26"/>
  <c r="AN129" i="26"/>
  <c r="AM129" i="26"/>
  <c r="AL129" i="26"/>
  <c r="AK129" i="26"/>
  <c r="AJ129" i="26"/>
  <c r="AI129" i="26"/>
  <c r="AH129" i="26"/>
  <c r="AG129" i="26"/>
  <c r="AF129" i="26"/>
  <c r="AE129" i="26"/>
  <c r="AD129" i="26"/>
  <c r="AC129" i="26"/>
  <c r="AB129" i="26"/>
  <c r="AA129" i="26"/>
  <c r="Z129" i="26"/>
  <c r="Y129" i="26"/>
  <c r="X129" i="26"/>
  <c r="W129" i="26"/>
  <c r="V129" i="26"/>
  <c r="AO128" i="26"/>
  <c r="AN128" i="26"/>
  <c r="AM128" i="26"/>
  <c r="AL128" i="26"/>
  <c r="AK128" i="26"/>
  <c r="AJ128" i="26"/>
  <c r="AI128" i="26"/>
  <c r="AH128" i="26"/>
  <c r="AG128" i="26"/>
  <c r="AF128" i="26"/>
  <c r="AE128" i="26"/>
  <c r="AD128" i="26"/>
  <c r="AC128" i="26"/>
  <c r="AB128" i="26"/>
  <c r="AA128" i="26"/>
  <c r="Z128" i="26"/>
  <c r="Y128" i="26"/>
  <c r="X128" i="26"/>
  <c r="W128" i="26"/>
  <c r="V128" i="26"/>
  <c r="AO127" i="26"/>
  <c r="AN127" i="26"/>
  <c r="AM127" i="26"/>
  <c r="AL127" i="26"/>
  <c r="AK127" i="26"/>
  <c r="AJ127" i="26"/>
  <c r="AI127" i="26"/>
  <c r="AH127" i="26"/>
  <c r="AG127" i="26"/>
  <c r="AF127" i="26"/>
  <c r="AE127" i="26"/>
  <c r="AD127" i="26"/>
  <c r="AC127" i="26"/>
  <c r="AB127" i="26"/>
  <c r="AA127" i="26"/>
  <c r="Z127" i="26"/>
  <c r="Y127" i="26"/>
  <c r="X127" i="26"/>
  <c r="W127" i="26"/>
  <c r="V127" i="26"/>
  <c r="AO126" i="26"/>
  <c r="AN126" i="26"/>
  <c r="AM126" i="26"/>
  <c r="AL126" i="26"/>
  <c r="AK126" i="26"/>
  <c r="AJ126" i="26"/>
  <c r="AI126" i="26"/>
  <c r="AH126" i="26"/>
  <c r="AG126" i="26"/>
  <c r="AF126" i="26"/>
  <c r="AE126" i="26"/>
  <c r="AD126" i="26"/>
  <c r="AC126" i="26"/>
  <c r="AB126" i="26"/>
  <c r="AA126" i="26"/>
  <c r="Z126" i="26"/>
  <c r="Y126" i="26"/>
  <c r="X126" i="26"/>
  <c r="W126" i="26"/>
  <c r="V126" i="26"/>
  <c r="AO125" i="26"/>
  <c r="AN125" i="26"/>
  <c r="AM125" i="26"/>
  <c r="AL125" i="26"/>
  <c r="AK125" i="26"/>
  <c r="AJ125" i="26"/>
  <c r="AI125" i="26"/>
  <c r="AH125" i="26"/>
  <c r="AG125" i="26"/>
  <c r="AF125" i="26"/>
  <c r="AE125" i="26"/>
  <c r="AD125" i="26"/>
  <c r="AC125" i="26"/>
  <c r="AB125" i="26"/>
  <c r="AA125" i="26"/>
  <c r="Z125" i="26"/>
  <c r="Y125" i="26"/>
  <c r="X125" i="26"/>
  <c r="W125" i="26"/>
  <c r="V125" i="26"/>
  <c r="AO124" i="26"/>
  <c r="AN124" i="26"/>
  <c r="AM124" i="26"/>
  <c r="AL124" i="26"/>
  <c r="AK124" i="26"/>
  <c r="AJ124" i="26"/>
  <c r="AI124" i="26"/>
  <c r="AH124" i="26"/>
  <c r="AG124" i="26"/>
  <c r="AF124" i="26"/>
  <c r="AE124" i="26"/>
  <c r="AD124" i="26"/>
  <c r="AC124" i="26"/>
  <c r="AB124" i="26"/>
  <c r="AA124" i="26"/>
  <c r="Z124" i="26"/>
  <c r="Y124" i="26"/>
  <c r="X124" i="26"/>
  <c r="W124" i="26"/>
  <c r="V124" i="26"/>
  <c r="AO123" i="26"/>
  <c r="AN123" i="26"/>
  <c r="AM123" i="26"/>
  <c r="AL123" i="26"/>
  <c r="AK123" i="26"/>
  <c r="AJ123" i="26"/>
  <c r="AI123" i="26"/>
  <c r="AH123" i="26"/>
  <c r="AG123" i="26"/>
  <c r="AF123" i="26"/>
  <c r="AE123" i="26"/>
  <c r="AD123" i="26"/>
  <c r="AC123" i="26"/>
  <c r="AB123" i="26"/>
  <c r="AA123" i="26"/>
  <c r="Z123" i="26"/>
  <c r="Y123" i="26"/>
  <c r="X123" i="26"/>
  <c r="W123" i="26"/>
  <c r="V123" i="26"/>
  <c r="AO122" i="26"/>
  <c r="AN122" i="26"/>
  <c r="AM122" i="26"/>
  <c r="AL122" i="26"/>
  <c r="AK122" i="26"/>
  <c r="AJ122" i="26"/>
  <c r="AI122" i="26"/>
  <c r="AH122" i="26"/>
  <c r="AG122" i="26"/>
  <c r="AF122" i="26"/>
  <c r="AE122" i="26"/>
  <c r="AD122" i="26"/>
  <c r="AC122" i="26"/>
  <c r="AB122" i="26"/>
  <c r="AA122" i="26"/>
  <c r="Z122" i="26"/>
  <c r="Y122" i="26"/>
  <c r="X122" i="26"/>
  <c r="W122" i="26"/>
  <c r="V122" i="26"/>
  <c r="AO121" i="26"/>
  <c r="AN121" i="26"/>
  <c r="AM121" i="26"/>
  <c r="AL121" i="26"/>
  <c r="AK121" i="26"/>
  <c r="AJ121" i="26"/>
  <c r="AI121" i="26"/>
  <c r="AH121" i="26"/>
  <c r="AG121" i="26"/>
  <c r="AF121" i="26"/>
  <c r="AE121" i="26"/>
  <c r="AD121" i="26"/>
  <c r="AC121" i="26"/>
  <c r="AB121" i="26"/>
  <c r="AA121" i="26"/>
  <c r="Z121" i="26"/>
  <c r="Y121" i="26"/>
  <c r="X121" i="26"/>
  <c r="W121" i="26"/>
  <c r="V121" i="26"/>
  <c r="AO120" i="26"/>
  <c r="AN120" i="26"/>
  <c r="AM120" i="26"/>
  <c r="AL120" i="26"/>
  <c r="AK120" i="26"/>
  <c r="AJ120" i="26"/>
  <c r="AI120" i="26"/>
  <c r="AH120" i="26"/>
  <c r="AG120" i="26"/>
  <c r="AF120" i="26"/>
  <c r="AE120" i="26"/>
  <c r="AD120" i="26"/>
  <c r="AC120" i="26"/>
  <c r="AB120" i="26"/>
  <c r="AA120" i="26"/>
  <c r="Z120" i="26"/>
  <c r="Y120" i="26"/>
  <c r="X120" i="26"/>
  <c r="W120" i="26"/>
  <c r="V120" i="26"/>
  <c r="AO119" i="26"/>
  <c r="AN119" i="26"/>
  <c r="AM119" i="26"/>
  <c r="AL119" i="26"/>
  <c r="AK119" i="26"/>
  <c r="AJ119" i="26"/>
  <c r="AI119" i="26"/>
  <c r="AH119" i="26"/>
  <c r="AG119" i="26"/>
  <c r="AF119" i="26"/>
  <c r="AE119" i="26"/>
  <c r="AD119" i="26"/>
  <c r="AC119" i="26"/>
  <c r="AB119" i="26"/>
  <c r="AA119" i="26"/>
  <c r="Z119" i="26"/>
  <c r="Y119" i="26"/>
  <c r="X119" i="26"/>
  <c r="W119" i="26"/>
  <c r="V119" i="26"/>
  <c r="AO118" i="26"/>
  <c r="AN118" i="26"/>
  <c r="AM118" i="26"/>
  <c r="AL118" i="26"/>
  <c r="AK118" i="26"/>
  <c r="AJ118" i="26"/>
  <c r="AI118" i="26"/>
  <c r="AH118" i="26"/>
  <c r="AG118" i="26"/>
  <c r="AF118" i="26"/>
  <c r="AE118" i="26"/>
  <c r="AD118" i="26"/>
  <c r="AC118" i="26"/>
  <c r="AB118" i="26"/>
  <c r="AA118" i="26"/>
  <c r="Z118" i="26"/>
  <c r="Y118" i="26"/>
  <c r="X118" i="26"/>
  <c r="W118" i="26"/>
  <c r="V118" i="26"/>
  <c r="AO117" i="26"/>
  <c r="AN117" i="26"/>
  <c r="AM117" i="26"/>
  <c r="AL117" i="26"/>
  <c r="AK117" i="26"/>
  <c r="AJ117" i="26"/>
  <c r="AI117" i="26"/>
  <c r="AH117" i="26"/>
  <c r="AG117" i="26"/>
  <c r="AF117" i="26"/>
  <c r="AE117" i="26"/>
  <c r="AD117" i="26"/>
  <c r="AC117" i="26"/>
  <c r="AB117" i="26"/>
  <c r="AA117" i="26"/>
  <c r="Z117" i="26"/>
  <c r="Y117" i="26"/>
  <c r="X117" i="26"/>
  <c r="W117" i="26"/>
  <c r="V117" i="26"/>
  <c r="AO116" i="26"/>
  <c r="AN116" i="26"/>
  <c r="AM116" i="26"/>
  <c r="AL116" i="26"/>
  <c r="AK116" i="26"/>
  <c r="AJ116" i="26"/>
  <c r="AI116" i="26"/>
  <c r="AH116" i="26"/>
  <c r="AG116" i="26"/>
  <c r="AF116" i="26"/>
  <c r="AE116" i="26"/>
  <c r="AD116" i="26"/>
  <c r="AC116" i="26"/>
  <c r="AB116" i="26"/>
  <c r="AA116" i="26"/>
  <c r="Z116" i="26"/>
  <c r="Y116" i="26"/>
  <c r="X116" i="26"/>
  <c r="W116" i="26"/>
  <c r="V116" i="26"/>
  <c r="AO115" i="26"/>
  <c r="AN115" i="26"/>
  <c r="AM115" i="26"/>
  <c r="AL115" i="26"/>
  <c r="AK115" i="26"/>
  <c r="AJ115" i="26"/>
  <c r="AI115" i="26"/>
  <c r="AH115" i="26"/>
  <c r="AG115" i="26"/>
  <c r="AF115" i="26"/>
  <c r="AE115" i="26"/>
  <c r="AD115" i="26"/>
  <c r="AC115" i="26"/>
  <c r="AB115" i="26"/>
  <c r="AA115" i="26"/>
  <c r="Z115" i="26"/>
  <c r="Y115" i="26"/>
  <c r="X115" i="26"/>
  <c r="W115" i="26"/>
  <c r="V115" i="26"/>
  <c r="AO114" i="26"/>
  <c r="AN114" i="26"/>
  <c r="AM114" i="26"/>
  <c r="AL114" i="26"/>
  <c r="AK114" i="26"/>
  <c r="AJ114" i="26"/>
  <c r="AI114" i="26"/>
  <c r="AH114" i="26"/>
  <c r="AG114" i="26"/>
  <c r="AF114" i="26"/>
  <c r="AE114" i="26"/>
  <c r="AD114" i="26"/>
  <c r="AC114" i="26"/>
  <c r="AB114" i="26"/>
  <c r="AA114" i="26"/>
  <c r="Z114" i="26"/>
  <c r="Y114" i="26"/>
  <c r="X114" i="26"/>
  <c r="W114" i="26"/>
  <c r="V114" i="26"/>
  <c r="AO113" i="26"/>
  <c r="AN113" i="26"/>
  <c r="AM113" i="26"/>
  <c r="AL113" i="26"/>
  <c r="AK113" i="26"/>
  <c r="AJ113" i="26"/>
  <c r="AI113" i="26"/>
  <c r="AH113" i="26"/>
  <c r="AG113" i="26"/>
  <c r="AF113" i="26"/>
  <c r="AE113" i="26"/>
  <c r="AD113" i="26"/>
  <c r="AC113" i="26"/>
  <c r="AB113" i="26"/>
  <c r="AA113" i="26"/>
  <c r="Z113" i="26"/>
  <c r="Y113" i="26"/>
  <c r="X113" i="26"/>
  <c r="W113" i="26"/>
  <c r="V113" i="26"/>
  <c r="AO112" i="26"/>
  <c r="AN112" i="26"/>
  <c r="AM112" i="26"/>
  <c r="AL112" i="26"/>
  <c r="AK112" i="26"/>
  <c r="AJ112" i="26"/>
  <c r="AI112" i="26"/>
  <c r="AH112" i="26"/>
  <c r="AG112" i="26"/>
  <c r="AF112" i="26"/>
  <c r="AE112" i="26"/>
  <c r="AD112" i="26"/>
  <c r="AC112" i="26"/>
  <c r="AB112" i="26"/>
  <c r="AA112" i="26"/>
  <c r="Z112" i="26"/>
  <c r="Y112" i="26"/>
  <c r="X112" i="26"/>
  <c r="W112" i="26"/>
  <c r="V112" i="26"/>
  <c r="AO111" i="26"/>
  <c r="AN111" i="26"/>
  <c r="AM111" i="26"/>
  <c r="AL111" i="26"/>
  <c r="AK111" i="26"/>
  <c r="AJ111" i="26"/>
  <c r="AI111" i="26"/>
  <c r="AH111" i="26"/>
  <c r="AG111" i="26"/>
  <c r="AF111" i="26"/>
  <c r="AE111" i="26"/>
  <c r="AD111" i="26"/>
  <c r="AC111" i="26"/>
  <c r="AB111" i="26"/>
  <c r="AA111" i="26"/>
  <c r="Z111" i="26"/>
  <c r="Y111" i="26"/>
  <c r="X111" i="26"/>
  <c r="W111" i="26"/>
  <c r="V111" i="26"/>
  <c r="AO110" i="26"/>
  <c r="AN110" i="26"/>
  <c r="AM110" i="26"/>
  <c r="AL110" i="26"/>
  <c r="AK110" i="26"/>
  <c r="AJ110" i="26"/>
  <c r="AI110" i="26"/>
  <c r="AH110" i="26"/>
  <c r="AG110" i="26"/>
  <c r="AF110" i="26"/>
  <c r="AE110" i="26"/>
  <c r="AD110" i="26"/>
  <c r="AC110" i="26"/>
  <c r="AB110" i="26"/>
  <c r="AA110" i="26"/>
  <c r="Z110" i="26"/>
  <c r="Y110" i="26"/>
  <c r="X110" i="26"/>
  <c r="W110" i="26"/>
  <c r="V110" i="26"/>
  <c r="AO109" i="26"/>
  <c r="AN109" i="26"/>
  <c r="AM109" i="26"/>
  <c r="AL109" i="26"/>
  <c r="AK109" i="26"/>
  <c r="AJ109" i="26"/>
  <c r="AI109" i="26"/>
  <c r="AH109" i="26"/>
  <c r="AG109" i="26"/>
  <c r="AF109" i="26"/>
  <c r="AE109" i="26"/>
  <c r="AD109" i="26"/>
  <c r="AC109" i="26"/>
  <c r="AB109" i="26"/>
  <c r="AA109" i="26"/>
  <c r="Z109" i="26"/>
  <c r="Y109" i="26"/>
  <c r="X109" i="26"/>
  <c r="W109" i="26"/>
  <c r="V109" i="26"/>
  <c r="AO108" i="26"/>
  <c r="AN108" i="26"/>
  <c r="AM108" i="26"/>
  <c r="AL108" i="26"/>
  <c r="AK108" i="26"/>
  <c r="AJ108" i="26"/>
  <c r="AI108" i="26"/>
  <c r="AH108" i="26"/>
  <c r="AG108" i="26"/>
  <c r="AF108" i="26"/>
  <c r="AE108" i="26"/>
  <c r="AD108" i="26"/>
  <c r="AC108" i="26"/>
  <c r="AB108" i="26"/>
  <c r="AA108" i="26"/>
  <c r="Z108" i="26"/>
  <c r="Y108" i="26"/>
  <c r="X108" i="26"/>
  <c r="W108" i="26"/>
  <c r="V108" i="26"/>
  <c r="AO107" i="26"/>
  <c r="AN107" i="26"/>
  <c r="AM107" i="26"/>
  <c r="AL107" i="26"/>
  <c r="AK107" i="26"/>
  <c r="AJ107" i="26"/>
  <c r="AI107" i="26"/>
  <c r="AH107" i="26"/>
  <c r="AG107" i="26"/>
  <c r="AF107" i="26"/>
  <c r="AE107" i="26"/>
  <c r="AD107" i="26"/>
  <c r="AC107" i="26"/>
  <c r="AB107" i="26"/>
  <c r="AA107" i="26"/>
  <c r="Z107" i="26"/>
  <c r="Y107" i="26"/>
  <c r="X107" i="26"/>
  <c r="W107" i="26"/>
  <c r="V107" i="26"/>
  <c r="AO106" i="26"/>
  <c r="AN106" i="26"/>
  <c r="AM106" i="26"/>
  <c r="AL106" i="26"/>
  <c r="AK106" i="26"/>
  <c r="AJ106" i="26"/>
  <c r="AI106" i="26"/>
  <c r="AH106" i="26"/>
  <c r="AG106" i="26"/>
  <c r="AF106" i="26"/>
  <c r="AE106" i="26"/>
  <c r="AD106" i="26"/>
  <c r="AC106" i="26"/>
  <c r="AB106" i="26"/>
  <c r="AA106" i="26"/>
  <c r="Z106" i="26"/>
  <c r="Y106" i="26"/>
  <c r="X106" i="26"/>
  <c r="W106" i="26"/>
  <c r="V106" i="26"/>
  <c r="AO105" i="26"/>
  <c r="AN105" i="26"/>
  <c r="AM105" i="26"/>
  <c r="AL105" i="26"/>
  <c r="AK105" i="26"/>
  <c r="AJ105" i="26"/>
  <c r="AI105" i="26"/>
  <c r="AH105" i="26"/>
  <c r="AG105" i="26"/>
  <c r="AF105" i="26"/>
  <c r="AE105" i="26"/>
  <c r="AD105" i="26"/>
  <c r="AC105" i="26"/>
  <c r="AB105" i="26"/>
  <c r="AA105" i="26"/>
  <c r="Z105" i="26"/>
  <c r="Y105" i="26"/>
  <c r="X105" i="26"/>
  <c r="W105" i="26"/>
  <c r="V105" i="26"/>
  <c r="AO104" i="26"/>
  <c r="AN104" i="26"/>
  <c r="AM104" i="26"/>
  <c r="AL104" i="26"/>
  <c r="AK104" i="26"/>
  <c r="AJ104" i="26"/>
  <c r="AI104" i="26"/>
  <c r="AH104" i="26"/>
  <c r="AG104" i="26"/>
  <c r="AF104" i="26"/>
  <c r="AE104" i="26"/>
  <c r="AD104" i="26"/>
  <c r="AC104" i="26"/>
  <c r="AB104" i="26"/>
  <c r="AA104" i="26"/>
  <c r="Z104" i="26"/>
  <c r="Y104" i="26"/>
  <c r="X104" i="26"/>
  <c r="W104" i="26"/>
  <c r="V104" i="26"/>
  <c r="AO103" i="26"/>
  <c r="AN103" i="26"/>
  <c r="AM103" i="26"/>
  <c r="AL103" i="26"/>
  <c r="AK103" i="26"/>
  <c r="AJ103" i="26"/>
  <c r="AI103" i="26"/>
  <c r="AH103" i="26"/>
  <c r="AG103" i="26"/>
  <c r="AF103" i="26"/>
  <c r="AE103" i="26"/>
  <c r="AD103" i="26"/>
  <c r="AC103" i="26"/>
  <c r="AB103" i="26"/>
  <c r="AA103" i="26"/>
  <c r="Z103" i="26"/>
  <c r="Y103" i="26"/>
  <c r="X103" i="26"/>
  <c r="W103" i="26"/>
  <c r="V103" i="26"/>
  <c r="AO102" i="26"/>
  <c r="AN102" i="26"/>
  <c r="AM102" i="26"/>
  <c r="AL102" i="26"/>
  <c r="AK102" i="26"/>
  <c r="AJ102" i="26"/>
  <c r="AI102" i="26"/>
  <c r="AH102" i="26"/>
  <c r="AG102" i="26"/>
  <c r="AF102" i="26"/>
  <c r="AE102" i="26"/>
  <c r="AD102" i="26"/>
  <c r="AC102" i="26"/>
  <c r="AB102" i="26"/>
  <c r="AA102" i="26"/>
  <c r="Z102" i="26"/>
  <c r="Y102" i="26"/>
  <c r="X102" i="26"/>
  <c r="W102" i="26"/>
  <c r="V102" i="26"/>
  <c r="AO101" i="26"/>
  <c r="AN101" i="26"/>
  <c r="AM101" i="26"/>
  <c r="AL101" i="26"/>
  <c r="AK101" i="26"/>
  <c r="AJ101" i="26"/>
  <c r="AI101" i="26"/>
  <c r="AH101" i="26"/>
  <c r="AG101" i="26"/>
  <c r="AF101" i="26"/>
  <c r="AE101" i="26"/>
  <c r="AD101" i="26"/>
  <c r="AC101" i="26"/>
  <c r="AB101" i="26"/>
  <c r="AA101" i="26"/>
  <c r="Z101" i="26"/>
  <c r="Y101" i="26"/>
  <c r="X101" i="26"/>
  <c r="W101" i="26"/>
  <c r="V101" i="26"/>
  <c r="AO100" i="26"/>
  <c r="AN100" i="26"/>
  <c r="AM100" i="26"/>
  <c r="AL100" i="26"/>
  <c r="AK100" i="26"/>
  <c r="AJ100" i="26"/>
  <c r="AI100" i="26"/>
  <c r="AH100" i="26"/>
  <c r="AG100" i="26"/>
  <c r="AF100" i="26"/>
  <c r="AE100" i="26"/>
  <c r="AD100" i="26"/>
  <c r="AC100" i="26"/>
  <c r="AB100" i="26"/>
  <c r="AA100" i="26"/>
  <c r="Z100" i="26"/>
  <c r="Y100" i="26"/>
  <c r="X100" i="26"/>
  <c r="W100" i="26"/>
  <c r="V100" i="26"/>
  <c r="AA95" i="26"/>
  <c r="AC94" i="26"/>
  <c r="W94" i="26"/>
  <c r="Y93" i="26"/>
  <c r="AA90" i="26"/>
  <c r="Y87" i="26"/>
  <c r="Z82" i="26"/>
  <c r="Y82" i="26"/>
  <c r="X82" i="26"/>
  <c r="W82" i="26"/>
  <c r="V82" i="26"/>
  <c r="Z81" i="26"/>
  <c r="Y81" i="26"/>
  <c r="X81" i="26"/>
  <c r="W81" i="26"/>
  <c r="V81" i="26"/>
  <c r="Z80" i="26"/>
  <c r="Y80" i="26"/>
  <c r="X80" i="26"/>
  <c r="W80" i="26"/>
  <c r="V80" i="26"/>
  <c r="Z79" i="26"/>
  <c r="Y79" i="26"/>
  <c r="X79" i="26"/>
  <c r="W79" i="26"/>
  <c r="V79" i="26"/>
  <c r="Z78" i="26"/>
  <c r="Y78" i="26"/>
  <c r="X78" i="26"/>
  <c r="W78" i="26"/>
  <c r="V78" i="26"/>
  <c r="Z77" i="26"/>
  <c r="Y77" i="26"/>
  <c r="X77" i="26"/>
  <c r="W77" i="26"/>
  <c r="V77" i="26"/>
  <c r="Z76" i="26"/>
  <c r="Y76" i="26"/>
  <c r="X76" i="26"/>
  <c r="W76" i="26"/>
  <c r="V76" i="26"/>
  <c r="Z75" i="26"/>
  <c r="Y75" i="26"/>
  <c r="X75" i="26"/>
  <c r="W75" i="26"/>
  <c r="V75" i="26"/>
  <c r="Z74" i="26"/>
  <c r="Y74" i="26"/>
  <c r="X74" i="26"/>
  <c r="W74" i="26"/>
  <c r="V74" i="26"/>
  <c r="Z73" i="26"/>
  <c r="Y73" i="26"/>
  <c r="X73" i="26"/>
  <c r="W73" i="26"/>
  <c r="V73" i="26"/>
  <c r="Z68" i="26"/>
  <c r="Y68" i="26"/>
  <c r="X68" i="26"/>
  <c r="W68" i="26"/>
  <c r="V68" i="26"/>
  <c r="Z67" i="26"/>
  <c r="Y67" i="26"/>
  <c r="X67" i="26"/>
  <c r="W67" i="26"/>
  <c r="V67" i="26"/>
  <c r="Z66" i="26"/>
  <c r="Y66" i="26"/>
  <c r="X66" i="26"/>
  <c r="W66" i="26"/>
  <c r="V66" i="26"/>
  <c r="Z65" i="26"/>
  <c r="Y65" i="26"/>
  <c r="X65" i="26"/>
  <c r="W65" i="26"/>
  <c r="V65" i="26"/>
  <c r="Z64" i="26"/>
  <c r="Y64" i="26"/>
  <c r="X64" i="26"/>
  <c r="W64" i="26"/>
  <c r="V64" i="26"/>
  <c r="Z63" i="26"/>
  <c r="Y63" i="26"/>
  <c r="X63" i="26"/>
  <c r="W63" i="26"/>
  <c r="V63" i="26"/>
  <c r="Z62" i="26"/>
  <c r="Y62" i="26"/>
  <c r="X62" i="26"/>
  <c r="W62" i="26"/>
  <c r="V62" i="26"/>
  <c r="Z61" i="26"/>
  <c r="Y61" i="26"/>
  <c r="X61" i="26"/>
  <c r="W61" i="26"/>
  <c r="V61" i="26"/>
  <c r="Z60" i="26"/>
  <c r="Y60" i="26"/>
  <c r="X60" i="26"/>
  <c r="W60" i="26"/>
  <c r="V60" i="26"/>
  <c r="Z59" i="26"/>
  <c r="Y59" i="26"/>
  <c r="X59" i="26"/>
  <c r="W59" i="26"/>
  <c r="V59" i="26"/>
  <c r="AQ58" i="26"/>
  <c r="Z58" i="26"/>
  <c r="Y58" i="26"/>
  <c r="X58" i="26"/>
  <c r="W58" i="26"/>
  <c r="V58" i="26"/>
  <c r="Z57" i="26"/>
  <c r="Y57" i="26"/>
  <c r="X57" i="26"/>
  <c r="W57" i="26"/>
  <c r="V57" i="26"/>
  <c r="Z56" i="26"/>
  <c r="Y56" i="26"/>
  <c r="X56" i="26"/>
  <c r="W56" i="26"/>
  <c r="V56" i="26"/>
  <c r="AP44" i="26"/>
  <c r="B59" i="26" s="1"/>
  <c r="AP43" i="26"/>
  <c r="B58" i="26" s="1"/>
  <c r="AP42" i="26"/>
  <c r="B57" i="26" s="1"/>
  <c r="AP41" i="26"/>
  <c r="B56" i="26" s="1"/>
  <c r="AP40" i="26"/>
  <c r="B55" i="26" s="1"/>
  <c r="B40" i="26"/>
  <c r="X36" i="26"/>
  <c r="X35" i="26"/>
  <c r="Q35" i="26"/>
  <c r="P35" i="26"/>
  <c r="E18" i="26" s="1"/>
  <c r="AL18" i="26" s="1"/>
  <c r="B35" i="26"/>
  <c r="X34" i="26"/>
  <c r="J34" i="26"/>
  <c r="D35" i="26" s="1"/>
  <c r="X33" i="26"/>
  <c r="X32" i="26"/>
  <c r="AG31" i="26"/>
  <c r="X31" i="26"/>
  <c r="X30" i="26"/>
  <c r="X29" i="26"/>
  <c r="B29" i="26"/>
  <c r="AQ27" i="26" s="1"/>
  <c r="X28" i="26"/>
  <c r="B27" i="26"/>
  <c r="P25" i="26"/>
  <c r="P24" i="26" s="1"/>
  <c r="G20" i="26" s="1"/>
  <c r="G24" i="26"/>
  <c r="E24" i="26"/>
  <c r="C24" i="26"/>
  <c r="AB23" i="26"/>
  <c r="AA23" i="26"/>
  <c r="Z23" i="26"/>
  <c r="Y23" i="26"/>
  <c r="I23" i="26"/>
  <c r="G23" i="26"/>
  <c r="E23" i="26"/>
  <c r="C23" i="26"/>
  <c r="AB22" i="26"/>
  <c r="AA22" i="26"/>
  <c r="Z22" i="26"/>
  <c r="AC22" i="26" s="1"/>
  <c r="Y22" i="26"/>
  <c r="I22" i="26"/>
  <c r="G22" i="26"/>
  <c r="E22" i="26"/>
  <c r="C22" i="26"/>
  <c r="I21" i="26"/>
  <c r="G21" i="26"/>
  <c r="E21" i="26"/>
  <c r="C21" i="26"/>
  <c r="AQ20" i="26"/>
  <c r="B49" i="26" s="1"/>
  <c r="AQ36" i="26" s="1"/>
  <c r="AI20" i="26"/>
  <c r="I20" i="26"/>
  <c r="AQ19" i="26"/>
  <c r="B48" i="26" s="1"/>
  <c r="AQ35" i="26" s="1"/>
  <c r="AI19" i="26"/>
  <c r="AQ18" i="26"/>
  <c r="AI18" i="26"/>
  <c r="I18" i="26"/>
  <c r="AI17" i="26"/>
  <c r="AI16" i="26"/>
  <c r="AI15" i="26"/>
  <c r="AQ14" i="26"/>
  <c r="AI14" i="26"/>
  <c r="I14" i="26"/>
  <c r="AQ13" i="26"/>
  <c r="B45" i="26" s="1"/>
  <c r="AQ32" i="26" s="1"/>
  <c r="AI13" i="26"/>
  <c r="AQ12" i="26"/>
  <c r="AI12" i="26"/>
  <c r="AI11" i="26"/>
  <c r="AB11" i="26"/>
  <c r="AA11" i="26"/>
  <c r="Z11" i="26"/>
  <c r="Y11" i="26"/>
  <c r="AI10" i="26"/>
  <c r="AB10" i="26"/>
  <c r="AA10" i="26"/>
  <c r="Z10" i="26"/>
  <c r="AC10" i="26" s="1"/>
  <c r="Y10" i="26"/>
  <c r="AI9" i="26"/>
  <c r="AJ9" i="26" s="1"/>
  <c r="AB9" i="26"/>
  <c r="AA9" i="26"/>
  <c r="Z9" i="26"/>
  <c r="AC9" i="26" s="1"/>
  <c r="Y9" i="26"/>
  <c r="AQ8" i="26"/>
  <c r="AB8" i="26"/>
  <c r="AA8" i="26"/>
  <c r="Z8" i="26"/>
  <c r="Y8" i="26"/>
  <c r="AQ7" i="26"/>
  <c r="AQ6" i="26"/>
  <c r="AV41" i="52" l="1"/>
  <c r="AV42" i="55"/>
  <c r="AW42" i="55" s="1"/>
  <c r="AV40" i="52"/>
  <c r="E89" i="55"/>
  <c r="AY42" i="55"/>
  <c r="D89" i="55"/>
  <c r="AV40" i="55"/>
  <c r="AV41" i="55"/>
  <c r="AV43" i="55"/>
  <c r="I66" i="55"/>
  <c r="AV44" i="55"/>
  <c r="I73" i="54"/>
  <c r="I72" i="54" s="1"/>
  <c r="D72" i="54"/>
  <c r="AT41" i="54"/>
  <c r="AT42" i="54"/>
  <c r="AT43" i="54"/>
  <c r="AT40" i="54"/>
  <c r="AT44" i="54"/>
  <c r="D69" i="54"/>
  <c r="I70" i="54"/>
  <c r="I69" i="54" s="1"/>
  <c r="AR43" i="54"/>
  <c r="AR44" i="54"/>
  <c r="AR40" i="54"/>
  <c r="AR41" i="54"/>
  <c r="AR42" i="54"/>
  <c r="AS44" i="54"/>
  <c r="AS40" i="54"/>
  <c r="AS41" i="54"/>
  <c r="AS42" i="54"/>
  <c r="AS43" i="54"/>
  <c r="D66" i="54"/>
  <c r="I67" i="54"/>
  <c r="AU41" i="54"/>
  <c r="AU42" i="54"/>
  <c r="AU43" i="54"/>
  <c r="AU44" i="54"/>
  <c r="AU40" i="54"/>
  <c r="I66" i="52"/>
  <c r="AV44" i="52"/>
  <c r="E85" i="52"/>
  <c r="AY41" i="52"/>
  <c r="AX41" i="52"/>
  <c r="E86" i="52"/>
  <c r="AW41" i="52"/>
  <c r="AZ41" i="52"/>
  <c r="D86" i="52"/>
  <c r="AV43" i="52"/>
  <c r="E82" i="52"/>
  <c r="AW40" i="52"/>
  <c r="E83" i="52"/>
  <c r="AX40" i="52"/>
  <c r="D83" i="52"/>
  <c r="AZ40" i="52"/>
  <c r="AY40" i="52"/>
  <c r="AV42" i="52"/>
  <c r="AS18" i="49"/>
  <c r="J45" i="49"/>
  <c r="AU18" i="49"/>
  <c r="AT18" i="49"/>
  <c r="AS19" i="49"/>
  <c r="AU19" i="49"/>
  <c r="J46" i="49"/>
  <c r="AT19" i="49"/>
  <c r="J47" i="49"/>
  <c r="AT20" i="49"/>
  <c r="AU20" i="49"/>
  <c r="AS20" i="49"/>
  <c r="AS21" i="48"/>
  <c r="O100" i="48" s="1"/>
  <c r="AU32" i="48"/>
  <c r="AU24" i="48" s="1"/>
  <c r="AU37" i="48" s="1"/>
  <c r="AT40" i="48" s="1"/>
  <c r="AS32" i="48"/>
  <c r="AS24" i="48" s="1"/>
  <c r="AS37" i="48" s="1"/>
  <c r="AV32" i="48"/>
  <c r="AT32" i="48"/>
  <c r="AT24" i="48" s="1"/>
  <c r="AT37" i="48" s="1"/>
  <c r="AS40" i="48" s="1"/>
  <c r="D47" i="48"/>
  <c r="AT21" i="48"/>
  <c r="P100" i="48" s="1"/>
  <c r="AT44" i="48"/>
  <c r="AT42" i="48"/>
  <c r="AV24" i="48"/>
  <c r="AV37" i="48" s="1"/>
  <c r="AV32" i="47"/>
  <c r="AV24" i="47" s="1"/>
  <c r="AV37" i="47" s="1"/>
  <c r="AU32" i="47"/>
  <c r="AU24" i="47" s="1"/>
  <c r="AU37" i="47" s="1"/>
  <c r="AT44" i="47" s="1"/>
  <c r="AS32" i="47"/>
  <c r="AS24" i="47" s="1"/>
  <c r="AS37" i="47" s="1"/>
  <c r="AR42" i="47" s="1"/>
  <c r="AT32" i="47"/>
  <c r="AT24" i="47" s="1"/>
  <c r="AT37" i="47" s="1"/>
  <c r="AS40" i="47" s="1"/>
  <c r="D47" i="47"/>
  <c r="AT21" i="47"/>
  <c r="P100" i="47" s="1"/>
  <c r="AU21" i="47"/>
  <c r="Q100" i="47" s="1"/>
  <c r="AV20" i="42"/>
  <c r="J47" i="42" s="1"/>
  <c r="AV19" i="42"/>
  <c r="AU19" i="42" s="1"/>
  <c r="AV20" i="43"/>
  <c r="AV19" i="43"/>
  <c r="AV18" i="43"/>
  <c r="D44" i="42"/>
  <c r="AT18" i="42"/>
  <c r="J45" i="42"/>
  <c r="AU18" i="42"/>
  <c r="AS18" i="42"/>
  <c r="AU20" i="42"/>
  <c r="AT20" i="42"/>
  <c r="J46" i="42"/>
  <c r="AT19" i="42"/>
  <c r="AS18" i="41"/>
  <c r="J45" i="41"/>
  <c r="AT18" i="41"/>
  <c r="AU18" i="41"/>
  <c r="J46" i="41"/>
  <c r="AU19" i="41"/>
  <c r="AT19" i="41"/>
  <c r="AS19" i="41"/>
  <c r="AU20" i="41"/>
  <c r="J47" i="41"/>
  <c r="AT20" i="41"/>
  <c r="AS20" i="41"/>
  <c r="AJ12" i="26"/>
  <c r="AC10" i="27"/>
  <c r="AC22" i="27"/>
  <c r="AT15" i="40"/>
  <c r="AT17" i="40" s="1"/>
  <c r="AU36" i="40"/>
  <c r="AV33" i="40"/>
  <c r="AS35" i="40"/>
  <c r="AU33" i="40"/>
  <c r="AS36" i="40"/>
  <c r="AU30" i="40"/>
  <c r="AV30" i="40"/>
  <c r="AT30" i="40"/>
  <c r="AS15" i="40"/>
  <c r="AS17" i="40" s="1"/>
  <c r="AV20" i="40" s="1"/>
  <c r="D45" i="40"/>
  <c r="AV36" i="40"/>
  <c r="AS33" i="40"/>
  <c r="AT35" i="40"/>
  <c r="AT36" i="40"/>
  <c r="E45" i="40"/>
  <c r="AU35" i="40"/>
  <c r="AS30" i="40"/>
  <c r="AT33" i="40"/>
  <c r="AV20" i="38"/>
  <c r="J47" i="38" s="1"/>
  <c r="AV18" i="38"/>
  <c r="AS18" i="38" s="1"/>
  <c r="AU19" i="38"/>
  <c r="AT19" i="38"/>
  <c r="J46" i="38"/>
  <c r="AS19" i="38"/>
  <c r="J47" i="37"/>
  <c r="AU20" i="37"/>
  <c r="AS20" i="37"/>
  <c r="AT20" i="37"/>
  <c r="AT18" i="37"/>
  <c r="J45" i="37"/>
  <c r="AU18" i="37"/>
  <c r="AS18" i="37"/>
  <c r="J46" i="37"/>
  <c r="AU19" i="37"/>
  <c r="AS19" i="37"/>
  <c r="AT19" i="37"/>
  <c r="AC9" i="27"/>
  <c r="AJ12" i="27"/>
  <c r="AK12" i="27" s="1"/>
  <c r="AT26" i="27" s="1"/>
  <c r="AJ15" i="27"/>
  <c r="AC8" i="26"/>
  <c r="AJ18" i="26"/>
  <c r="AC23" i="26"/>
  <c r="AD22" i="26" s="1"/>
  <c r="AB39" i="26" s="1"/>
  <c r="AC32" i="26" s="1"/>
  <c r="I24" i="26"/>
  <c r="AJ15" i="26"/>
  <c r="AC11" i="26"/>
  <c r="AQ59" i="26"/>
  <c r="E40" i="26" s="1"/>
  <c r="E18" i="27"/>
  <c r="AL12" i="27" s="1"/>
  <c r="AE91" i="26"/>
  <c r="AE88" i="26"/>
  <c r="AE94" i="26"/>
  <c r="V49" i="26"/>
  <c r="V47" i="26" s="1"/>
  <c r="V48" i="26" s="1"/>
  <c r="V51" i="26" s="1"/>
  <c r="J27" i="26" s="1"/>
  <c r="J28" i="26" s="1"/>
  <c r="E28" i="26" s="1"/>
  <c r="V49" i="27"/>
  <c r="AE89" i="27"/>
  <c r="AE89" i="26"/>
  <c r="AE92" i="26"/>
  <c r="Z46" i="26" s="1"/>
  <c r="AE87" i="27"/>
  <c r="AE93" i="26"/>
  <c r="AE95" i="27"/>
  <c r="AC11" i="27"/>
  <c r="AD8" i="26"/>
  <c r="AB36" i="26" s="1"/>
  <c r="AC31" i="26" s="1"/>
  <c r="AT5" i="26" s="1"/>
  <c r="E35" i="26"/>
  <c r="AC23" i="27"/>
  <c r="AD22" i="27" s="1"/>
  <c r="AB39" i="27" s="1"/>
  <c r="AC32" i="27" s="1"/>
  <c r="AD8" i="27"/>
  <c r="AB36" i="27" s="1"/>
  <c r="AE90" i="26"/>
  <c r="P24" i="27"/>
  <c r="G20" i="27" s="1"/>
  <c r="AE91" i="27"/>
  <c r="D40" i="27"/>
  <c r="E35" i="27"/>
  <c r="AE95" i="26"/>
  <c r="AL15" i="26"/>
  <c r="J35" i="27"/>
  <c r="D36" i="27" s="1"/>
  <c r="AE93" i="27"/>
  <c r="AE87" i="26"/>
  <c r="AL12" i="26"/>
  <c r="AK12" i="26" s="1"/>
  <c r="AT26" i="26" s="1"/>
  <c r="AL9" i="26"/>
  <c r="AK9" i="26" s="1"/>
  <c r="AS26" i="26" s="1"/>
  <c r="N114" i="26" s="1"/>
  <c r="AK18" i="26"/>
  <c r="AV26" i="26" s="1"/>
  <c r="Q114" i="26" s="1"/>
  <c r="AE88" i="27"/>
  <c r="J35" i="26"/>
  <c r="E36" i="26" s="1"/>
  <c r="AL15" i="27"/>
  <c r="AC30" i="27"/>
  <c r="B44" i="27"/>
  <c r="AQ31" i="27" s="1"/>
  <c r="AE90" i="27"/>
  <c r="AE92" i="27"/>
  <c r="Z46" i="27" s="1"/>
  <c r="B43" i="27"/>
  <c r="AQ30" i="27" s="1"/>
  <c r="B47" i="27"/>
  <c r="AQ34" i="27" s="1"/>
  <c r="B41" i="27"/>
  <c r="AQ28" i="27" s="1"/>
  <c r="B42" i="27"/>
  <c r="AQ29" i="27" s="1"/>
  <c r="AE94" i="27"/>
  <c r="B41" i="26"/>
  <c r="AQ28" i="26" s="1"/>
  <c r="B42" i="26"/>
  <c r="AQ29" i="26" s="1"/>
  <c r="B44" i="26"/>
  <c r="AQ31" i="26" s="1"/>
  <c r="B46" i="26"/>
  <c r="AQ33" i="26" s="1"/>
  <c r="AS5" i="26"/>
  <c r="B43" i="26"/>
  <c r="AQ30" i="26" s="1"/>
  <c r="B47" i="26"/>
  <c r="AQ34" i="26" s="1"/>
  <c r="AO179" i="24"/>
  <c r="AN179" i="24"/>
  <c r="AM179" i="24"/>
  <c r="AL179" i="24"/>
  <c r="AK179" i="24"/>
  <c r="AJ179" i="24"/>
  <c r="AI179" i="24"/>
  <c r="AH179" i="24"/>
  <c r="AG179" i="24"/>
  <c r="AF179" i="24"/>
  <c r="AE179" i="24"/>
  <c r="AD179" i="24"/>
  <c r="AC179" i="24"/>
  <c r="AB179" i="24"/>
  <c r="AA179" i="24"/>
  <c r="Z179" i="24"/>
  <c r="Y179" i="24"/>
  <c r="X179" i="24"/>
  <c r="W179" i="24"/>
  <c r="V179" i="24"/>
  <c r="AO178" i="24"/>
  <c r="AN178" i="24"/>
  <c r="AM178" i="24"/>
  <c r="AL178" i="24"/>
  <c r="AK178" i="24"/>
  <c r="AJ178" i="24"/>
  <c r="AI178" i="24"/>
  <c r="AH178" i="24"/>
  <c r="AG178" i="24"/>
  <c r="AF178" i="24"/>
  <c r="AE178" i="24"/>
  <c r="AD178" i="24"/>
  <c r="AC178" i="24"/>
  <c r="AB178" i="24"/>
  <c r="AA178" i="24"/>
  <c r="Z178" i="24"/>
  <c r="Y178" i="24"/>
  <c r="X178" i="24"/>
  <c r="W178" i="24"/>
  <c r="V178" i="24"/>
  <c r="AO177" i="24"/>
  <c r="AN177" i="24"/>
  <c r="AM177" i="24"/>
  <c r="AL177" i="24"/>
  <c r="AK177" i="24"/>
  <c r="AJ177" i="24"/>
  <c r="AI177" i="24"/>
  <c r="AH177" i="24"/>
  <c r="AG177" i="24"/>
  <c r="AF177" i="24"/>
  <c r="AE177" i="24"/>
  <c r="AD177" i="24"/>
  <c r="AC177" i="24"/>
  <c r="AB177" i="24"/>
  <c r="AA177" i="24"/>
  <c r="Z177" i="24"/>
  <c r="Y177" i="24"/>
  <c r="X177" i="24"/>
  <c r="W177" i="24"/>
  <c r="V177" i="24"/>
  <c r="AO176" i="24"/>
  <c r="AN176" i="24"/>
  <c r="AM176" i="24"/>
  <c r="AL176" i="24"/>
  <c r="AK176" i="24"/>
  <c r="AJ176" i="24"/>
  <c r="AI176" i="24"/>
  <c r="AH176" i="24"/>
  <c r="AG176" i="24"/>
  <c r="AF176" i="24"/>
  <c r="AE176" i="24"/>
  <c r="AD176" i="24"/>
  <c r="AC176" i="24"/>
  <c r="AB176" i="24"/>
  <c r="AA176" i="24"/>
  <c r="Z176" i="24"/>
  <c r="Y176" i="24"/>
  <c r="X176" i="24"/>
  <c r="W176" i="24"/>
  <c r="V176" i="24"/>
  <c r="AO175" i="24"/>
  <c r="AN175" i="24"/>
  <c r="AM175" i="24"/>
  <c r="AL175" i="24"/>
  <c r="AK175" i="24"/>
  <c r="AJ175" i="24"/>
  <c r="AI175" i="24"/>
  <c r="AH175" i="24"/>
  <c r="AG175" i="24"/>
  <c r="AF175" i="24"/>
  <c r="AE175" i="24"/>
  <c r="AD175" i="24"/>
  <c r="AC175" i="24"/>
  <c r="AB175" i="24"/>
  <c r="AA175" i="24"/>
  <c r="Z175" i="24"/>
  <c r="Y175" i="24"/>
  <c r="X175" i="24"/>
  <c r="W175" i="24"/>
  <c r="V175" i="24"/>
  <c r="AO174" i="24"/>
  <c r="AN174" i="24"/>
  <c r="AM174" i="24"/>
  <c r="AL174" i="24"/>
  <c r="AK174" i="24"/>
  <c r="AJ174" i="24"/>
  <c r="AI174" i="24"/>
  <c r="AH174" i="24"/>
  <c r="AG174" i="24"/>
  <c r="AF174" i="24"/>
  <c r="AE174" i="24"/>
  <c r="AD174" i="24"/>
  <c r="AC174" i="24"/>
  <c r="AB174" i="24"/>
  <c r="AA174" i="24"/>
  <c r="Z174" i="24"/>
  <c r="Y174" i="24"/>
  <c r="X174" i="24"/>
  <c r="W174" i="24"/>
  <c r="V174" i="24"/>
  <c r="AO173" i="24"/>
  <c r="AN173" i="24"/>
  <c r="AM173" i="24"/>
  <c r="AL173" i="24"/>
  <c r="AK173" i="24"/>
  <c r="AJ173" i="24"/>
  <c r="AI173" i="24"/>
  <c r="AH173" i="24"/>
  <c r="AG173" i="24"/>
  <c r="AF173" i="24"/>
  <c r="AE173" i="24"/>
  <c r="AD173" i="24"/>
  <c r="AC173" i="24"/>
  <c r="AB173" i="24"/>
  <c r="AA173" i="24"/>
  <c r="Z173" i="24"/>
  <c r="Y173" i="24"/>
  <c r="X173" i="24"/>
  <c r="W173" i="24"/>
  <c r="V173" i="24"/>
  <c r="AO172" i="24"/>
  <c r="AN172" i="24"/>
  <c r="AM172" i="24"/>
  <c r="AL172" i="24"/>
  <c r="AK172" i="24"/>
  <c r="AJ172" i="24"/>
  <c r="AI172" i="24"/>
  <c r="AH172" i="24"/>
  <c r="AG172" i="24"/>
  <c r="AF172" i="24"/>
  <c r="AE172" i="24"/>
  <c r="AD172" i="24"/>
  <c r="AC172" i="24"/>
  <c r="AB172" i="24"/>
  <c r="AA172" i="24"/>
  <c r="Z172" i="24"/>
  <c r="Y172" i="24"/>
  <c r="X172" i="24"/>
  <c r="W172" i="24"/>
  <c r="V172" i="24"/>
  <c r="AO171" i="24"/>
  <c r="AN171" i="24"/>
  <c r="AM171" i="24"/>
  <c r="AL171" i="24"/>
  <c r="AK171" i="24"/>
  <c r="AJ171" i="24"/>
  <c r="AI171" i="24"/>
  <c r="AH171" i="24"/>
  <c r="AG171" i="24"/>
  <c r="AF171" i="24"/>
  <c r="AE171" i="24"/>
  <c r="AD171" i="24"/>
  <c r="AC171" i="24"/>
  <c r="AB171" i="24"/>
  <c r="AA171" i="24"/>
  <c r="Z171" i="24"/>
  <c r="Y171" i="24"/>
  <c r="X171" i="24"/>
  <c r="W171" i="24"/>
  <c r="V171" i="24"/>
  <c r="AO170" i="24"/>
  <c r="AN170" i="24"/>
  <c r="AM170" i="24"/>
  <c r="AL170" i="24"/>
  <c r="AK170" i="24"/>
  <c r="AJ170" i="24"/>
  <c r="AI170" i="24"/>
  <c r="AH170" i="24"/>
  <c r="AG170" i="24"/>
  <c r="AF170" i="24"/>
  <c r="AE170" i="24"/>
  <c r="AD170" i="24"/>
  <c r="AC170" i="24"/>
  <c r="AB170" i="24"/>
  <c r="AA170" i="24"/>
  <c r="Z170" i="24"/>
  <c r="Y170" i="24"/>
  <c r="X170" i="24"/>
  <c r="W170" i="24"/>
  <c r="V170" i="24"/>
  <c r="AO169" i="24"/>
  <c r="AN169" i="24"/>
  <c r="AM169" i="24"/>
  <c r="AL169" i="24"/>
  <c r="AK169" i="24"/>
  <c r="AJ169" i="24"/>
  <c r="AI169" i="24"/>
  <c r="AH169" i="24"/>
  <c r="AG169" i="24"/>
  <c r="AF169" i="24"/>
  <c r="AE169" i="24"/>
  <c r="AD169" i="24"/>
  <c r="AC169" i="24"/>
  <c r="AB169" i="24"/>
  <c r="AA169" i="24"/>
  <c r="Z169" i="24"/>
  <c r="Y169" i="24"/>
  <c r="X169" i="24"/>
  <c r="W169" i="24"/>
  <c r="V169" i="24"/>
  <c r="AO168" i="24"/>
  <c r="AN168" i="24"/>
  <c r="AM168" i="24"/>
  <c r="AL168" i="24"/>
  <c r="X95" i="24" s="1"/>
  <c r="AK168" i="24"/>
  <c r="AJ168" i="24"/>
  <c r="AI168" i="24"/>
  <c r="AH168" i="24"/>
  <c r="AG168" i="24"/>
  <c r="AF168" i="24"/>
  <c r="AE168" i="24"/>
  <c r="AD168" i="24"/>
  <c r="AD95" i="24" s="1"/>
  <c r="AC168" i="24"/>
  <c r="AC95" i="24" s="1"/>
  <c r="AB168" i="24"/>
  <c r="AB95" i="24" s="1"/>
  <c r="AA168" i="24"/>
  <c r="AA95" i="24" s="1"/>
  <c r="Z168" i="24"/>
  <c r="Z95" i="24" s="1"/>
  <c r="Y168" i="24"/>
  <c r="Y95" i="24" s="1"/>
  <c r="X168" i="24"/>
  <c r="W168" i="24"/>
  <c r="W95" i="24" s="1"/>
  <c r="V168" i="24"/>
  <c r="V95" i="24" s="1"/>
  <c r="AO167" i="24"/>
  <c r="AN167" i="24"/>
  <c r="AM167" i="24"/>
  <c r="AL167" i="24"/>
  <c r="X94" i="24" s="1"/>
  <c r="AK167" i="24"/>
  <c r="AJ167" i="24"/>
  <c r="AI167" i="24"/>
  <c r="AH167" i="24"/>
  <c r="AG167" i="24"/>
  <c r="AF167" i="24"/>
  <c r="AE167" i="24"/>
  <c r="AD167" i="24"/>
  <c r="AD94" i="24" s="1"/>
  <c r="AC167" i="24"/>
  <c r="AC94" i="24" s="1"/>
  <c r="AB167" i="24"/>
  <c r="AB94" i="24" s="1"/>
  <c r="AA167" i="24"/>
  <c r="AA94" i="24" s="1"/>
  <c r="Z167" i="24"/>
  <c r="Z94" i="24" s="1"/>
  <c r="Y167" i="24"/>
  <c r="Y94" i="24" s="1"/>
  <c r="X167" i="24"/>
  <c r="W167" i="24"/>
  <c r="W94" i="24" s="1"/>
  <c r="V167" i="24"/>
  <c r="V94" i="24" s="1"/>
  <c r="AO166" i="24"/>
  <c r="AN166" i="24"/>
  <c r="AM166" i="24"/>
  <c r="AL166" i="24"/>
  <c r="X93" i="24" s="1"/>
  <c r="AK166" i="24"/>
  <c r="AJ166" i="24"/>
  <c r="AI166" i="24"/>
  <c r="AH166" i="24"/>
  <c r="AG166" i="24"/>
  <c r="AF166" i="24"/>
  <c r="AE166" i="24"/>
  <c r="AD166" i="24"/>
  <c r="AD93" i="24" s="1"/>
  <c r="AC166" i="24"/>
  <c r="AC93" i="24" s="1"/>
  <c r="AB166" i="24"/>
  <c r="AB93" i="24" s="1"/>
  <c r="AA166" i="24"/>
  <c r="AA93" i="24" s="1"/>
  <c r="Z166" i="24"/>
  <c r="Z93" i="24" s="1"/>
  <c r="Y166" i="24"/>
  <c r="Y93" i="24" s="1"/>
  <c r="X166" i="24"/>
  <c r="W166" i="24"/>
  <c r="W93" i="24" s="1"/>
  <c r="V166" i="24"/>
  <c r="V93" i="24" s="1"/>
  <c r="AO165" i="24"/>
  <c r="AN165" i="24"/>
  <c r="AM165" i="24"/>
  <c r="AL165" i="24"/>
  <c r="X92" i="24" s="1"/>
  <c r="AK165" i="24"/>
  <c r="AJ165" i="24"/>
  <c r="AI165" i="24"/>
  <c r="AH165" i="24"/>
  <c r="AG165" i="24"/>
  <c r="AF165" i="24"/>
  <c r="AE165" i="24"/>
  <c r="AD165" i="24"/>
  <c r="AD92" i="24" s="1"/>
  <c r="AC165" i="24"/>
  <c r="AC92" i="24" s="1"/>
  <c r="AB165" i="24"/>
  <c r="AB92" i="24" s="1"/>
  <c r="AA165" i="24"/>
  <c r="AA92" i="24" s="1"/>
  <c r="Z165" i="24"/>
  <c r="Z92" i="24" s="1"/>
  <c r="Y165" i="24"/>
  <c r="X165" i="24"/>
  <c r="W165" i="24"/>
  <c r="W92" i="24" s="1"/>
  <c r="V165" i="24"/>
  <c r="V92" i="24" s="1"/>
  <c r="AO164" i="24"/>
  <c r="AN164" i="24"/>
  <c r="AM164" i="24"/>
  <c r="AL164" i="24"/>
  <c r="X91" i="24" s="1"/>
  <c r="AK164" i="24"/>
  <c r="AJ164" i="24"/>
  <c r="AI164" i="24"/>
  <c r="AH164" i="24"/>
  <c r="AG164" i="24"/>
  <c r="AF164" i="24"/>
  <c r="AE164" i="24"/>
  <c r="AD164" i="24"/>
  <c r="AD91" i="24" s="1"/>
  <c r="AC164" i="24"/>
  <c r="AC91" i="24" s="1"/>
  <c r="AB164" i="24"/>
  <c r="AB91" i="24" s="1"/>
  <c r="AA164" i="24"/>
  <c r="AA91" i="24" s="1"/>
  <c r="Z164" i="24"/>
  <c r="Z91" i="24" s="1"/>
  <c r="Y164" i="24"/>
  <c r="Y91" i="24" s="1"/>
  <c r="X164" i="24"/>
  <c r="W164" i="24"/>
  <c r="W91" i="24" s="1"/>
  <c r="V164" i="24"/>
  <c r="V91" i="24" s="1"/>
  <c r="AO163" i="24"/>
  <c r="AN163" i="24"/>
  <c r="AM163" i="24"/>
  <c r="AL163" i="24"/>
  <c r="X90" i="24" s="1"/>
  <c r="AK163" i="24"/>
  <c r="AJ163" i="24"/>
  <c r="AI163" i="24"/>
  <c r="AH163" i="24"/>
  <c r="AG163" i="24"/>
  <c r="AF163" i="24"/>
  <c r="AE163" i="24"/>
  <c r="AD163" i="24"/>
  <c r="AD90" i="24" s="1"/>
  <c r="AC163" i="24"/>
  <c r="AC90" i="24" s="1"/>
  <c r="AB163" i="24"/>
  <c r="AB90" i="24" s="1"/>
  <c r="AA163" i="24"/>
  <c r="AA90" i="24" s="1"/>
  <c r="Z163" i="24"/>
  <c r="Z90" i="24" s="1"/>
  <c r="Y163" i="24"/>
  <c r="Y90" i="24" s="1"/>
  <c r="X163" i="24"/>
  <c r="W163" i="24"/>
  <c r="W90" i="24" s="1"/>
  <c r="V163" i="24"/>
  <c r="V90" i="24" s="1"/>
  <c r="AO162" i="24"/>
  <c r="AN162" i="24"/>
  <c r="AM162" i="24"/>
  <c r="AL162" i="24"/>
  <c r="X89" i="24" s="1"/>
  <c r="AK162" i="24"/>
  <c r="AJ162" i="24"/>
  <c r="AI162" i="24"/>
  <c r="AH162" i="24"/>
  <c r="AG162" i="24"/>
  <c r="AF162" i="24"/>
  <c r="AE162" i="24"/>
  <c r="AD162" i="24"/>
  <c r="AD89" i="24" s="1"/>
  <c r="AC162" i="24"/>
  <c r="AC89" i="24" s="1"/>
  <c r="AB162" i="24"/>
  <c r="AB89" i="24" s="1"/>
  <c r="AA162" i="24"/>
  <c r="AA89" i="24" s="1"/>
  <c r="Z162" i="24"/>
  <c r="Z89" i="24" s="1"/>
  <c r="Y162" i="24"/>
  <c r="Y89" i="24" s="1"/>
  <c r="X162" i="24"/>
  <c r="W162" i="24"/>
  <c r="W89" i="24" s="1"/>
  <c r="V162" i="24"/>
  <c r="V89" i="24" s="1"/>
  <c r="AO161" i="24"/>
  <c r="AN161" i="24"/>
  <c r="AM161" i="24"/>
  <c r="AL161" i="24"/>
  <c r="X88" i="24" s="1"/>
  <c r="AK161" i="24"/>
  <c r="AJ161" i="24"/>
  <c r="AI161" i="24"/>
  <c r="AH161" i="24"/>
  <c r="AG161" i="24"/>
  <c r="AF161" i="24"/>
  <c r="AE161" i="24"/>
  <c r="AD161" i="24"/>
  <c r="AD88" i="24" s="1"/>
  <c r="AC161" i="24"/>
  <c r="AC88" i="24" s="1"/>
  <c r="AB161" i="24"/>
  <c r="AB88" i="24" s="1"/>
  <c r="AA161" i="24"/>
  <c r="AA88" i="24" s="1"/>
  <c r="Z161" i="24"/>
  <c r="Z88" i="24" s="1"/>
  <c r="Y161" i="24"/>
  <c r="Y88" i="24" s="1"/>
  <c r="X161" i="24"/>
  <c r="W161" i="24"/>
  <c r="W88" i="24" s="1"/>
  <c r="V161" i="24"/>
  <c r="V88" i="24" s="1"/>
  <c r="AO160" i="24"/>
  <c r="AN160" i="24"/>
  <c r="AM160" i="24"/>
  <c r="AL160" i="24"/>
  <c r="X87" i="24" s="1"/>
  <c r="AK160" i="24"/>
  <c r="AJ160" i="24"/>
  <c r="AI160" i="24"/>
  <c r="AH160" i="24"/>
  <c r="AG160" i="24"/>
  <c r="AF160" i="24"/>
  <c r="AE160" i="24"/>
  <c r="AD160" i="24"/>
  <c r="AD87" i="24" s="1"/>
  <c r="AC160" i="24"/>
  <c r="AB160" i="24"/>
  <c r="AB87" i="24" s="1"/>
  <c r="AA160" i="24"/>
  <c r="AA87" i="24" s="1"/>
  <c r="Z160" i="24"/>
  <c r="Z87" i="24" s="1"/>
  <c r="Y160" i="24"/>
  <c r="Y87" i="24" s="1"/>
  <c r="X160" i="24"/>
  <c r="W160" i="24"/>
  <c r="W87" i="24" s="1"/>
  <c r="V160" i="24"/>
  <c r="V87" i="24" s="1"/>
  <c r="AO159" i="24"/>
  <c r="AN159" i="24"/>
  <c r="AM159" i="24"/>
  <c r="AL159" i="24"/>
  <c r="AK159" i="24"/>
  <c r="AJ159" i="24"/>
  <c r="AI159" i="24"/>
  <c r="AH159" i="24"/>
  <c r="AG159" i="24"/>
  <c r="AF159" i="24"/>
  <c r="AE159" i="24"/>
  <c r="AD159" i="24"/>
  <c r="AC159" i="24"/>
  <c r="AB159" i="24"/>
  <c r="AA159" i="24"/>
  <c r="Z159" i="24"/>
  <c r="Y159" i="24"/>
  <c r="X159" i="24"/>
  <c r="W159" i="24"/>
  <c r="V159" i="24"/>
  <c r="AO158" i="24"/>
  <c r="AN158" i="24"/>
  <c r="AM158" i="24"/>
  <c r="AL158" i="24"/>
  <c r="AK158" i="24"/>
  <c r="AJ158" i="24"/>
  <c r="AI158" i="24"/>
  <c r="AH158" i="24"/>
  <c r="AG158" i="24"/>
  <c r="AF158" i="24"/>
  <c r="AE158" i="24"/>
  <c r="AD158" i="24"/>
  <c r="AC158" i="24"/>
  <c r="AB158" i="24"/>
  <c r="AA158" i="24"/>
  <c r="Z158" i="24"/>
  <c r="Y158" i="24"/>
  <c r="X158" i="24"/>
  <c r="W158" i="24"/>
  <c r="V158" i="24"/>
  <c r="AO157" i="24"/>
  <c r="AN157" i="24"/>
  <c r="AM157" i="24"/>
  <c r="AL157" i="24"/>
  <c r="AK157" i="24"/>
  <c r="AJ157" i="24"/>
  <c r="AI157" i="24"/>
  <c r="AH157" i="24"/>
  <c r="AG157" i="24"/>
  <c r="AF157" i="24"/>
  <c r="AE157" i="24"/>
  <c r="AD157" i="24"/>
  <c r="AC157" i="24"/>
  <c r="AB157" i="24"/>
  <c r="AA157" i="24"/>
  <c r="Z157" i="24"/>
  <c r="Y157" i="24"/>
  <c r="X157" i="24"/>
  <c r="W157" i="24"/>
  <c r="V157" i="24"/>
  <c r="AO156" i="24"/>
  <c r="AN156" i="24"/>
  <c r="AM156" i="24"/>
  <c r="AL156" i="24"/>
  <c r="AK156" i="24"/>
  <c r="AJ156" i="24"/>
  <c r="AI156" i="24"/>
  <c r="AH156" i="24"/>
  <c r="AG156" i="24"/>
  <c r="AF156" i="24"/>
  <c r="AE156" i="24"/>
  <c r="AD156" i="24"/>
  <c r="AC156" i="24"/>
  <c r="AB156" i="24"/>
  <c r="AA156" i="24"/>
  <c r="Z156" i="24"/>
  <c r="Y156" i="24"/>
  <c r="X156" i="24"/>
  <c r="W156" i="24"/>
  <c r="V156" i="24"/>
  <c r="AO155" i="24"/>
  <c r="AN155" i="24"/>
  <c r="AM155" i="24"/>
  <c r="AL155" i="24"/>
  <c r="AK155" i="24"/>
  <c r="AJ155" i="24"/>
  <c r="AI155" i="24"/>
  <c r="AH155" i="24"/>
  <c r="AG155" i="24"/>
  <c r="AF155" i="24"/>
  <c r="AE155" i="24"/>
  <c r="AD155" i="24"/>
  <c r="AC155" i="24"/>
  <c r="AB155" i="24"/>
  <c r="AA155" i="24"/>
  <c r="Z155" i="24"/>
  <c r="Y155" i="24"/>
  <c r="X155" i="24"/>
  <c r="W155" i="24"/>
  <c r="V155" i="24"/>
  <c r="AO154" i="24"/>
  <c r="AN154" i="24"/>
  <c r="AM154" i="24"/>
  <c r="AL154" i="24"/>
  <c r="AK154" i="24"/>
  <c r="AJ154" i="24"/>
  <c r="AI154" i="24"/>
  <c r="AH154" i="24"/>
  <c r="AG154" i="24"/>
  <c r="AF154" i="24"/>
  <c r="AE154" i="24"/>
  <c r="AD154" i="24"/>
  <c r="AC154" i="24"/>
  <c r="AB154" i="24"/>
  <c r="AA154" i="24"/>
  <c r="Z154" i="24"/>
  <c r="Y154" i="24"/>
  <c r="X154" i="24"/>
  <c r="W154" i="24"/>
  <c r="V154" i="24"/>
  <c r="AO153" i="24"/>
  <c r="AN153" i="24"/>
  <c r="AM153" i="24"/>
  <c r="AL153" i="24"/>
  <c r="AK153" i="24"/>
  <c r="AJ153" i="24"/>
  <c r="AI153" i="24"/>
  <c r="AH153" i="24"/>
  <c r="AG153" i="24"/>
  <c r="AF153" i="24"/>
  <c r="AE153" i="24"/>
  <c r="AD153" i="24"/>
  <c r="AC153" i="24"/>
  <c r="AB153" i="24"/>
  <c r="AA153" i="24"/>
  <c r="Z153" i="24"/>
  <c r="Y153" i="24"/>
  <c r="X153" i="24"/>
  <c r="W153" i="24"/>
  <c r="V153" i="24"/>
  <c r="AO152" i="24"/>
  <c r="AN152" i="24"/>
  <c r="AM152" i="24"/>
  <c r="AL152" i="24"/>
  <c r="AK152" i="24"/>
  <c r="AJ152" i="24"/>
  <c r="AI152" i="24"/>
  <c r="AH152" i="24"/>
  <c r="AG152" i="24"/>
  <c r="AF152" i="24"/>
  <c r="AE152" i="24"/>
  <c r="AD152" i="24"/>
  <c r="AC152" i="24"/>
  <c r="AB152" i="24"/>
  <c r="AA152" i="24"/>
  <c r="Z152" i="24"/>
  <c r="Y152" i="24"/>
  <c r="X152" i="24"/>
  <c r="W152" i="24"/>
  <c r="V152" i="24"/>
  <c r="AO151" i="24"/>
  <c r="AN151" i="24"/>
  <c r="AM151" i="24"/>
  <c r="AL151" i="24"/>
  <c r="AK151" i="24"/>
  <c r="AJ151" i="24"/>
  <c r="AI151" i="24"/>
  <c r="AH151" i="24"/>
  <c r="AG151" i="24"/>
  <c r="AF151" i="24"/>
  <c r="AE151" i="24"/>
  <c r="AD151" i="24"/>
  <c r="AC151" i="24"/>
  <c r="AB151" i="24"/>
  <c r="AA151" i="24"/>
  <c r="Z151" i="24"/>
  <c r="Y151" i="24"/>
  <c r="X151" i="24"/>
  <c r="W151" i="24"/>
  <c r="V151" i="24"/>
  <c r="AO150" i="24"/>
  <c r="AN150" i="24"/>
  <c r="AM150" i="24"/>
  <c r="AL150" i="24"/>
  <c r="AK150" i="24"/>
  <c r="AJ150" i="24"/>
  <c r="AI150" i="24"/>
  <c r="AH150" i="24"/>
  <c r="AG150" i="24"/>
  <c r="AF150" i="24"/>
  <c r="AE150" i="24"/>
  <c r="AD150" i="24"/>
  <c r="AC150" i="24"/>
  <c r="AB150" i="24"/>
  <c r="AA150" i="24"/>
  <c r="Z150" i="24"/>
  <c r="Y150" i="24"/>
  <c r="X150" i="24"/>
  <c r="W150" i="24"/>
  <c r="V150" i="24"/>
  <c r="AO149" i="24"/>
  <c r="AN149" i="24"/>
  <c r="AM149" i="24"/>
  <c r="AL149" i="24"/>
  <c r="AK149" i="24"/>
  <c r="AJ149" i="24"/>
  <c r="AI149" i="24"/>
  <c r="AH149" i="24"/>
  <c r="AG149" i="24"/>
  <c r="AF149" i="24"/>
  <c r="AE149" i="24"/>
  <c r="AD149" i="24"/>
  <c r="AC149" i="24"/>
  <c r="AB149" i="24"/>
  <c r="AA149" i="24"/>
  <c r="Z149" i="24"/>
  <c r="Y149" i="24"/>
  <c r="X149" i="24"/>
  <c r="W149" i="24"/>
  <c r="V149" i="24"/>
  <c r="AO148" i="24"/>
  <c r="AN148" i="24"/>
  <c r="AM148" i="24"/>
  <c r="AL148" i="24"/>
  <c r="AK148" i="24"/>
  <c r="AJ148" i="24"/>
  <c r="AI148" i="24"/>
  <c r="AH148" i="24"/>
  <c r="AG148" i="24"/>
  <c r="AF148" i="24"/>
  <c r="AE148" i="24"/>
  <c r="AD148" i="24"/>
  <c r="AC148" i="24"/>
  <c r="AB148" i="24"/>
  <c r="AA148" i="24"/>
  <c r="Z148" i="24"/>
  <c r="Y148" i="24"/>
  <c r="X148" i="24"/>
  <c r="W148" i="24"/>
  <c r="V148" i="24"/>
  <c r="AO147" i="24"/>
  <c r="AN147" i="24"/>
  <c r="AM147" i="24"/>
  <c r="AL147" i="24"/>
  <c r="AK147" i="24"/>
  <c r="AJ147" i="24"/>
  <c r="AI147" i="24"/>
  <c r="AH147" i="24"/>
  <c r="AG147" i="24"/>
  <c r="AF147" i="24"/>
  <c r="AE147" i="24"/>
  <c r="AD147" i="24"/>
  <c r="AC147" i="24"/>
  <c r="AB147" i="24"/>
  <c r="AA147" i="24"/>
  <c r="Z147" i="24"/>
  <c r="Y147" i="24"/>
  <c r="X147" i="24"/>
  <c r="W147" i="24"/>
  <c r="V147" i="24"/>
  <c r="AO146" i="24"/>
  <c r="AN146" i="24"/>
  <c r="AM146" i="24"/>
  <c r="AL146" i="24"/>
  <c r="AK146" i="24"/>
  <c r="AJ146" i="24"/>
  <c r="AI146" i="24"/>
  <c r="AH146" i="24"/>
  <c r="AG146" i="24"/>
  <c r="AF146" i="24"/>
  <c r="AE146" i="24"/>
  <c r="AD146" i="24"/>
  <c r="AC146" i="24"/>
  <c r="AB146" i="24"/>
  <c r="AA146" i="24"/>
  <c r="Z146" i="24"/>
  <c r="Y146" i="24"/>
  <c r="X146" i="24"/>
  <c r="W146" i="24"/>
  <c r="V146" i="24"/>
  <c r="AO145" i="24"/>
  <c r="AN145" i="24"/>
  <c r="AM145" i="24"/>
  <c r="AL145" i="24"/>
  <c r="AK145" i="24"/>
  <c r="AJ145" i="24"/>
  <c r="AI145" i="24"/>
  <c r="AH145" i="24"/>
  <c r="AG145" i="24"/>
  <c r="AF145" i="24"/>
  <c r="AE145" i="24"/>
  <c r="AD145" i="24"/>
  <c r="AC145" i="24"/>
  <c r="AB145" i="24"/>
  <c r="AA145" i="24"/>
  <c r="Z145" i="24"/>
  <c r="Y145" i="24"/>
  <c r="X145" i="24"/>
  <c r="W145" i="24"/>
  <c r="V145" i="24"/>
  <c r="AO144" i="24"/>
  <c r="AN144" i="24"/>
  <c r="AM144" i="24"/>
  <c r="AL144" i="24"/>
  <c r="AK144" i="24"/>
  <c r="AJ144" i="24"/>
  <c r="AI144" i="24"/>
  <c r="AH144" i="24"/>
  <c r="AG144" i="24"/>
  <c r="AF144" i="24"/>
  <c r="AE144" i="24"/>
  <c r="AD144" i="24"/>
  <c r="AC144" i="24"/>
  <c r="AB144" i="24"/>
  <c r="AA144" i="24"/>
  <c r="Z144" i="24"/>
  <c r="Y144" i="24"/>
  <c r="X144" i="24"/>
  <c r="W144" i="24"/>
  <c r="V144" i="24"/>
  <c r="AO143" i="24"/>
  <c r="AN143" i="24"/>
  <c r="AM143" i="24"/>
  <c r="AL143" i="24"/>
  <c r="AK143" i="24"/>
  <c r="AJ143" i="24"/>
  <c r="AI143" i="24"/>
  <c r="AH143" i="24"/>
  <c r="AG143" i="24"/>
  <c r="AF143" i="24"/>
  <c r="AE143" i="24"/>
  <c r="AD143" i="24"/>
  <c r="AC143" i="24"/>
  <c r="AB143" i="24"/>
  <c r="AA143" i="24"/>
  <c r="Z143" i="24"/>
  <c r="Y143" i="24"/>
  <c r="X143" i="24"/>
  <c r="W143" i="24"/>
  <c r="V143" i="24"/>
  <c r="AO142" i="24"/>
  <c r="AN142" i="24"/>
  <c r="AM142" i="24"/>
  <c r="AL142" i="24"/>
  <c r="AK142" i="24"/>
  <c r="AJ142" i="24"/>
  <c r="AI142" i="24"/>
  <c r="AH142" i="24"/>
  <c r="AG142" i="24"/>
  <c r="AF142" i="24"/>
  <c r="AE142" i="24"/>
  <c r="AD142" i="24"/>
  <c r="AC142" i="24"/>
  <c r="AB142" i="24"/>
  <c r="AA142" i="24"/>
  <c r="Z142" i="24"/>
  <c r="Y142" i="24"/>
  <c r="X142" i="24"/>
  <c r="W142" i="24"/>
  <c r="V142" i="24"/>
  <c r="AO141" i="24"/>
  <c r="AN141" i="24"/>
  <c r="AM141" i="24"/>
  <c r="AL141" i="24"/>
  <c r="AK141" i="24"/>
  <c r="AJ141" i="24"/>
  <c r="AI141" i="24"/>
  <c r="AH141" i="24"/>
  <c r="AG141" i="24"/>
  <c r="AF141" i="24"/>
  <c r="AE141" i="24"/>
  <c r="AD141" i="24"/>
  <c r="AC141" i="24"/>
  <c r="AB141" i="24"/>
  <c r="AA141" i="24"/>
  <c r="Z141" i="24"/>
  <c r="Y141" i="24"/>
  <c r="X141" i="24"/>
  <c r="W141" i="24"/>
  <c r="V141" i="24"/>
  <c r="AO140" i="24"/>
  <c r="AN140" i="24"/>
  <c r="AM140" i="24"/>
  <c r="AL140" i="24"/>
  <c r="AK140" i="24"/>
  <c r="AJ140" i="24"/>
  <c r="AI140" i="24"/>
  <c r="AH140" i="24"/>
  <c r="AG140" i="24"/>
  <c r="AF140" i="24"/>
  <c r="AE140" i="24"/>
  <c r="AD140" i="24"/>
  <c r="AC140" i="24"/>
  <c r="AB140" i="24"/>
  <c r="AA140" i="24"/>
  <c r="Z140" i="24"/>
  <c r="Y140" i="24"/>
  <c r="X140" i="24"/>
  <c r="W140" i="24"/>
  <c r="V140" i="24"/>
  <c r="AO139" i="24"/>
  <c r="AN139" i="24"/>
  <c r="AM139" i="24"/>
  <c r="AL139" i="24"/>
  <c r="AK139" i="24"/>
  <c r="AJ139" i="24"/>
  <c r="AI139" i="24"/>
  <c r="AH139" i="24"/>
  <c r="AG139" i="24"/>
  <c r="AF139" i="24"/>
  <c r="AE139" i="24"/>
  <c r="AD139" i="24"/>
  <c r="AC139" i="24"/>
  <c r="AB139" i="24"/>
  <c r="AA139" i="24"/>
  <c r="Z139" i="24"/>
  <c r="Y139" i="24"/>
  <c r="X139" i="24"/>
  <c r="W139" i="24"/>
  <c r="V139" i="24"/>
  <c r="AO138" i="24"/>
  <c r="AN138" i="24"/>
  <c r="AM138" i="24"/>
  <c r="AL138" i="24"/>
  <c r="AK138" i="24"/>
  <c r="AJ138" i="24"/>
  <c r="AI138" i="24"/>
  <c r="AH138" i="24"/>
  <c r="AG138" i="24"/>
  <c r="AF138" i="24"/>
  <c r="AE138" i="24"/>
  <c r="AD138" i="24"/>
  <c r="AC138" i="24"/>
  <c r="AB138" i="24"/>
  <c r="AA138" i="24"/>
  <c r="Z138" i="24"/>
  <c r="Y138" i="24"/>
  <c r="X138" i="24"/>
  <c r="W138" i="24"/>
  <c r="V138" i="24"/>
  <c r="AO137" i="24"/>
  <c r="AN137" i="24"/>
  <c r="AM137" i="24"/>
  <c r="AL137" i="24"/>
  <c r="AK137" i="24"/>
  <c r="AJ137" i="24"/>
  <c r="AI137" i="24"/>
  <c r="AH137" i="24"/>
  <c r="AG137" i="24"/>
  <c r="AF137" i="24"/>
  <c r="AE137" i="24"/>
  <c r="AD137" i="24"/>
  <c r="AC137" i="24"/>
  <c r="AB137" i="24"/>
  <c r="AA137" i="24"/>
  <c r="Z137" i="24"/>
  <c r="Y137" i="24"/>
  <c r="X137" i="24"/>
  <c r="W137" i="24"/>
  <c r="V137" i="24"/>
  <c r="AO136" i="24"/>
  <c r="AN136" i="24"/>
  <c r="AM136" i="24"/>
  <c r="AL136" i="24"/>
  <c r="AK136" i="24"/>
  <c r="AJ136" i="24"/>
  <c r="AI136" i="24"/>
  <c r="AH136" i="24"/>
  <c r="AG136" i="24"/>
  <c r="AF136" i="24"/>
  <c r="AE136" i="24"/>
  <c r="AD136" i="24"/>
  <c r="AC136" i="24"/>
  <c r="AB136" i="24"/>
  <c r="AA136" i="24"/>
  <c r="Z136" i="24"/>
  <c r="Y136" i="24"/>
  <c r="X136" i="24"/>
  <c r="W136" i="24"/>
  <c r="V136" i="24"/>
  <c r="AO135" i="24"/>
  <c r="AN135" i="24"/>
  <c r="AM135" i="24"/>
  <c r="AL135" i="24"/>
  <c r="AK135" i="24"/>
  <c r="AJ135" i="24"/>
  <c r="AI135" i="24"/>
  <c r="AH135" i="24"/>
  <c r="AG135" i="24"/>
  <c r="AF135" i="24"/>
  <c r="AE135" i="24"/>
  <c r="AD135" i="24"/>
  <c r="AC135" i="24"/>
  <c r="AB135" i="24"/>
  <c r="AA135" i="24"/>
  <c r="Z135" i="24"/>
  <c r="Y135" i="24"/>
  <c r="X135" i="24"/>
  <c r="W135" i="24"/>
  <c r="V135" i="24"/>
  <c r="AO134" i="24"/>
  <c r="AN134" i="24"/>
  <c r="AM134" i="24"/>
  <c r="AL134" i="24"/>
  <c r="AK134" i="24"/>
  <c r="AJ134" i="24"/>
  <c r="AI134" i="24"/>
  <c r="AH134" i="24"/>
  <c r="AG134" i="24"/>
  <c r="AF134" i="24"/>
  <c r="AE134" i="24"/>
  <c r="AD134" i="24"/>
  <c r="AC134" i="24"/>
  <c r="AB134" i="24"/>
  <c r="AA134" i="24"/>
  <c r="Z134" i="24"/>
  <c r="Y134" i="24"/>
  <c r="X134" i="24"/>
  <c r="W134" i="24"/>
  <c r="V134" i="24"/>
  <c r="AO133" i="24"/>
  <c r="AN133" i="24"/>
  <c r="AM133" i="24"/>
  <c r="AL133" i="24"/>
  <c r="AK133" i="24"/>
  <c r="AJ133" i="24"/>
  <c r="AI133" i="24"/>
  <c r="AH133" i="24"/>
  <c r="AG133" i="24"/>
  <c r="AF133" i="24"/>
  <c r="AE133" i="24"/>
  <c r="AD133" i="24"/>
  <c r="AC133" i="24"/>
  <c r="AB133" i="24"/>
  <c r="AA133" i="24"/>
  <c r="Z133" i="24"/>
  <c r="Y133" i="24"/>
  <c r="X133" i="24"/>
  <c r="W133" i="24"/>
  <c r="V133" i="24"/>
  <c r="AO132" i="24"/>
  <c r="AN132" i="24"/>
  <c r="AM132" i="24"/>
  <c r="AL132" i="24"/>
  <c r="AK132" i="24"/>
  <c r="AJ132" i="24"/>
  <c r="AI132" i="24"/>
  <c r="AH132" i="24"/>
  <c r="AG132" i="24"/>
  <c r="AF132" i="24"/>
  <c r="AE132" i="24"/>
  <c r="AD132" i="24"/>
  <c r="AC132" i="24"/>
  <c r="AB132" i="24"/>
  <c r="AA132" i="24"/>
  <c r="Z132" i="24"/>
  <c r="Y132" i="24"/>
  <c r="X132" i="24"/>
  <c r="W132" i="24"/>
  <c r="V132" i="24"/>
  <c r="AO131" i="24"/>
  <c r="AN131" i="24"/>
  <c r="AM131" i="24"/>
  <c r="AL131" i="24"/>
  <c r="AK131" i="24"/>
  <c r="AJ131" i="24"/>
  <c r="AI131" i="24"/>
  <c r="AH131" i="24"/>
  <c r="AG131" i="24"/>
  <c r="AF131" i="24"/>
  <c r="AE131" i="24"/>
  <c r="AD131" i="24"/>
  <c r="AC131" i="24"/>
  <c r="AB131" i="24"/>
  <c r="AA131" i="24"/>
  <c r="Z131" i="24"/>
  <c r="Y131" i="24"/>
  <c r="X131" i="24"/>
  <c r="W131" i="24"/>
  <c r="V131" i="24"/>
  <c r="AO130" i="24"/>
  <c r="AN130" i="24"/>
  <c r="AM130" i="24"/>
  <c r="AL130" i="24"/>
  <c r="AK130" i="24"/>
  <c r="AJ130" i="24"/>
  <c r="AI130" i="24"/>
  <c r="AH130" i="24"/>
  <c r="AG130" i="24"/>
  <c r="AF130" i="24"/>
  <c r="AE130" i="24"/>
  <c r="AD130" i="24"/>
  <c r="AC130" i="24"/>
  <c r="AB130" i="24"/>
  <c r="AA130" i="24"/>
  <c r="Z130" i="24"/>
  <c r="Y130" i="24"/>
  <c r="X130" i="24"/>
  <c r="W130" i="24"/>
  <c r="V130" i="24"/>
  <c r="AO129" i="24"/>
  <c r="AN129" i="24"/>
  <c r="AM129" i="24"/>
  <c r="AL129" i="24"/>
  <c r="AK129" i="24"/>
  <c r="AJ129" i="24"/>
  <c r="AI129" i="24"/>
  <c r="AH129" i="24"/>
  <c r="AG129" i="24"/>
  <c r="AF129" i="24"/>
  <c r="AE129" i="24"/>
  <c r="AD129" i="24"/>
  <c r="AC129" i="24"/>
  <c r="AB129" i="24"/>
  <c r="AA129" i="24"/>
  <c r="Z129" i="24"/>
  <c r="Y129" i="24"/>
  <c r="X129" i="24"/>
  <c r="W129" i="24"/>
  <c r="V129" i="24"/>
  <c r="AO128" i="24"/>
  <c r="AN128" i="24"/>
  <c r="AM128" i="24"/>
  <c r="AL128" i="24"/>
  <c r="AK128" i="24"/>
  <c r="AJ128" i="24"/>
  <c r="AI128" i="24"/>
  <c r="AH128" i="24"/>
  <c r="AG128" i="24"/>
  <c r="AF128" i="24"/>
  <c r="AE128" i="24"/>
  <c r="AD128" i="24"/>
  <c r="AC128" i="24"/>
  <c r="AB128" i="24"/>
  <c r="AA128" i="24"/>
  <c r="Z128" i="24"/>
  <c r="Y128" i="24"/>
  <c r="X128" i="24"/>
  <c r="W128" i="24"/>
  <c r="V128" i="24"/>
  <c r="AO127" i="24"/>
  <c r="AN127" i="24"/>
  <c r="AM127" i="24"/>
  <c r="AL127" i="24"/>
  <c r="AK127" i="24"/>
  <c r="AJ127" i="24"/>
  <c r="AI127" i="24"/>
  <c r="AH127" i="24"/>
  <c r="AG127" i="24"/>
  <c r="AF127" i="24"/>
  <c r="AE127" i="24"/>
  <c r="AD127" i="24"/>
  <c r="AC127" i="24"/>
  <c r="AB127" i="24"/>
  <c r="AA127" i="24"/>
  <c r="Z127" i="24"/>
  <c r="Y127" i="24"/>
  <c r="X127" i="24"/>
  <c r="W127" i="24"/>
  <c r="V127" i="24"/>
  <c r="AO126" i="24"/>
  <c r="AN126" i="24"/>
  <c r="AM126" i="24"/>
  <c r="AL126" i="24"/>
  <c r="AK126" i="24"/>
  <c r="AJ126" i="24"/>
  <c r="AI126" i="24"/>
  <c r="AH126" i="24"/>
  <c r="AG126" i="24"/>
  <c r="AF126" i="24"/>
  <c r="AE126" i="24"/>
  <c r="AD126" i="24"/>
  <c r="AC126" i="24"/>
  <c r="AB126" i="24"/>
  <c r="AA126" i="24"/>
  <c r="Z126" i="24"/>
  <c r="Y126" i="24"/>
  <c r="X126" i="24"/>
  <c r="W126" i="24"/>
  <c r="V126" i="24"/>
  <c r="AO125" i="24"/>
  <c r="AN125" i="24"/>
  <c r="AM125" i="24"/>
  <c r="AL125" i="24"/>
  <c r="AK125" i="24"/>
  <c r="AJ125" i="24"/>
  <c r="AI125" i="24"/>
  <c r="AH125" i="24"/>
  <c r="AG125" i="24"/>
  <c r="AF125" i="24"/>
  <c r="AE125" i="24"/>
  <c r="AD125" i="24"/>
  <c r="AC125" i="24"/>
  <c r="AB125" i="24"/>
  <c r="AA125" i="24"/>
  <c r="Z125" i="24"/>
  <c r="Y125" i="24"/>
  <c r="X125" i="24"/>
  <c r="W125" i="24"/>
  <c r="V125" i="24"/>
  <c r="AO124" i="24"/>
  <c r="AN124" i="24"/>
  <c r="AM124" i="24"/>
  <c r="AL124" i="24"/>
  <c r="AK124" i="24"/>
  <c r="AJ124" i="24"/>
  <c r="AI124" i="24"/>
  <c r="AH124" i="24"/>
  <c r="AG124" i="24"/>
  <c r="AF124" i="24"/>
  <c r="AE124" i="24"/>
  <c r="AD124" i="24"/>
  <c r="AC124" i="24"/>
  <c r="AB124" i="24"/>
  <c r="AA124" i="24"/>
  <c r="Z124" i="24"/>
  <c r="Y124" i="24"/>
  <c r="X124" i="24"/>
  <c r="W124" i="24"/>
  <c r="V124" i="24"/>
  <c r="AO123" i="24"/>
  <c r="AN123" i="24"/>
  <c r="AM123" i="24"/>
  <c r="AL123" i="24"/>
  <c r="AK123" i="24"/>
  <c r="AJ123" i="24"/>
  <c r="AI123" i="24"/>
  <c r="AH123" i="24"/>
  <c r="AG123" i="24"/>
  <c r="AF123" i="24"/>
  <c r="AE123" i="24"/>
  <c r="AD123" i="24"/>
  <c r="AC123" i="24"/>
  <c r="AB123" i="24"/>
  <c r="AA123" i="24"/>
  <c r="Z123" i="24"/>
  <c r="Y123" i="24"/>
  <c r="X123" i="24"/>
  <c r="W123" i="24"/>
  <c r="V123" i="24"/>
  <c r="AO122" i="24"/>
  <c r="AN122" i="24"/>
  <c r="AM122" i="24"/>
  <c r="AL122" i="24"/>
  <c r="AK122" i="24"/>
  <c r="AJ122" i="24"/>
  <c r="AI122" i="24"/>
  <c r="AH122" i="24"/>
  <c r="AG122" i="24"/>
  <c r="AF122" i="24"/>
  <c r="AE122" i="24"/>
  <c r="AD122" i="24"/>
  <c r="AC122" i="24"/>
  <c r="AB122" i="24"/>
  <c r="AA122" i="24"/>
  <c r="Z122" i="24"/>
  <c r="Y122" i="24"/>
  <c r="X122" i="24"/>
  <c r="W122" i="24"/>
  <c r="V122" i="24"/>
  <c r="AO121" i="24"/>
  <c r="AN121" i="24"/>
  <c r="AM121" i="24"/>
  <c r="AL121" i="24"/>
  <c r="AK121" i="24"/>
  <c r="AJ121" i="24"/>
  <c r="AI121" i="24"/>
  <c r="AH121" i="24"/>
  <c r="AG121" i="24"/>
  <c r="AF121" i="24"/>
  <c r="AE121" i="24"/>
  <c r="AD121" i="24"/>
  <c r="AC121" i="24"/>
  <c r="AB121" i="24"/>
  <c r="AA121" i="24"/>
  <c r="Z121" i="24"/>
  <c r="Y121" i="24"/>
  <c r="X121" i="24"/>
  <c r="W121" i="24"/>
  <c r="V121" i="24"/>
  <c r="AO120" i="24"/>
  <c r="AN120" i="24"/>
  <c r="AM120" i="24"/>
  <c r="AL120" i="24"/>
  <c r="AK120" i="24"/>
  <c r="AJ120" i="24"/>
  <c r="AI120" i="24"/>
  <c r="AH120" i="24"/>
  <c r="AG120" i="24"/>
  <c r="AF120" i="24"/>
  <c r="AE120" i="24"/>
  <c r="AD120" i="24"/>
  <c r="AC120" i="24"/>
  <c r="AB120" i="24"/>
  <c r="AA120" i="24"/>
  <c r="Z120" i="24"/>
  <c r="Y120" i="24"/>
  <c r="X120" i="24"/>
  <c r="W120" i="24"/>
  <c r="V120" i="24"/>
  <c r="AO119" i="24"/>
  <c r="AN119" i="24"/>
  <c r="AM119" i="24"/>
  <c r="AL119" i="24"/>
  <c r="AK119" i="24"/>
  <c r="AJ119" i="24"/>
  <c r="AI119" i="24"/>
  <c r="AH119" i="24"/>
  <c r="AG119" i="24"/>
  <c r="AF119" i="24"/>
  <c r="AE119" i="24"/>
  <c r="AD119" i="24"/>
  <c r="AC119" i="24"/>
  <c r="AB119" i="24"/>
  <c r="AA119" i="24"/>
  <c r="Z119" i="24"/>
  <c r="Y119" i="24"/>
  <c r="X119" i="24"/>
  <c r="W119" i="24"/>
  <c r="V119" i="24"/>
  <c r="AO118" i="24"/>
  <c r="AN118" i="24"/>
  <c r="AM118" i="24"/>
  <c r="AL118" i="24"/>
  <c r="AK118" i="24"/>
  <c r="AJ118" i="24"/>
  <c r="AI118" i="24"/>
  <c r="AH118" i="24"/>
  <c r="AG118" i="24"/>
  <c r="AF118" i="24"/>
  <c r="AE118" i="24"/>
  <c r="AD118" i="24"/>
  <c r="AC118" i="24"/>
  <c r="AB118" i="24"/>
  <c r="AA118" i="24"/>
  <c r="Z118" i="24"/>
  <c r="Y118" i="24"/>
  <c r="X118" i="24"/>
  <c r="W118" i="24"/>
  <c r="V118" i="24"/>
  <c r="AO117" i="24"/>
  <c r="AN117" i="24"/>
  <c r="AM117" i="24"/>
  <c r="AL117" i="24"/>
  <c r="AK117" i="24"/>
  <c r="AJ117" i="24"/>
  <c r="AI117" i="24"/>
  <c r="AH117" i="24"/>
  <c r="AG117" i="24"/>
  <c r="AF117" i="24"/>
  <c r="AE117" i="24"/>
  <c r="AD117" i="24"/>
  <c r="AC117" i="24"/>
  <c r="AB117" i="24"/>
  <c r="AA117" i="24"/>
  <c r="Z117" i="24"/>
  <c r="Y117" i="24"/>
  <c r="X117" i="24"/>
  <c r="W117" i="24"/>
  <c r="V117" i="24"/>
  <c r="AO116" i="24"/>
  <c r="AN116" i="24"/>
  <c r="AM116" i="24"/>
  <c r="AL116" i="24"/>
  <c r="AK116" i="24"/>
  <c r="AJ116" i="24"/>
  <c r="AI116" i="24"/>
  <c r="AH116" i="24"/>
  <c r="AG116" i="24"/>
  <c r="AF116" i="24"/>
  <c r="AE116" i="24"/>
  <c r="AD116" i="24"/>
  <c r="AC116" i="24"/>
  <c r="AB116" i="24"/>
  <c r="AA116" i="24"/>
  <c r="Z116" i="24"/>
  <c r="Y116" i="24"/>
  <c r="X116" i="24"/>
  <c r="W116" i="24"/>
  <c r="V116" i="24"/>
  <c r="AO115" i="24"/>
  <c r="AN115" i="24"/>
  <c r="AM115" i="24"/>
  <c r="AL115" i="24"/>
  <c r="AK115" i="24"/>
  <c r="AJ115" i="24"/>
  <c r="AI115" i="24"/>
  <c r="AH115" i="24"/>
  <c r="AG115" i="24"/>
  <c r="AF115" i="24"/>
  <c r="AE115" i="24"/>
  <c r="AD115" i="24"/>
  <c r="AC115" i="24"/>
  <c r="AB115" i="24"/>
  <c r="AA115" i="24"/>
  <c r="Z115" i="24"/>
  <c r="Y115" i="24"/>
  <c r="X115" i="24"/>
  <c r="W115" i="24"/>
  <c r="V115" i="24"/>
  <c r="AO114" i="24"/>
  <c r="AN114" i="24"/>
  <c r="AM114" i="24"/>
  <c r="AL114" i="24"/>
  <c r="AK114" i="24"/>
  <c r="AJ114" i="24"/>
  <c r="AI114" i="24"/>
  <c r="AH114" i="24"/>
  <c r="AG114" i="24"/>
  <c r="AF114" i="24"/>
  <c r="AE114" i="24"/>
  <c r="AD114" i="24"/>
  <c r="AC114" i="24"/>
  <c r="AB114" i="24"/>
  <c r="AA114" i="24"/>
  <c r="Z114" i="24"/>
  <c r="Y114" i="24"/>
  <c r="X114" i="24"/>
  <c r="W114" i="24"/>
  <c r="V114" i="24"/>
  <c r="AO113" i="24"/>
  <c r="AN113" i="24"/>
  <c r="AM113" i="24"/>
  <c r="AL113" i="24"/>
  <c r="AK113" i="24"/>
  <c r="AJ113" i="24"/>
  <c r="AI113" i="24"/>
  <c r="AH113" i="24"/>
  <c r="AG113" i="24"/>
  <c r="AF113" i="24"/>
  <c r="AE113" i="24"/>
  <c r="AD113" i="24"/>
  <c r="AC113" i="24"/>
  <c r="AB113" i="24"/>
  <c r="AA113" i="24"/>
  <c r="Z113" i="24"/>
  <c r="Y113" i="24"/>
  <c r="X113" i="24"/>
  <c r="W113" i="24"/>
  <c r="V113" i="24"/>
  <c r="AO112" i="24"/>
  <c r="AN112" i="24"/>
  <c r="AM112" i="24"/>
  <c r="AL112" i="24"/>
  <c r="AK112" i="24"/>
  <c r="AJ112" i="24"/>
  <c r="AI112" i="24"/>
  <c r="AH112" i="24"/>
  <c r="AG112" i="24"/>
  <c r="AF112" i="24"/>
  <c r="AE112" i="24"/>
  <c r="AD112" i="24"/>
  <c r="AC112" i="24"/>
  <c r="AB112" i="24"/>
  <c r="AA112" i="24"/>
  <c r="Z112" i="24"/>
  <c r="Y112" i="24"/>
  <c r="X112" i="24"/>
  <c r="W112" i="24"/>
  <c r="V112" i="24"/>
  <c r="AO111" i="24"/>
  <c r="AN111" i="24"/>
  <c r="AM111" i="24"/>
  <c r="AL111" i="24"/>
  <c r="AK111" i="24"/>
  <c r="AJ111" i="24"/>
  <c r="AI111" i="24"/>
  <c r="AH111" i="24"/>
  <c r="AG111" i="24"/>
  <c r="AF111" i="24"/>
  <c r="AE111" i="24"/>
  <c r="AD111" i="24"/>
  <c r="AC111" i="24"/>
  <c r="AB111" i="24"/>
  <c r="AA111" i="24"/>
  <c r="Z111" i="24"/>
  <c r="Y111" i="24"/>
  <c r="X111" i="24"/>
  <c r="W111" i="24"/>
  <c r="V111" i="24"/>
  <c r="AO110" i="24"/>
  <c r="AN110" i="24"/>
  <c r="AM110" i="24"/>
  <c r="AL110" i="24"/>
  <c r="AK110" i="24"/>
  <c r="AJ110" i="24"/>
  <c r="AI110" i="24"/>
  <c r="AH110" i="24"/>
  <c r="AG110" i="24"/>
  <c r="AF110" i="24"/>
  <c r="AE110" i="24"/>
  <c r="AD110" i="24"/>
  <c r="AC110" i="24"/>
  <c r="AB110" i="24"/>
  <c r="AA110" i="24"/>
  <c r="Z110" i="24"/>
  <c r="Y110" i="24"/>
  <c r="X110" i="24"/>
  <c r="W110" i="24"/>
  <c r="V110" i="24"/>
  <c r="AO109" i="24"/>
  <c r="AN109" i="24"/>
  <c r="AM109" i="24"/>
  <c r="AL109" i="24"/>
  <c r="AK109" i="24"/>
  <c r="AJ109" i="24"/>
  <c r="AI109" i="24"/>
  <c r="AH109" i="24"/>
  <c r="AG109" i="24"/>
  <c r="AF109" i="24"/>
  <c r="AE109" i="24"/>
  <c r="AD109" i="24"/>
  <c r="AC109" i="24"/>
  <c r="AB109" i="24"/>
  <c r="AA109" i="24"/>
  <c r="Z109" i="24"/>
  <c r="Y109" i="24"/>
  <c r="X109" i="24"/>
  <c r="W109" i="24"/>
  <c r="V109" i="24"/>
  <c r="AO108" i="24"/>
  <c r="AN108" i="24"/>
  <c r="AM108" i="24"/>
  <c r="AL108" i="24"/>
  <c r="AK108" i="24"/>
  <c r="AJ108" i="24"/>
  <c r="AI108" i="24"/>
  <c r="AH108" i="24"/>
  <c r="AG108" i="24"/>
  <c r="AF108" i="24"/>
  <c r="AE108" i="24"/>
  <c r="AD108" i="24"/>
  <c r="AC108" i="24"/>
  <c r="AB108" i="24"/>
  <c r="AA108" i="24"/>
  <c r="Z108" i="24"/>
  <c r="Y108" i="24"/>
  <c r="X108" i="24"/>
  <c r="W108" i="24"/>
  <c r="V108" i="24"/>
  <c r="AO107" i="24"/>
  <c r="AN107" i="24"/>
  <c r="AM107" i="24"/>
  <c r="AL107" i="24"/>
  <c r="AK107" i="24"/>
  <c r="AJ107" i="24"/>
  <c r="AI107" i="24"/>
  <c r="AH107" i="24"/>
  <c r="AG107" i="24"/>
  <c r="AF107" i="24"/>
  <c r="AE107" i="24"/>
  <c r="AD107" i="24"/>
  <c r="AC107" i="24"/>
  <c r="AB107" i="24"/>
  <c r="AA107" i="24"/>
  <c r="Z107" i="24"/>
  <c r="Y107" i="24"/>
  <c r="X107" i="24"/>
  <c r="W107" i="24"/>
  <c r="V107" i="24"/>
  <c r="AO106" i="24"/>
  <c r="AN106" i="24"/>
  <c r="AM106" i="24"/>
  <c r="AL106" i="24"/>
  <c r="AK106" i="24"/>
  <c r="AJ106" i="24"/>
  <c r="AI106" i="24"/>
  <c r="AH106" i="24"/>
  <c r="AG106" i="24"/>
  <c r="AF106" i="24"/>
  <c r="AE106" i="24"/>
  <c r="AD106" i="24"/>
  <c r="AC106" i="24"/>
  <c r="AB106" i="24"/>
  <c r="AA106" i="24"/>
  <c r="Z106" i="24"/>
  <c r="Y106" i="24"/>
  <c r="X106" i="24"/>
  <c r="W106" i="24"/>
  <c r="V106" i="24"/>
  <c r="AO105" i="24"/>
  <c r="AN105" i="24"/>
  <c r="AM105" i="24"/>
  <c r="AL105" i="24"/>
  <c r="AK105" i="24"/>
  <c r="AJ105" i="24"/>
  <c r="AI105" i="24"/>
  <c r="AH105" i="24"/>
  <c r="AG105" i="24"/>
  <c r="AF105" i="24"/>
  <c r="AE105" i="24"/>
  <c r="AD105" i="24"/>
  <c r="AC105" i="24"/>
  <c r="AB105" i="24"/>
  <c r="AA105" i="24"/>
  <c r="Z105" i="24"/>
  <c r="Y105" i="24"/>
  <c r="X105" i="24"/>
  <c r="W105" i="24"/>
  <c r="V105" i="24"/>
  <c r="AO104" i="24"/>
  <c r="AN104" i="24"/>
  <c r="AM104" i="24"/>
  <c r="AL104" i="24"/>
  <c r="AK104" i="24"/>
  <c r="AJ104" i="24"/>
  <c r="AI104" i="24"/>
  <c r="AH104" i="24"/>
  <c r="AG104" i="24"/>
  <c r="AF104" i="24"/>
  <c r="AE104" i="24"/>
  <c r="AD104" i="24"/>
  <c r="AC104" i="24"/>
  <c r="AB104" i="24"/>
  <c r="AA104" i="24"/>
  <c r="Z104" i="24"/>
  <c r="Y104" i="24"/>
  <c r="X104" i="24"/>
  <c r="W104" i="24"/>
  <c r="V104" i="24"/>
  <c r="AO103" i="24"/>
  <c r="AN103" i="24"/>
  <c r="AM103" i="24"/>
  <c r="AL103" i="24"/>
  <c r="AK103" i="24"/>
  <c r="AJ103" i="24"/>
  <c r="AI103" i="24"/>
  <c r="AH103" i="24"/>
  <c r="AG103" i="24"/>
  <c r="AF103" i="24"/>
  <c r="AE103" i="24"/>
  <c r="AD103" i="24"/>
  <c r="AC103" i="24"/>
  <c r="AB103" i="24"/>
  <c r="AA103" i="24"/>
  <c r="Z103" i="24"/>
  <c r="Y103" i="24"/>
  <c r="X103" i="24"/>
  <c r="W103" i="24"/>
  <c r="V103" i="24"/>
  <c r="AO102" i="24"/>
  <c r="AN102" i="24"/>
  <c r="AM102" i="24"/>
  <c r="AL102" i="24"/>
  <c r="AK102" i="24"/>
  <c r="AJ102" i="24"/>
  <c r="AI102" i="24"/>
  <c r="AH102" i="24"/>
  <c r="AG102" i="24"/>
  <c r="AF102" i="24"/>
  <c r="AE102" i="24"/>
  <c r="AD102" i="24"/>
  <c r="AC102" i="24"/>
  <c r="AB102" i="24"/>
  <c r="AA102" i="24"/>
  <c r="Z102" i="24"/>
  <c r="Y102" i="24"/>
  <c r="X102" i="24"/>
  <c r="W102" i="24"/>
  <c r="V102" i="24"/>
  <c r="AO101" i="24"/>
  <c r="AN101" i="24"/>
  <c r="AM101" i="24"/>
  <c r="AL101" i="24"/>
  <c r="AK101" i="24"/>
  <c r="AJ101" i="24"/>
  <c r="AI101" i="24"/>
  <c r="AH101" i="24"/>
  <c r="AG101" i="24"/>
  <c r="AF101" i="24"/>
  <c r="AE101" i="24"/>
  <c r="AD101" i="24"/>
  <c r="AC101" i="24"/>
  <c r="AB101" i="24"/>
  <c r="AA101" i="24"/>
  <c r="Z101" i="24"/>
  <c r="Y101" i="24"/>
  <c r="X101" i="24"/>
  <c r="W101" i="24"/>
  <c r="V101" i="24"/>
  <c r="AO100" i="24"/>
  <c r="AN100" i="24"/>
  <c r="AM100" i="24"/>
  <c r="AL100" i="24"/>
  <c r="AK100" i="24"/>
  <c r="AJ100" i="24"/>
  <c r="AI100" i="24"/>
  <c r="AH100" i="24"/>
  <c r="AG100" i="24"/>
  <c r="AF100" i="24"/>
  <c r="AE100" i="24"/>
  <c r="AD100" i="24"/>
  <c r="AC100" i="24"/>
  <c r="AB100" i="24"/>
  <c r="AA100" i="24"/>
  <c r="Z100" i="24"/>
  <c r="Y100" i="24"/>
  <c r="X100" i="24"/>
  <c r="W100" i="24"/>
  <c r="V100" i="24"/>
  <c r="Y92" i="24"/>
  <c r="AC87" i="24"/>
  <c r="Z82" i="24"/>
  <c r="Y82" i="24"/>
  <c r="X82" i="24"/>
  <c r="W82" i="24"/>
  <c r="V82" i="24"/>
  <c r="Z81" i="24"/>
  <c r="Y81" i="24"/>
  <c r="X81" i="24"/>
  <c r="W81" i="24"/>
  <c r="V81" i="24"/>
  <c r="Z80" i="24"/>
  <c r="Y80" i="24"/>
  <c r="X80" i="24"/>
  <c r="W80" i="24"/>
  <c r="V80" i="24"/>
  <c r="Z79" i="24"/>
  <c r="Y79" i="24"/>
  <c r="X79" i="24"/>
  <c r="W79" i="24"/>
  <c r="V79" i="24"/>
  <c r="Z78" i="24"/>
  <c r="Y78" i="24"/>
  <c r="X78" i="24"/>
  <c r="W78" i="24"/>
  <c r="V78" i="24"/>
  <c r="Z77" i="24"/>
  <c r="Y77" i="24"/>
  <c r="X77" i="24"/>
  <c r="W77" i="24"/>
  <c r="V77" i="24"/>
  <c r="Z76" i="24"/>
  <c r="Y76" i="24"/>
  <c r="X76" i="24"/>
  <c r="W76" i="24"/>
  <c r="V76" i="24"/>
  <c r="Z75" i="24"/>
  <c r="Y75" i="24"/>
  <c r="X75" i="24"/>
  <c r="W75" i="24"/>
  <c r="V75" i="24"/>
  <c r="Z74" i="24"/>
  <c r="Y74" i="24"/>
  <c r="X74" i="24"/>
  <c r="W74" i="24"/>
  <c r="V74" i="24"/>
  <c r="Z73" i="24"/>
  <c r="Y73" i="24"/>
  <c r="X73" i="24"/>
  <c r="W73" i="24"/>
  <c r="V73" i="24"/>
  <c r="Z68" i="24"/>
  <c r="Y68" i="24"/>
  <c r="X68" i="24"/>
  <c r="W68" i="24"/>
  <c r="V68" i="24"/>
  <c r="Z67" i="24"/>
  <c r="Y67" i="24"/>
  <c r="X67" i="24"/>
  <c r="W67" i="24"/>
  <c r="V67" i="24"/>
  <c r="Z66" i="24"/>
  <c r="Y66" i="24"/>
  <c r="X66" i="24"/>
  <c r="W66" i="24"/>
  <c r="V66" i="24"/>
  <c r="Z65" i="24"/>
  <c r="Y65" i="24"/>
  <c r="X65" i="24"/>
  <c r="W65" i="24"/>
  <c r="V65" i="24"/>
  <c r="Z64" i="24"/>
  <c r="Y64" i="24"/>
  <c r="X64" i="24"/>
  <c r="W64" i="24"/>
  <c r="V64" i="24"/>
  <c r="Z63" i="24"/>
  <c r="Y63" i="24"/>
  <c r="X63" i="24"/>
  <c r="W63" i="24"/>
  <c r="V63" i="24"/>
  <c r="Z62" i="24"/>
  <c r="Y62" i="24"/>
  <c r="X62" i="24"/>
  <c r="W62" i="24"/>
  <c r="V62" i="24"/>
  <c r="Z61" i="24"/>
  <c r="Y61" i="24"/>
  <c r="X61" i="24"/>
  <c r="W61" i="24"/>
  <c r="V61" i="24"/>
  <c r="Z60" i="24"/>
  <c r="Y60" i="24"/>
  <c r="X60" i="24"/>
  <c r="W60" i="24"/>
  <c r="V60" i="24"/>
  <c r="Z59" i="24"/>
  <c r="Y59" i="24"/>
  <c r="X59" i="24"/>
  <c r="W59" i="24"/>
  <c r="V59" i="24"/>
  <c r="AQ58" i="24"/>
  <c r="D40" i="24" s="1"/>
  <c r="Z58" i="24"/>
  <c r="Y58" i="24"/>
  <c r="X58" i="24"/>
  <c r="W58" i="24"/>
  <c r="V58" i="24"/>
  <c r="Z57" i="24"/>
  <c r="Y57" i="24"/>
  <c r="X57" i="24"/>
  <c r="W57" i="24"/>
  <c r="V57" i="24"/>
  <c r="Z56" i="24"/>
  <c r="Y56" i="24"/>
  <c r="X56" i="24"/>
  <c r="W56" i="24"/>
  <c r="V56" i="24"/>
  <c r="AP44" i="24"/>
  <c r="B59" i="24" s="1"/>
  <c r="AP43" i="24"/>
  <c r="B58" i="24" s="1"/>
  <c r="AP42" i="24"/>
  <c r="B57" i="24" s="1"/>
  <c r="X42" i="24"/>
  <c r="AP41" i="24"/>
  <c r="B56" i="24" s="1"/>
  <c r="X41" i="24"/>
  <c r="AP40" i="24"/>
  <c r="B55" i="24" s="1"/>
  <c r="X40" i="24"/>
  <c r="B40" i="24"/>
  <c r="X39" i="24"/>
  <c r="X38" i="24"/>
  <c r="X37" i="24"/>
  <c r="X36" i="24"/>
  <c r="X35" i="24"/>
  <c r="P35" i="24"/>
  <c r="B35" i="24"/>
  <c r="X34" i="24"/>
  <c r="J34" i="24"/>
  <c r="D35" i="24" s="1"/>
  <c r="X33" i="24"/>
  <c r="X32" i="24"/>
  <c r="AG31" i="24"/>
  <c r="X31" i="24"/>
  <c r="X30" i="24"/>
  <c r="X29" i="24"/>
  <c r="B29" i="24"/>
  <c r="AQ27" i="24" s="1"/>
  <c r="X28" i="24"/>
  <c r="B27" i="24"/>
  <c r="P25" i="24"/>
  <c r="I24" i="24" s="1"/>
  <c r="G24" i="24"/>
  <c r="E24" i="24"/>
  <c r="C24" i="24"/>
  <c r="AB23" i="24"/>
  <c r="AA23" i="24"/>
  <c r="Z23" i="24"/>
  <c r="Y23" i="24"/>
  <c r="I23" i="24"/>
  <c r="G23" i="24"/>
  <c r="E23" i="24"/>
  <c r="C23" i="24"/>
  <c r="AB22" i="24"/>
  <c r="AA22" i="24"/>
  <c r="Z22" i="24"/>
  <c r="Y22" i="24"/>
  <c r="I22" i="24"/>
  <c r="G22" i="24"/>
  <c r="E22" i="24"/>
  <c r="C22" i="24"/>
  <c r="I21" i="24"/>
  <c r="G21" i="24"/>
  <c r="E21" i="24"/>
  <c r="C21" i="24"/>
  <c r="AQ20" i="24"/>
  <c r="B49" i="24" s="1"/>
  <c r="AQ36" i="24" s="1"/>
  <c r="AI20" i="24"/>
  <c r="I20" i="24"/>
  <c r="AQ19" i="24"/>
  <c r="B48" i="24" s="1"/>
  <c r="AQ35" i="24" s="1"/>
  <c r="AI19" i="24"/>
  <c r="AQ18" i="24"/>
  <c r="B47" i="24" s="1"/>
  <c r="AQ34" i="24" s="1"/>
  <c r="AI18" i="24"/>
  <c r="I18" i="24"/>
  <c r="AI17" i="24"/>
  <c r="AI16" i="24"/>
  <c r="AI15" i="24"/>
  <c r="AJ15" i="24" s="1"/>
  <c r="AQ14" i="24"/>
  <c r="AI14" i="24"/>
  <c r="I14" i="24"/>
  <c r="AQ13" i="24"/>
  <c r="B45" i="24" s="1"/>
  <c r="AQ32" i="24" s="1"/>
  <c r="AI13" i="24"/>
  <c r="AQ12" i="24"/>
  <c r="B44" i="24" s="1"/>
  <c r="AQ31" i="24" s="1"/>
  <c r="AI12" i="24"/>
  <c r="AI11" i="24"/>
  <c r="AB11" i="24"/>
  <c r="AA11" i="24"/>
  <c r="Z11" i="24"/>
  <c r="Y11" i="24"/>
  <c r="AI10" i="24"/>
  <c r="AB10" i="24"/>
  <c r="AA10" i="24"/>
  <c r="Z10" i="24"/>
  <c r="Y10" i="24"/>
  <c r="AI9" i="24"/>
  <c r="AJ9" i="24" s="1"/>
  <c r="AB9" i="24"/>
  <c r="AA9" i="24"/>
  <c r="Z9" i="24"/>
  <c r="Y9" i="24"/>
  <c r="AQ8" i="24"/>
  <c r="B43" i="24" s="1"/>
  <c r="AQ30" i="24" s="1"/>
  <c r="AB8" i="24"/>
  <c r="AA8" i="24"/>
  <c r="Z8" i="24"/>
  <c r="Y8" i="24"/>
  <c r="AQ7" i="24"/>
  <c r="AQ6" i="24"/>
  <c r="B41" i="24" s="1"/>
  <c r="AQ28" i="24" s="1"/>
  <c r="AC30" i="20"/>
  <c r="AO179" i="20"/>
  <c r="AN179" i="20"/>
  <c r="AM179" i="20"/>
  <c r="AL179" i="20"/>
  <c r="AK179" i="20"/>
  <c r="AJ179" i="20"/>
  <c r="AI179" i="20"/>
  <c r="AH179" i="20"/>
  <c r="AG179" i="20"/>
  <c r="AF179" i="20"/>
  <c r="AE179" i="20"/>
  <c r="AD179" i="20"/>
  <c r="AC179" i="20"/>
  <c r="AB179" i="20"/>
  <c r="AA179" i="20"/>
  <c r="Z179" i="20"/>
  <c r="Y179" i="20"/>
  <c r="X179" i="20"/>
  <c r="W179" i="20"/>
  <c r="V179" i="20"/>
  <c r="AO178" i="20"/>
  <c r="AN178" i="20"/>
  <c r="AM178" i="20"/>
  <c r="AL178" i="20"/>
  <c r="AK178" i="20"/>
  <c r="AJ178" i="20"/>
  <c r="AI178" i="20"/>
  <c r="AH178" i="20"/>
  <c r="AG178" i="20"/>
  <c r="AF178" i="20"/>
  <c r="AE178" i="20"/>
  <c r="AD178" i="20"/>
  <c r="AC178" i="20"/>
  <c r="AB178" i="20"/>
  <c r="AA178" i="20"/>
  <c r="Z178" i="20"/>
  <c r="Y178" i="20"/>
  <c r="X178" i="20"/>
  <c r="W178" i="20"/>
  <c r="V178" i="20"/>
  <c r="AO177" i="20"/>
  <c r="AN177" i="20"/>
  <c r="AM177" i="20"/>
  <c r="AL177" i="20"/>
  <c r="AK177" i="20"/>
  <c r="AJ177" i="20"/>
  <c r="AI177" i="20"/>
  <c r="AH177" i="20"/>
  <c r="AG177" i="20"/>
  <c r="AF177" i="20"/>
  <c r="AE177" i="20"/>
  <c r="AD177" i="20"/>
  <c r="AC177" i="20"/>
  <c r="AB177" i="20"/>
  <c r="AA177" i="20"/>
  <c r="Z177" i="20"/>
  <c r="Y177" i="20"/>
  <c r="X177" i="20"/>
  <c r="W177" i="20"/>
  <c r="V177" i="20"/>
  <c r="AO176" i="20"/>
  <c r="AN176" i="20"/>
  <c r="AM176" i="20"/>
  <c r="AL176" i="20"/>
  <c r="AK176" i="20"/>
  <c r="AJ176" i="20"/>
  <c r="AI176" i="20"/>
  <c r="AH176" i="20"/>
  <c r="AG176" i="20"/>
  <c r="AF176" i="20"/>
  <c r="AE176" i="20"/>
  <c r="AD176" i="20"/>
  <c r="AC176" i="20"/>
  <c r="AB176" i="20"/>
  <c r="AA176" i="20"/>
  <c r="Z176" i="20"/>
  <c r="Y176" i="20"/>
  <c r="X176" i="20"/>
  <c r="W176" i="20"/>
  <c r="V176" i="20"/>
  <c r="AO175" i="20"/>
  <c r="AN175" i="20"/>
  <c r="AM175" i="20"/>
  <c r="AL175" i="20"/>
  <c r="AK175" i="20"/>
  <c r="AJ175" i="20"/>
  <c r="AI175" i="20"/>
  <c r="AH175" i="20"/>
  <c r="AG175" i="20"/>
  <c r="AF175" i="20"/>
  <c r="AE175" i="20"/>
  <c r="AD175" i="20"/>
  <c r="AC175" i="20"/>
  <c r="AB175" i="20"/>
  <c r="AA175" i="20"/>
  <c r="Z175" i="20"/>
  <c r="Y175" i="20"/>
  <c r="X175" i="20"/>
  <c r="W175" i="20"/>
  <c r="V175" i="20"/>
  <c r="AO174" i="20"/>
  <c r="AN174" i="20"/>
  <c r="AM174" i="20"/>
  <c r="AL174" i="20"/>
  <c r="AK174" i="20"/>
  <c r="AJ174" i="20"/>
  <c r="AI174" i="20"/>
  <c r="AH174" i="20"/>
  <c r="AG174" i="20"/>
  <c r="AF174" i="20"/>
  <c r="AE174" i="20"/>
  <c r="AD174" i="20"/>
  <c r="AC174" i="20"/>
  <c r="AB174" i="20"/>
  <c r="AA174" i="20"/>
  <c r="Z174" i="20"/>
  <c r="Y174" i="20"/>
  <c r="X174" i="20"/>
  <c r="W174" i="20"/>
  <c r="V174" i="20"/>
  <c r="AO173" i="20"/>
  <c r="AN173" i="20"/>
  <c r="AM173" i="20"/>
  <c r="AL173" i="20"/>
  <c r="AK173" i="20"/>
  <c r="AJ173" i="20"/>
  <c r="AI173" i="20"/>
  <c r="AH173" i="20"/>
  <c r="AG173" i="20"/>
  <c r="AF173" i="20"/>
  <c r="AE173" i="20"/>
  <c r="AD173" i="20"/>
  <c r="AC173" i="20"/>
  <c r="AB173" i="20"/>
  <c r="AA173" i="20"/>
  <c r="Z173" i="20"/>
  <c r="Y173" i="20"/>
  <c r="X173" i="20"/>
  <c r="W173" i="20"/>
  <c r="V173" i="20"/>
  <c r="AO172" i="20"/>
  <c r="AN172" i="20"/>
  <c r="AM172" i="20"/>
  <c r="AL172" i="20"/>
  <c r="AK172" i="20"/>
  <c r="AJ172" i="20"/>
  <c r="AI172" i="20"/>
  <c r="AH172" i="20"/>
  <c r="AG172" i="20"/>
  <c r="AF172" i="20"/>
  <c r="AE172" i="20"/>
  <c r="AD172" i="20"/>
  <c r="AC172" i="20"/>
  <c r="AB172" i="20"/>
  <c r="AA172" i="20"/>
  <c r="Z172" i="20"/>
  <c r="Y172" i="20"/>
  <c r="X172" i="20"/>
  <c r="W172" i="20"/>
  <c r="V172" i="20"/>
  <c r="AO171" i="20"/>
  <c r="AN171" i="20"/>
  <c r="AM171" i="20"/>
  <c r="AL171" i="20"/>
  <c r="AK171" i="20"/>
  <c r="AJ171" i="20"/>
  <c r="AI171" i="20"/>
  <c r="AH171" i="20"/>
  <c r="AG171" i="20"/>
  <c r="AF171" i="20"/>
  <c r="AE171" i="20"/>
  <c r="AD171" i="20"/>
  <c r="AC171" i="20"/>
  <c r="AB171" i="20"/>
  <c r="AA171" i="20"/>
  <c r="Z171" i="20"/>
  <c r="Y171" i="20"/>
  <c r="X171" i="20"/>
  <c r="W171" i="20"/>
  <c r="V171" i="20"/>
  <c r="AO170" i="20"/>
  <c r="AN170" i="20"/>
  <c r="AM170" i="20"/>
  <c r="AL170" i="20"/>
  <c r="AK170" i="20"/>
  <c r="AJ170" i="20"/>
  <c r="AI170" i="20"/>
  <c r="AH170" i="20"/>
  <c r="AG170" i="20"/>
  <c r="AF170" i="20"/>
  <c r="AE170" i="20"/>
  <c r="AD170" i="20"/>
  <c r="AC170" i="20"/>
  <c r="AB170" i="20"/>
  <c r="AA170" i="20"/>
  <c r="Z170" i="20"/>
  <c r="Y170" i="20"/>
  <c r="X170" i="20"/>
  <c r="W170" i="20"/>
  <c r="V170" i="20"/>
  <c r="AO169" i="20"/>
  <c r="AN169" i="20"/>
  <c r="AM169" i="20"/>
  <c r="AL169" i="20"/>
  <c r="AK169" i="20"/>
  <c r="AJ169" i="20"/>
  <c r="AI169" i="20"/>
  <c r="AH169" i="20"/>
  <c r="AG169" i="20"/>
  <c r="AF169" i="20"/>
  <c r="AE169" i="20"/>
  <c r="AD169" i="20"/>
  <c r="AC169" i="20"/>
  <c r="AB169" i="20"/>
  <c r="AA169" i="20"/>
  <c r="Z169" i="20"/>
  <c r="Y169" i="20"/>
  <c r="X169" i="20"/>
  <c r="W169" i="20"/>
  <c r="V169" i="20"/>
  <c r="AO168" i="20"/>
  <c r="AN168" i="20"/>
  <c r="AM168" i="20"/>
  <c r="AL168" i="20"/>
  <c r="X95" i="20" s="1"/>
  <c r="AK168" i="20"/>
  <c r="AJ168" i="20"/>
  <c r="AI168" i="20"/>
  <c r="AH168" i="20"/>
  <c r="AG168" i="20"/>
  <c r="AF168" i="20"/>
  <c r="AE168" i="20"/>
  <c r="AD168" i="20"/>
  <c r="AD95" i="20" s="1"/>
  <c r="AC168" i="20"/>
  <c r="AC95" i="20" s="1"/>
  <c r="AB168" i="20"/>
  <c r="AA168" i="20"/>
  <c r="Z168" i="20"/>
  <c r="Z95" i="20" s="1"/>
  <c r="Y168" i="20"/>
  <c r="Y95" i="20" s="1"/>
  <c r="X168" i="20"/>
  <c r="W168" i="20"/>
  <c r="W95" i="20" s="1"/>
  <c r="V168" i="20"/>
  <c r="V95" i="20" s="1"/>
  <c r="AO167" i="20"/>
  <c r="AN167" i="20"/>
  <c r="AM167" i="20"/>
  <c r="AL167" i="20"/>
  <c r="X94" i="20" s="1"/>
  <c r="AK167" i="20"/>
  <c r="AJ167" i="20"/>
  <c r="AI167" i="20"/>
  <c r="AH167" i="20"/>
  <c r="AG167" i="20"/>
  <c r="AF167" i="20"/>
  <c r="AE167" i="20"/>
  <c r="AD167" i="20"/>
  <c r="AD94" i="20" s="1"/>
  <c r="AC167" i="20"/>
  <c r="AC94" i="20" s="1"/>
  <c r="AB167" i="20"/>
  <c r="AB94" i="20" s="1"/>
  <c r="AA167" i="20"/>
  <c r="AA94" i="20" s="1"/>
  <c r="Z167" i="20"/>
  <c r="Z94" i="20" s="1"/>
  <c r="Y167" i="20"/>
  <c r="X167" i="20"/>
  <c r="W167" i="20"/>
  <c r="W94" i="20" s="1"/>
  <c r="V167" i="20"/>
  <c r="V94" i="20" s="1"/>
  <c r="AO166" i="20"/>
  <c r="AN166" i="20"/>
  <c r="AM166" i="20"/>
  <c r="AL166" i="20"/>
  <c r="X93" i="20" s="1"/>
  <c r="AK166" i="20"/>
  <c r="AJ166" i="20"/>
  <c r="AI166" i="20"/>
  <c r="AH166" i="20"/>
  <c r="AG166" i="20"/>
  <c r="AF166" i="20"/>
  <c r="AE166" i="20"/>
  <c r="AD166" i="20"/>
  <c r="AD93" i="20" s="1"/>
  <c r="AC166" i="20"/>
  <c r="AC93" i="20" s="1"/>
  <c r="AB166" i="20"/>
  <c r="AB93" i="20" s="1"/>
  <c r="AA166" i="20"/>
  <c r="AA93" i="20" s="1"/>
  <c r="Z166" i="20"/>
  <c r="Z93" i="20" s="1"/>
  <c r="Y166" i="20"/>
  <c r="Y93" i="20" s="1"/>
  <c r="X166" i="20"/>
  <c r="W166" i="20"/>
  <c r="W93" i="20" s="1"/>
  <c r="V166" i="20"/>
  <c r="V93" i="20" s="1"/>
  <c r="AO165" i="20"/>
  <c r="AN165" i="20"/>
  <c r="AM165" i="20"/>
  <c r="AL165" i="20"/>
  <c r="X92" i="20" s="1"/>
  <c r="AK165" i="20"/>
  <c r="AJ165" i="20"/>
  <c r="AI165" i="20"/>
  <c r="AH165" i="20"/>
  <c r="AG165" i="20"/>
  <c r="AF165" i="20"/>
  <c r="AE165" i="20"/>
  <c r="AD165" i="20"/>
  <c r="AD92" i="20" s="1"/>
  <c r="AC165" i="20"/>
  <c r="AC92" i="20" s="1"/>
  <c r="AB165" i="20"/>
  <c r="AB92" i="20" s="1"/>
  <c r="AA165" i="20"/>
  <c r="AA92" i="20" s="1"/>
  <c r="Z165" i="20"/>
  <c r="Z92" i="20" s="1"/>
  <c r="Y165" i="20"/>
  <c r="X165" i="20"/>
  <c r="W165" i="20"/>
  <c r="V165" i="20"/>
  <c r="V92" i="20" s="1"/>
  <c r="AO164" i="20"/>
  <c r="AN164" i="20"/>
  <c r="AM164" i="20"/>
  <c r="AL164" i="20"/>
  <c r="X91" i="20" s="1"/>
  <c r="AK164" i="20"/>
  <c r="AJ164" i="20"/>
  <c r="AI164" i="20"/>
  <c r="AH164" i="20"/>
  <c r="AG164" i="20"/>
  <c r="AF164" i="20"/>
  <c r="AE164" i="20"/>
  <c r="AD164" i="20"/>
  <c r="AD91" i="20" s="1"/>
  <c r="AC164" i="20"/>
  <c r="AC91" i="20" s="1"/>
  <c r="AB164" i="20"/>
  <c r="AB91" i="20" s="1"/>
  <c r="AA164" i="20"/>
  <c r="AA91" i="20" s="1"/>
  <c r="Z164" i="20"/>
  <c r="Z91" i="20" s="1"/>
  <c r="Y164" i="20"/>
  <c r="Y91" i="20" s="1"/>
  <c r="X164" i="20"/>
  <c r="W164" i="20"/>
  <c r="W91" i="20" s="1"/>
  <c r="V164" i="20"/>
  <c r="V91" i="20" s="1"/>
  <c r="AO163" i="20"/>
  <c r="AN163" i="20"/>
  <c r="AM163" i="20"/>
  <c r="AL163" i="20"/>
  <c r="X90" i="20" s="1"/>
  <c r="AK163" i="20"/>
  <c r="AJ163" i="20"/>
  <c r="AI163" i="20"/>
  <c r="AH163" i="20"/>
  <c r="AG163" i="20"/>
  <c r="AF163" i="20"/>
  <c r="AE163" i="20"/>
  <c r="AD163" i="20"/>
  <c r="AD90" i="20" s="1"/>
  <c r="AC163" i="20"/>
  <c r="AC90" i="20" s="1"/>
  <c r="AB163" i="20"/>
  <c r="AB90" i="20" s="1"/>
  <c r="AA163" i="20"/>
  <c r="Z163" i="20"/>
  <c r="Z90" i="20" s="1"/>
  <c r="Y163" i="20"/>
  <c r="Y90" i="20" s="1"/>
  <c r="X163" i="20"/>
  <c r="W163" i="20"/>
  <c r="W90" i="20" s="1"/>
  <c r="V163" i="20"/>
  <c r="V90" i="20" s="1"/>
  <c r="AO162" i="20"/>
  <c r="AN162" i="20"/>
  <c r="AM162" i="20"/>
  <c r="AL162" i="20"/>
  <c r="X89" i="20" s="1"/>
  <c r="AK162" i="20"/>
  <c r="AJ162" i="20"/>
  <c r="AI162" i="20"/>
  <c r="AH162" i="20"/>
  <c r="AG162" i="20"/>
  <c r="AF162" i="20"/>
  <c r="AE162" i="20"/>
  <c r="AD162" i="20"/>
  <c r="AD89" i="20" s="1"/>
  <c r="AC162" i="20"/>
  <c r="AC89" i="20" s="1"/>
  <c r="AB162" i="20"/>
  <c r="AB89" i="20" s="1"/>
  <c r="AA162" i="20"/>
  <c r="AA89" i="20" s="1"/>
  <c r="Z162" i="20"/>
  <c r="Z89" i="20" s="1"/>
  <c r="Y162" i="20"/>
  <c r="Y89" i="20" s="1"/>
  <c r="X162" i="20"/>
  <c r="W162" i="20"/>
  <c r="V162" i="20"/>
  <c r="V89" i="20" s="1"/>
  <c r="AO161" i="20"/>
  <c r="AN161" i="20"/>
  <c r="AM161" i="20"/>
  <c r="AL161" i="20"/>
  <c r="X88" i="20" s="1"/>
  <c r="AK161" i="20"/>
  <c r="AJ161" i="20"/>
  <c r="AI161" i="20"/>
  <c r="AH161" i="20"/>
  <c r="AG161" i="20"/>
  <c r="AF161" i="20"/>
  <c r="AE161" i="20"/>
  <c r="AD161" i="20"/>
  <c r="AD88" i="20" s="1"/>
  <c r="AC161" i="20"/>
  <c r="AC88" i="20" s="1"/>
  <c r="AB161" i="20"/>
  <c r="AB88" i="20" s="1"/>
  <c r="AA161" i="20"/>
  <c r="AA88" i="20" s="1"/>
  <c r="Z161" i="20"/>
  <c r="Z88" i="20" s="1"/>
  <c r="Y161" i="20"/>
  <c r="Y88" i="20" s="1"/>
  <c r="X161" i="20"/>
  <c r="W161" i="20"/>
  <c r="W88" i="20" s="1"/>
  <c r="V161" i="20"/>
  <c r="V88" i="20" s="1"/>
  <c r="AO160" i="20"/>
  <c r="AN160" i="20"/>
  <c r="AM160" i="20"/>
  <c r="AL160" i="20"/>
  <c r="X87" i="20" s="1"/>
  <c r="AK160" i="20"/>
  <c r="AJ160" i="20"/>
  <c r="AI160" i="20"/>
  <c r="AH160" i="20"/>
  <c r="AG160" i="20"/>
  <c r="AF160" i="20"/>
  <c r="AE160" i="20"/>
  <c r="AD160" i="20"/>
  <c r="AD87" i="20" s="1"/>
  <c r="AC160" i="20"/>
  <c r="AC87" i="20" s="1"/>
  <c r="AB160" i="20"/>
  <c r="AB87" i="20" s="1"/>
  <c r="AA160" i="20"/>
  <c r="Z160" i="20"/>
  <c r="Z87" i="20" s="1"/>
  <c r="Y160" i="20"/>
  <c r="Y87" i="20" s="1"/>
  <c r="X160" i="20"/>
  <c r="W160" i="20"/>
  <c r="W87" i="20" s="1"/>
  <c r="V160" i="20"/>
  <c r="V87" i="20" s="1"/>
  <c r="AO159" i="20"/>
  <c r="AN159" i="20"/>
  <c r="AM159" i="20"/>
  <c r="AL159" i="20"/>
  <c r="AK159" i="20"/>
  <c r="AJ159" i="20"/>
  <c r="AI159" i="20"/>
  <c r="AH159" i="20"/>
  <c r="AG159" i="20"/>
  <c r="AF159" i="20"/>
  <c r="AE159" i="20"/>
  <c r="AD159" i="20"/>
  <c r="AC159" i="20"/>
  <c r="AB159" i="20"/>
  <c r="AA159" i="20"/>
  <c r="Z159" i="20"/>
  <c r="Y159" i="20"/>
  <c r="X159" i="20"/>
  <c r="W159" i="20"/>
  <c r="V159" i="20"/>
  <c r="AO158" i="20"/>
  <c r="AN158" i="20"/>
  <c r="AM158" i="20"/>
  <c r="AL158" i="20"/>
  <c r="AK158" i="20"/>
  <c r="AJ158" i="20"/>
  <c r="AI158" i="20"/>
  <c r="AH158" i="20"/>
  <c r="AG158" i="20"/>
  <c r="AF158" i="20"/>
  <c r="AE158" i="20"/>
  <c r="AD158" i="20"/>
  <c r="AC158" i="20"/>
  <c r="AB158" i="20"/>
  <c r="AA158" i="20"/>
  <c r="Z158" i="20"/>
  <c r="Y158" i="20"/>
  <c r="X158" i="20"/>
  <c r="W158" i="20"/>
  <c r="V158" i="20"/>
  <c r="AO157" i="20"/>
  <c r="AN157" i="20"/>
  <c r="AM157" i="20"/>
  <c r="AL157" i="20"/>
  <c r="AK157" i="20"/>
  <c r="AJ157" i="20"/>
  <c r="AI157" i="20"/>
  <c r="AH157" i="20"/>
  <c r="AG157" i="20"/>
  <c r="AF157" i="20"/>
  <c r="AE157" i="20"/>
  <c r="AD157" i="20"/>
  <c r="AC157" i="20"/>
  <c r="AB157" i="20"/>
  <c r="AA157" i="20"/>
  <c r="Z157" i="20"/>
  <c r="Y157" i="20"/>
  <c r="X157" i="20"/>
  <c r="W157" i="20"/>
  <c r="V157" i="20"/>
  <c r="AO156" i="20"/>
  <c r="AN156" i="20"/>
  <c r="AM156" i="20"/>
  <c r="AL156" i="20"/>
  <c r="AK156" i="20"/>
  <c r="AJ156" i="20"/>
  <c r="AI156" i="20"/>
  <c r="AH156" i="20"/>
  <c r="AG156" i="20"/>
  <c r="AF156" i="20"/>
  <c r="AE156" i="20"/>
  <c r="AD156" i="20"/>
  <c r="AC156" i="20"/>
  <c r="AB156" i="20"/>
  <c r="AA156" i="20"/>
  <c r="Z156" i="20"/>
  <c r="Y156" i="20"/>
  <c r="X156" i="20"/>
  <c r="W156" i="20"/>
  <c r="V156" i="20"/>
  <c r="AO155" i="20"/>
  <c r="AN155" i="20"/>
  <c r="AM155" i="20"/>
  <c r="AL155" i="20"/>
  <c r="AK155" i="20"/>
  <c r="AJ155" i="20"/>
  <c r="AI155" i="20"/>
  <c r="AH155" i="20"/>
  <c r="AG155" i="20"/>
  <c r="AF155" i="20"/>
  <c r="AE155" i="20"/>
  <c r="AD155" i="20"/>
  <c r="AC155" i="20"/>
  <c r="AB155" i="20"/>
  <c r="AA155" i="20"/>
  <c r="Z155" i="20"/>
  <c r="Y155" i="20"/>
  <c r="X155" i="20"/>
  <c r="W155" i="20"/>
  <c r="V155" i="20"/>
  <c r="AO154" i="20"/>
  <c r="AN154" i="20"/>
  <c r="AM154" i="20"/>
  <c r="AL154" i="20"/>
  <c r="AK154" i="20"/>
  <c r="AJ154" i="20"/>
  <c r="AI154" i="20"/>
  <c r="AH154" i="20"/>
  <c r="AG154" i="20"/>
  <c r="AF154" i="20"/>
  <c r="AE154" i="20"/>
  <c r="AD154" i="20"/>
  <c r="AC154" i="20"/>
  <c r="AB154" i="20"/>
  <c r="AA154" i="20"/>
  <c r="Z154" i="20"/>
  <c r="Y154" i="20"/>
  <c r="X154" i="20"/>
  <c r="W154" i="20"/>
  <c r="V154" i="20"/>
  <c r="AO153" i="20"/>
  <c r="AN153" i="20"/>
  <c r="AM153" i="20"/>
  <c r="AL153" i="20"/>
  <c r="AK153" i="20"/>
  <c r="AJ153" i="20"/>
  <c r="AI153" i="20"/>
  <c r="AH153" i="20"/>
  <c r="AG153" i="20"/>
  <c r="AF153" i="20"/>
  <c r="AE153" i="20"/>
  <c r="AD153" i="20"/>
  <c r="AC153" i="20"/>
  <c r="AB153" i="20"/>
  <c r="AA153" i="20"/>
  <c r="Z153" i="20"/>
  <c r="Y153" i="20"/>
  <c r="X153" i="20"/>
  <c r="W153" i="20"/>
  <c r="V153" i="20"/>
  <c r="AO152" i="20"/>
  <c r="AN152" i="20"/>
  <c r="AM152" i="20"/>
  <c r="AL152" i="20"/>
  <c r="AK152" i="20"/>
  <c r="AJ152" i="20"/>
  <c r="AI152" i="20"/>
  <c r="AH152" i="20"/>
  <c r="AG152" i="20"/>
  <c r="AF152" i="20"/>
  <c r="AE152" i="20"/>
  <c r="AD152" i="20"/>
  <c r="AC152" i="20"/>
  <c r="AB152" i="20"/>
  <c r="AA152" i="20"/>
  <c r="Z152" i="20"/>
  <c r="Y152" i="20"/>
  <c r="X152" i="20"/>
  <c r="W152" i="20"/>
  <c r="V152" i="20"/>
  <c r="AO151" i="20"/>
  <c r="AN151" i="20"/>
  <c r="AM151" i="20"/>
  <c r="AL151" i="20"/>
  <c r="AK151" i="20"/>
  <c r="AJ151" i="20"/>
  <c r="AI151" i="20"/>
  <c r="AH151" i="20"/>
  <c r="AG151" i="20"/>
  <c r="AF151" i="20"/>
  <c r="AE151" i="20"/>
  <c r="AD151" i="20"/>
  <c r="AC151" i="20"/>
  <c r="AB151" i="20"/>
  <c r="AA151" i="20"/>
  <c r="Z151" i="20"/>
  <c r="Y151" i="20"/>
  <c r="X151" i="20"/>
  <c r="W151" i="20"/>
  <c r="V151" i="20"/>
  <c r="AO150" i="20"/>
  <c r="AN150" i="20"/>
  <c r="AM150" i="20"/>
  <c r="AL150" i="20"/>
  <c r="AK150" i="20"/>
  <c r="AJ150" i="20"/>
  <c r="AI150" i="20"/>
  <c r="AH150" i="20"/>
  <c r="AG150" i="20"/>
  <c r="AF150" i="20"/>
  <c r="AE150" i="20"/>
  <c r="AD150" i="20"/>
  <c r="AC150" i="20"/>
  <c r="AB150" i="20"/>
  <c r="AA150" i="20"/>
  <c r="Z150" i="20"/>
  <c r="Y150" i="20"/>
  <c r="X150" i="20"/>
  <c r="W150" i="20"/>
  <c r="V150" i="20"/>
  <c r="AO149" i="20"/>
  <c r="AN149" i="20"/>
  <c r="AM149" i="20"/>
  <c r="AL149" i="20"/>
  <c r="AK149" i="20"/>
  <c r="AJ149" i="20"/>
  <c r="AI149" i="20"/>
  <c r="AH149" i="20"/>
  <c r="AG149" i="20"/>
  <c r="AF149" i="20"/>
  <c r="AE149" i="20"/>
  <c r="AD149" i="20"/>
  <c r="AC149" i="20"/>
  <c r="AB149" i="20"/>
  <c r="AA149" i="20"/>
  <c r="Z149" i="20"/>
  <c r="Y149" i="20"/>
  <c r="X149" i="20"/>
  <c r="W149" i="20"/>
  <c r="V149" i="20"/>
  <c r="AO148" i="20"/>
  <c r="AN148" i="20"/>
  <c r="AM148" i="20"/>
  <c r="AL148" i="20"/>
  <c r="AK148" i="20"/>
  <c r="AJ148" i="20"/>
  <c r="AI148" i="20"/>
  <c r="AH148" i="20"/>
  <c r="AG148" i="20"/>
  <c r="AF148" i="20"/>
  <c r="AE148" i="20"/>
  <c r="AD148" i="20"/>
  <c r="AC148" i="20"/>
  <c r="AB148" i="20"/>
  <c r="AA148" i="20"/>
  <c r="Z148" i="20"/>
  <c r="Y148" i="20"/>
  <c r="X148" i="20"/>
  <c r="W148" i="20"/>
  <c r="V148" i="20"/>
  <c r="AO147" i="20"/>
  <c r="AN147" i="20"/>
  <c r="AM147" i="20"/>
  <c r="AL147" i="20"/>
  <c r="AK147" i="20"/>
  <c r="AJ147" i="20"/>
  <c r="AI147" i="20"/>
  <c r="AH147" i="20"/>
  <c r="AG147" i="20"/>
  <c r="AF147" i="20"/>
  <c r="AE147" i="20"/>
  <c r="AD147" i="20"/>
  <c r="AC147" i="20"/>
  <c r="AB147" i="20"/>
  <c r="AA147" i="20"/>
  <c r="Z147" i="20"/>
  <c r="Y147" i="20"/>
  <c r="X147" i="20"/>
  <c r="W147" i="20"/>
  <c r="V147" i="20"/>
  <c r="AO146" i="20"/>
  <c r="AN146" i="20"/>
  <c r="AM146" i="20"/>
  <c r="AL146" i="20"/>
  <c r="AK146" i="20"/>
  <c r="AJ146" i="20"/>
  <c r="AI146" i="20"/>
  <c r="AH146" i="20"/>
  <c r="AG146" i="20"/>
  <c r="AF146" i="20"/>
  <c r="AE146" i="20"/>
  <c r="AD146" i="20"/>
  <c r="AC146" i="20"/>
  <c r="AB146" i="20"/>
  <c r="AA146" i="20"/>
  <c r="Z146" i="20"/>
  <c r="Y146" i="20"/>
  <c r="X146" i="20"/>
  <c r="W146" i="20"/>
  <c r="V146" i="20"/>
  <c r="AO145" i="20"/>
  <c r="AN145" i="20"/>
  <c r="AM145" i="20"/>
  <c r="AL145" i="20"/>
  <c r="AK145" i="20"/>
  <c r="AJ145" i="20"/>
  <c r="AI145" i="20"/>
  <c r="AH145" i="20"/>
  <c r="AG145" i="20"/>
  <c r="AF145" i="20"/>
  <c r="AE145" i="20"/>
  <c r="AD145" i="20"/>
  <c r="AC145" i="20"/>
  <c r="AB145" i="20"/>
  <c r="AA145" i="20"/>
  <c r="Z145" i="20"/>
  <c r="Y145" i="20"/>
  <c r="X145" i="20"/>
  <c r="W145" i="20"/>
  <c r="V145" i="20"/>
  <c r="AO144" i="20"/>
  <c r="AN144" i="20"/>
  <c r="AM144" i="20"/>
  <c r="AL144" i="20"/>
  <c r="AK144" i="20"/>
  <c r="AJ144" i="20"/>
  <c r="AI144" i="20"/>
  <c r="AH144" i="20"/>
  <c r="AG144" i="20"/>
  <c r="AF144" i="20"/>
  <c r="AE144" i="20"/>
  <c r="AD144" i="20"/>
  <c r="AC144" i="20"/>
  <c r="AB144" i="20"/>
  <c r="AA144" i="20"/>
  <c r="Z144" i="20"/>
  <c r="Y144" i="20"/>
  <c r="X144" i="20"/>
  <c r="W144" i="20"/>
  <c r="V144" i="20"/>
  <c r="AO143" i="20"/>
  <c r="AN143" i="20"/>
  <c r="AM143" i="20"/>
  <c r="AL143" i="20"/>
  <c r="AK143" i="20"/>
  <c r="AJ143" i="20"/>
  <c r="AI143" i="20"/>
  <c r="AH143" i="20"/>
  <c r="AG143" i="20"/>
  <c r="AF143" i="20"/>
  <c r="AE143" i="20"/>
  <c r="AD143" i="20"/>
  <c r="AC143" i="20"/>
  <c r="AB143" i="20"/>
  <c r="AA143" i="20"/>
  <c r="Z143" i="20"/>
  <c r="Y143" i="20"/>
  <c r="X143" i="20"/>
  <c r="W143" i="20"/>
  <c r="V143" i="20"/>
  <c r="AO142" i="20"/>
  <c r="AN142" i="20"/>
  <c r="AM142" i="20"/>
  <c r="AL142" i="20"/>
  <c r="AK142" i="20"/>
  <c r="AJ142" i="20"/>
  <c r="AI142" i="20"/>
  <c r="AH142" i="20"/>
  <c r="AG142" i="20"/>
  <c r="AF142" i="20"/>
  <c r="AE142" i="20"/>
  <c r="AD142" i="20"/>
  <c r="AC142" i="20"/>
  <c r="AB142" i="20"/>
  <c r="AA142" i="20"/>
  <c r="Z142" i="20"/>
  <c r="Y142" i="20"/>
  <c r="X142" i="20"/>
  <c r="W142" i="20"/>
  <c r="V142" i="20"/>
  <c r="AO141" i="20"/>
  <c r="AN141" i="20"/>
  <c r="AM141" i="20"/>
  <c r="AL141" i="20"/>
  <c r="AK141" i="20"/>
  <c r="AJ141" i="20"/>
  <c r="AI141" i="20"/>
  <c r="AH141" i="20"/>
  <c r="AG141" i="20"/>
  <c r="AF141" i="20"/>
  <c r="AE141" i="20"/>
  <c r="AD141" i="20"/>
  <c r="AC141" i="20"/>
  <c r="AB141" i="20"/>
  <c r="AA141" i="20"/>
  <c r="Z141" i="20"/>
  <c r="Y141" i="20"/>
  <c r="X141" i="20"/>
  <c r="W141" i="20"/>
  <c r="V141" i="20"/>
  <c r="AO140" i="20"/>
  <c r="AN140" i="20"/>
  <c r="AM140" i="20"/>
  <c r="AL140" i="20"/>
  <c r="AK140" i="20"/>
  <c r="AJ140" i="20"/>
  <c r="AI140" i="20"/>
  <c r="AH140" i="20"/>
  <c r="AG140" i="20"/>
  <c r="AF140" i="20"/>
  <c r="AE140" i="20"/>
  <c r="AD140" i="20"/>
  <c r="AC140" i="20"/>
  <c r="AB140" i="20"/>
  <c r="AA140" i="20"/>
  <c r="Z140" i="20"/>
  <c r="Y140" i="20"/>
  <c r="X140" i="20"/>
  <c r="W140" i="20"/>
  <c r="V140" i="20"/>
  <c r="AO139" i="20"/>
  <c r="AN139" i="20"/>
  <c r="AM139" i="20"/>
  <c r="AL139" i="20"/>
  <c r="AK139" i="20"/>
  <c r="AJ139" i="20"/>
  <c r="AI139" i="20"/>
  <c r="AH139" i="20"/>
  <c r="AG139" i="20"/>
  <c r="AF139" i="20"/>
  <c r="AE139" i="20"/>
  <c r="AD139" i="20"/>
  <c r="AC139" i="20"/>
  <c r="AB139" i="20"/>
  <c r="AA139" i="20"/>
  <c r="Z139" i="20"/>
  <c r="Y139" i="20"/>
  <c r="X139" i="20"/>
  <c r="W139" i="20"/>
  <c r="V139" i="20"/>
  <c r="AO138" i="20"/>
  <c r="AN138" i="20"/>
  <c r="AM138" i="20"/>
  <c r="AL138" i="20"/>
  <c r="AK138" i="20"/>
  <c r="AJ138" i="20"/>
  <c r="AI138" i="20"/>
  <c r="AH138" i="20"/>
  <c r="AG138" i="20"/>
  <c r="AF138" i="20"/>
  <c r="AE138" i="20"/>
  <c r="AD138" i="20"/>
  <c r="AC138" i="20"/>
  <c r="AB138" i="20"/>
  <c r="AA138" i="20"/>
  <c r="Z138" i="20"/>
  <c r="Y138" i="20"/>
  <c r="X138" i="20"/>
  <c r="W138" i="20"/>
  <c r="V138" i="20"/>
  <c r="AO137" i="20"/>
  <c r="AN137" i="20"/>
  <c r="AM137" i="20"/>
  <c r="AL137" i="20"/>
  <c r="AK137" i="20"/>
  <c r="AJ137" i="20"/>
  <c r="AI137" i="20"/>
  <c r="AH137" i="20"/>
  <c r="AG137" i="20"/>
  <c r="AF137" i="20"/>
  <c r="AE137" i="20"/>
  <c r="AD137" i="20"/>
  <c r="AC137" i="20"/>
  <c r="AB137" i="20"/>
  <c r="AA137" i="20"/>
  <c r="Z137" i="20"/>
  <c r="Y137" i="20"/>
  <c r="X137" i="20"/>
  <c r="W137" i="20"/>
  <c r="V137" i="20"/>
  <c r="AO136" i="20"/>
  <c r="AN136" i="20"/>
  <c r="AM136" i="20"/>
  <c r="AL136" i="20"/>
  <c r="AK136" i="20"/>
  <c r="AJ136" i="20"/>
  <c r="AI136" i="20"/>
  <c r="AH136" i="20"/>
  <c r="AG136" i="20"/>
  <c r="AF136" i="20"/>
  <c r="AE136" i="20"/>
  <c r="AD136" i="20"/>
  <c r="AC136" i="20"/>
  <c r="AB136" i="20"/>
  <c r="AA136" i="20"/>
  <c r="Z136" i="20"/>
  <c r="Y136" i="20"/>
  <c r="X136" i="20"/>
  <c r="W136" i="20"/>
  <c r="V136" i="20"/>
  <c r="AO135" i="20"/>
  <c r="AN135" i="20"/>
  <c r="AM135" i="20"/>
  <c r="AL135" i="20"/>
  <c r="AK135" i="20"/>
  <c r="AJ135" i="20"/>
  <c r="AI135" i="20"/>
  <c r="AH135" i="20"/>
  <c r="AG135" i="20"/>
  <c r="AF135" i="20"/>
  <c r="AE135" i="20"/>
  <c r="AD135" i="20"/>
  <c r="AC135" i="20"/>
  <c r="AB135" i="20"/>
  <c r="AA135" i="20"/>
  <c r="Z135" i="20"/>
  <c r="Y135" i="20"/>
  <c r="X135" i="20"/>
  <c r="W135" i="20"/>
  <c r="V135" i="20"/>
  <c r="AO134" i="20"/>
  <c r="AN134" i="20"/>
  <c r="AM134" i="20"/>
  <c r="AL134" i="20"/>
  <c r="AK134" i="20"/>
  <c r="AJ134" i="20"/>
  <c r="AI134" i="20"/>
  <c r="AH134" i="20"/>
  <c r="AG134" i="20"/>
  <c r="AF134" i="20"/>
  <c r="AE134" i="20"/>
  <c r="AD134" i="20"/>
  <c r="AC134" i="20"/>
  <c r="AB134" i="20"/>
  <c r="AA134" i="20"/>
  <c r="Z134" i="20"/>
  <c r="Y134" i="20"/>
  <c r="X134" i="20"/>
  <c r="W134" i="20"/>
  <c r="V134" i="20"/>
  <c r="AO133" i="20"/>
  <c r="AN133" i="20"/>
  <c r="AM133" i="20"/>
  <c r="AL133" i="20"/>
  <c r="AK133" i="20"/>
  <c r="AJ133" i="20"/>
  <c r="AI133" i="20"/>
  <c r="AH133" i="20"/>
  <c r="AG133" i="20"/>
  <c r="AF133" i="20"/>
  <c r="AE133" i="20"/>
  <c r="AD133" i="20"/>
  <c r="AC133" i="20"/>
  <c r="AB133" i="20"/>
  <c r="AA133" i="20"/>
  <c r="Z133" i="20"/>
  <c r="Y133" i="20"/>
  <c r="X133" i="20"/>
  <c r="W133" i="20"/>
  <c r="V133" i="20"/>
  <c r="AO132" i="20"/>
  <c r="AN132" i="20"/>
  <c r="AM132" i="20"/>
  <c r="AL132" i="20"/>
  <c r="AK132" i="20"/>
  <c r="AJ132" i="20"/>
  <c r="AI132" i="20"/>
  <c r="AH132" i="20"/>
  <c r="AG132" i="20"/>
  <c r="AF132" i="20"/>
  <c r="AE132" i="20"/>
  <c r="AD132" i="20"/>
  <c r="AC132" i="20"/>
  <c r="AB132" i="20"/>
  <c r="AA132" i="20"/>
  <c r="Z132" i="20"/>
  <c r="Y132" i="20"/>
  <c r="X132" i="20"/>
  <c r="W132" i="20"/>
  <c r="V132" i="20"/>
  <c r="AO131" i="20"/>
  <c r="AN131" i="20"/>
  <c r="AM131" i="20"/>
  <c r="AL131" i="20"/>
  <c r="AK131" i="20"/>
  <c r="AJ131" i="20"/>
  <c r="AI131" i="20"/>
  <c r="AH131" i="20"/>
  <c r="AG131" i="20"/>
  <c r="AF131" i="20"/>
  <c r="AE131" i="20"/>
  <c r="AD131" i="20"/>
  <c r="AC131" i="20"/>
  <c r="AB131" i="20"/>
  <c r="AA131" i="20"/>
  <c r="Z131" i="20"/>
  <c r="Y131" i="20"/>
  <c r="X131" i="20"/>
  <c r="W131" i="20"/>
  <c r="V131" i="20"/>
  <c r="AO130" i="20"/>
  <c r="AN130" i="20"/>
  <c r="AM130" i="20"/>
  <c r="AL130" i="20"/>
  <c r="AK130" i="20"/>
  <c r="AJ130" i="20"/>
  <c r="AI130" i="20"/>
  <c r="AH130" i="20"/>
  <c r="AG130" i="20"/>
  <c r="AF130" i="20"/>
  <c r="AE130" i="20"/>
  <c r="AD130" i="20"/>
  <c r="AC130" i="20"/>
  <c r="AB130" i="20"/>
  <c r="AA130" i="20"/>
  <c r="Z130" i="20"/>
  <c r="Y130" i="20"/>
  <c r="X130" i="20"/>
  <c r="W130" i="20"/>
  <c r="V130" i="20"/>
  <c r="AO129" i="20"/>
  <c r="AN129" i="20"/>
  <c r="AM129" i="20"/>
  <c r="AL129" i="20"/>
  <c r="AK129" i="20"/>
  <c r="AJ129" i="20"/>
  <c r="AI129" i="20"/>
  <c r="AH129" i="20"/>
  <c r="AG129" i="20"/>
  <c r="AF129" i="20"/>
  <c r="AE129" i="20"/>
  <c r="AD129" i="20"/>
  <c r="AC129" i="20"/>
  <c r="AB129" i="20"/>
  <c r="AA129" i="20"/>
  <c r="Z129" i="20"/>
  <c r="Y129" i="20"/>
  <c r="X129" i="20"/>
  <c r="W129" i="20"/>
  <c r="V129" i="20"/>
  <c r="AO128" i="20"/>
  <c r="AN128" i="20"/>
  <c r="AM128" i="20"/>
  <c r="AL128" i="20"/>
  <c r="AK128" i="20"/>
  <c r="AJ128" i="20"/>
  <c r="AI128" i="20"/>
  <c r="AH128" i="20"/>
  <c r="AG128" i="20"/>
  <c r="AF128" i="20"/>
  <c r="AE128" i="20"/>
  <c r="AD128" i="20"/>
  <c r="AC128" i="20"/>
  <c r="AB128" i="20"/>
  <c r="AA128" i="20"/>
  <c r="Z128" i="20"/>
  <c r="Y128" i="20"/>
  <c r="X128" i="20"/>
  <c r="W128" i="20"/>
  <c r="V128" i="20"/>
  <c r="AO127" i="20"/>
  <c r="AN127" i="20"/>
  <c r="AM127" i="20"/>
  <c r="AL127" i="20"/>
  <c r="AK127" i="20"/>
  <c r="AJ127" i="20"/>
  <c r="AI127" i="20"/>
  <c r="AH127" i="20"/>
  <c r="AG127" i="20"/>
  <c r="AF127" i="20"/>
  <c r="AE127" i="20"/>
  <c r="AD127" i="20"/>
  <c r="AC127" i="20"/>
  <c r="AB127" i="20"/>
  <c r="AA127" i="20"/>
  <c r="Z127" i="20"/>
  <c r="Y127" i="20"/>
  <c r="X127" i="20"/>
  <c r="W127" i="20"/>
  <c r="V127" i="20"/>
  <c r="AO126" i="20"/>
  <c r="AN126" i="20"/>
  <c r="AM126" i="20"/>
  <c r="AL126" i="20"/>
  <c r="AK126" i="20"/>
  <c r="AJ126" i="20"/>
  <c r="AI126" i="20"/>
  <c r="AH126" i="20"/>
  <c r="AG126" i="20"/>
  <c r="AF126" i="20"/>
  <c r="AE126" i="20"/>
  <c r="AD126" i="20"/>
  <c r="AC126" i="20"/>
  <c r="AB126" i="20"/>
  <c r="AA126" i="20"/>
  <c r="Z126" i="20"/>
  <c r="Y126" i="20"/>
  <c r="X126" i="20"/>
  <c r="W126" i="20"/>
  <c r="V126" i="20"/>
  <c r="AO125" i="20"/>
  <c r="AN125" i="20"/>
  <c r="AM125" i="20"/>
  <c r="AL125" i="20"/>
  <c r="AK125" i="20"/>
  <c r="AJ125" i="20"/>
  <c r="AI125" i="20"/>
  <c r="AH125" i="20"/>
  <c r="AG125" i="20"/>
  <c r="AF125" i="20"/>
  <c r="AE125" i="20"/>
  <c r="AD125" i="20"/>
  <c r="AC125" i="20"/>
  <c r="AB125" i="20"/>
  <c r="AA125" i="20"/>
  <c r="Z125" i="20"/>
  <c r="Y125" i="20"/>
  <c r="X125" i="20"/>
  <c r="W125" i="20"/>
  <c r="V125" i="20"/>
  <c r="AO124" i="20"/>
  <c r="AN124" i="20"/>
  <c r="AM124" i="20"/>
  <c r="AL124" i="20"/>
  <c r="AK124" i="20"/>
  <c r="AJ124" i="20"/>
  <c r="AI124" i="20"/>
  <c r="AH124" i="20"/>
  <c r="AG124" i="20"/>
  <c r="AF124" i="20"/>
  <c r="AE124" i="20"/>
  <c r="AD124" i="20"/>
  <c r="AC124" i="20"/>
  <c r="AB124" i="20"/>
  <c r="AA124" i="20"/>
  <c r="Z124" i="20"/>
  <c r="Y124" i="20"/>
  <c r="X124" i="20"/>
  <c r="W124" i="20"/>
  <c r="V124" i="20"/>
  <c r="AO123" i="20"/>
  <c r="AN123" i="20"/>
  <c r="AM123" i="20"/>
  <c r="AL123" i="20"/>
  <c r="AK123" i="20"/>
  <c r="AJ123" i="20"/>
  <c r="AI123" i="20"/>
  <c r="AH123" i="20"/>
  <c r="AG123" i="20"/>
  <c r="AF123" i="20"/>
  <c r="AE123" i="20"/>
  <c r="AD123" i="20"/>
  <c r="AC123" i="20"/>
  <c r="AB123" i="20"/>
  <c r="AA123" i="20"/>
  <c r="Z123" i="20"/>
  <c r="Y123" i="20"/>
  <c r="X123" i="20"/>
  <c r="W123" i="20"/>
  <c r="V123" i="20"/>
  <c r="AO122" i="20"/>
  <c r="AN122" i="20"/>
  <c r="AM122" i="20"/>
  <c r="AL122" i="20"/>
  <c r="AK122" i="20"/>
  <c r="AJ122" i="20"/>
  <c r="AI122" i="20"/>
  <c r="AH122" i="20"/>
  <c r="AG122" i="20"/>
  <c r="AF122" i="20"/>
  <c r="AE122" i="20"/>
  <c r="AD122" i="20"/>
  <c r="AC122" i="20"/>
  <c r="AB122" i="20"/>
  <c r="AA122" i="20"/>
  <c r="Z122" i="20"/>
  <c r="Y122" i="20"/>
  <c r="X122" i="20"/>
  <c r="W122" i="20"/>
  <c r="V122" i="20"/>
  <c r="AO121" i="20"/>
  <c r="AN121" i="20"/>
  <c r="AM121" i="20"/>
  <c r="AL121" i="20"/>
  <c r="AK121" i="20"/>
  <c r="AJ121" i="20"/>
  <c r="AI121" i="20"/>
  <c r="AH121" i="20"/>
  <c r="AG121" i="20"/>
  <c r="AF121" i="20"/>
  <c r="AE121" i="20"/>
  <c r="AD121" i="20"/>
  <c r="AC121" i="20"/>
  <c r="AB121" i="20"/>
  <c r="AA121" i="20"/>
  <c r="Z121" i="20"/>
  <c r="Y121" i="20"/>
  <c r="X121" i="20"/>
  <c r="W121" i="20"/>
  <c r="V121" i="20"/>
  <c r="AO120" i="20"/>
  <c r="AN120" i="20"/>
  <c r="AM120" i="20"/>
  <c r="AL120" i="20"/>
  <c r="AK120" i="20"/>
  <c r="AJ120" i="20"/>
  <c r="AI120" i="20"/>
  <c r="AH120" i="20"/>
  <c r="AG120" i="20"/>
  <c r="AF120" i="20"/>
  <c r="AE120" i="20"/>
  <c r="AD120" i="20"/>
  <c r="AC120" i="20"/>
  <c r="AB120" i="20"/>
  <c r="AA120" i="20"/>
  <c r="Z120" i="20"/>
  <c r="Y120" i="20"/>
  <c r="X120" i="20"/>
  <c r="W120" i="20"/>
  <c r="V120" i="20"/>
  <c r="AO119" i="20"/>
  <c r="AN119" i="20"/>
  <c r="AM119" i="20"/>
  <c r="AL119" i="20"/>
  <c r="AK119" i="20"/>
  <c r="AJ119" i="20"/>
  <c r="AI119" i="20"/>
  <c r="AH119" i="20"/>
  <c r="AG119" i="20"/>
  <c r="AF119" i="20"/>
  <c r="AE119" i="20"/>
  <c r="AD119" i="20"/>
  <c r="AC119" i="20"/>
  <c r="AB119" i="20"/>
  <c r="AA119" i="20"/>
  <c r="Z119" i="20"/>
  <c r="Y119" i="20"/>
  <c r="X119" i="20"/>
  <c r="W119" i="20"/>
  <c r="V119" i="20"/>
  <c r="AO118" i="20"/>
  <c r="AN118" i="20"/>
  <c r="AM118" i="20"/>
  <c r="AL118" i="20"/>
  <c r="AK118" i="20"/>
  <c r="AJ118" i="20"/>
  <c r="AI118" i="20"/>
  <c r="AH118" i="20"/>
  <c r="AG118" i="20"/>
  <c r="AF118" i="20"/>
  <c r="AE118" i="20"/>
  <c r="AD118" i="20"/>
  <c r="AC118" i="20"/>
  <c r="AB118" i="20"/>
  <c r="AA118" i="20"/>
  <c r="Z118" i="20"/>
  <c r="Y118" i="20"/>
  <c r="X118" i="20"/>
  <c r="W118" i="20"/>
  <c r="V118" i="20"/>
  <c r="AO117" i="20"/>
  <c r="AN117" i="20"/>
  <c r="AM117" i="20"/>
  <c r="AL117" i="20"/>
  <c r="AK117" i="20"/>
  <c r="AJ117" i="20"/>
  <c r="AI117" i="20"/>
  <c r="AH117" i="20"/>
  <c r="AG117" i="20"/>
  <c r="AF117" i="20"/>
  <c r="AE117" i="20"/>
  <c r="AD117" i="20"/>
  <c r="AC117" i="20"/>
  <c r="AB117" i="20"/>
  <c r="AA117" i="20"/>
  <c r="Z117" i="20"/>
  <c r="Y117" i="20"/>
  <c r="X117" i="20"/>
  <c r="W117" i="20"/>
  <c r="V117" i="20"/>
  <c r="AO116" i="20"/>
  <c r="AN116" i="20"/>
  <c r="AM116" i="20"/>
  <c r="AL116" i="20"/>
  <c r="AK116" i="20"/>
  <c r="AJ116" i="20"/>
  <c r="AI116" i="20"/>
  <c r="AH116" i="20"/>
  <c r="AG116" i="20"/>
  <c r="AF116" i="20"/>
  <c r="AE116" i="20"/>
  <c r="AD116" i="20"/>
  <c r="AC116" i="20"/>
  <c r="AB116" i="20"/>
  <c r="AA116" i="20"/>
  <c r="Z116" i="20"/>
  <c r="Y116" i="20"/>
  <c r="X116" i="20"/>
  <c r="W116" i="20"/>
  <c r="V116" i="20"/>
  <c r="AO115" i="20"/>
  <c r="AN115" i="20"/>
  <c r="AM115" i="20"/>
  <c r="AL115" i="20"/>
  <c r="AK115" i="20"/>
  <c r="AJ115" i="20"/>
  <c r="AI115" i="20"/>
  <c r="AH115" i="20"/>
  <c r="AG115" i="20"/>
  <c r="AF115" i="20"/>
  <c r="AE115" i="20"/>
  <c r="AD115" i="20"/>
  <c r="AC115" i="20"/>
  <c r="AB115" i="20"/>
  <c r="AA115" i="20"/>
  <c r="Z115" i="20"/>
  <c r="Y115" i="20"/>
  <c r="X115" i="20"/>
  <c r="W115" i="20"/>
  <c r="V115" i="20"/>
  <c r="AO114" i="20"/>
  <c r="AN114" i="20"/>
  <c r="AM114" i="20"/>
  <c r="AL114" i="20"/>
  <c r="AK114" i="20"/>
  <c r="AJ114" i="20"/>
  <c r="AI114" i="20"/>
  <c r="AH114" i="20"/>
  <c r="AG114" i="20"/>
  <c r="AF114" i="20"/>
  <c r="AE114" i="20"/>
  <c r="AD114" i="20"/>
  <c r="AC114" i="20"/>
  <c r="AB114" i="20"/>
  <c r="AA114" i="20"/>
  <c r="Z114" i="20"/>
  <c r="Y114" i="20"/>
  <c r="X114" i="20"/>
  <c r="W114" i="20"/>
  <c r="V114" i="20"/>
  <c r="AO113" i="20"/>
  <c r="AN113" i="20"/>
  <c r="AM113" i="20"/>
  <c r="AL113" i="20"/>
  <c r="AK113" i="20"/>
  <c r="AJ113" i="20"/>
  <c r="AI113" i="20"/>
  <c r="AH113" i="20"/>
  <c r="AG113" i="20"/>
  <c r="AF113" i="20"/>
  <c r="AE113" i="20"/>
  <c r="AD113" i="20"/>
  <c r="AC113" i="20"/>
  <c r="AB113" i="20"/>
  <c r="AA113" i="20"/>
  <c r="Z113" i="20"/>
  <c r="Y113" i="20"/>
  <c r="X113" i="20"/>
  <c r="W113" i="20"/>
  <c r="V113" i="20"/>
  <c r="AO112" i="20"/>
  <c r="AN112" i="20"/>
  <c r="AM112" i="20"/>
  <c r="AL112" i="20"/>
  <c r="AK112" i="20"/>
  <c r="AJ112" i="20"/>
  <c r="AI112" i="20"/>
  <c r="AH112" i="20"/>
  <c r="AG112" i="20"/>
  <c r="AF112" i="20"/>
  <c r="AE112" i="20"/>
  <c r="AD112" i="20"/>
  <c r="AC112" i="20"/>
  <c r="AB112" i="20"/>
  <c r="AA112" i="20"/>
  <c r="Z112" i="20"/>
  <c r="Y112" i="20"/>
  <c r="X112" i="20"/>
  <c r="W112" i="20"/>
  <c r="V112" i="20"/>
  <c r="AO111" i="20"/>
  <c r="AN111" i="20"/>
  <c r="AM111" i="20"/>
  <c r="AL111" i="20"/>
  <c r="AK111" i="20"/>
  <c r="AJ111" i="20"/>
  <c r="AI111" i="20"/>
  <c r="AH111" i="20"/>
  <c r="AG111" i="20"/>
  <c r="AF111" i="20"/>
  <c r="AE111" i="20"/>
  <c r="AD111" i="20"/>
  <c r="AC111" i="20"/>
  <c r="AB111" i="20"/>
  <c r="AA111" i="20"/>
  <c r="Z111" i="20"/>
  <c r="Y111" i="20"/>
  <c r="X111" i="20"/>
  <c r="W111" i="20"/>
  <c r="V111" i="20"/>
  <c r="AO110" i="20"/>
  <c r="AN110" i="20"/>
  <c r="AM110" i="20"/>
  <c r="AL110" i="20"/>
  <c r="AK110" i="20"/>
  <c r="AJ110" i="20"/>
  <c r="AI110" i="20"/>
  <c r="AH110" i="20"/>
  <c r="AG110" i="20"/>
  <c r="AF110" i="20"/>
  <c r="AE110" i="20"/>
  <c r="AD110" i="20"/>
  <c r="AC110" i="20"/>
  <c r="AB110" i="20"/>
  <c r="AA110" i="20"/>
  <c r="Z110" i="20"/>
  <c r="Y110" i="20"/>
  <c r="X110" i="20"/>
  <c r="W110" i="20"/>
  <c r="V110" i="20"/>
  <c r="AO109" i="20"/>
  <c r="AN109" i="20"/>
  <c r="AM109" i="20"/>
  <c r="AL109" i="20"/>
  <c r="AK109" i="20"/>
  <c r="AJ109" i="20"/>
  <c r="AI109" i="20"/>
  <c r="AH109" i="20"/>
  <c r="AG109" i="20"/>
  <c r="AF109" i="20"/>
  <c r="AE109" i="20"/>
  <c r="AD109" i="20"/>
  <c r="AC109" i="20"/>
  <c r="AB109" i="20"/>
  <c r="AA109" i="20"/>
  <c r="Z109" i="20"/>
  <c r="Y109" i="20"/>
  <c r="X109" i="20"/>
  <c r="W109" i="20"/>
  <c r="V109" i="20"/>
  <c r="AO108" i="20"/>
  <c r="AN108" i="20"/>
  <c r="AM108" i="20"/>
  <c r="AL108" i="20"/>
  <c r="AK108" i="20"/>
  <c r="AJ108" i="20"/>
  <c r="AI108" i="20"/>
  <c r="AH108" i="20"/>
  <c r="AG108" i="20"/>
  <c r="AF108" i="20"/>
  <c r="AE108" i="20"/>
  <c r="AD108" i="20"/>
  <c r="AC108" i="20"/>
  <c r="AB108" i="20"/>
  <c r="AA108" i="20"/>
  <c r="Z108" i="20"/>
  <c r="Y108" i="20"/>
  <c r="X108" i="20"/>
  <c r="W108" i="20"/>
  <c r="V108" i="20"/>
  <c r="AO107" i="20"/>
  <c r="AN107" i="20"/>
  <c r="AM107" i="20"/>
  <c r="AL107" i="20"/>
  <c r="AK107" i="20"/>
  <c r="AJ107" i="20"/>
  <c r="AI107" i="20"/>
  <c r="AH107" i="20"/>
  <c r="AG107" i="20"/>
  <c r="AF107" i="20"/>
  <c r="AE107" i="20"/>
  <c r="AD107" i="20"/>
  <c r="AC107" i="20"/>
  <c r="AB107" i="20"/>
  <c r="AA107" i="20"/>
  <c r="Z107" i="20"/>
  <c r="Y107" i="20"/>
  <c r="X107" i="20"/>
  <c r="W107" i="20"/>
  <c r="V107" i="20"/>
  <c r="AO106" i="20"/>
  <c r="AN106" i="20"/>
  <c r="AM106" i="20"/>
  <c r="AL106" i="20"/>
  <c r="AK106" i="20"/>
  <c r="AJ106" i="20"/>
  <c r="AI106" i="20"/>
  <c r="AH106" i="20"/>
  <c r="AG106" i="20"/>
  <c r="AF106" i="20"/>
  <c r="AE106" i="20"/>
  <c r="AD106" i="20"/>
  <c r="AC106" i="20"/>
  <c r="AB106" i="20"/>
  <c r="AA106" i="20"/>
  <c r="Z106" i="20"/>
  <c r="Y106" i="20"/>
  <c r="X106" i="20"/>
  <c r="W106" i="20"/>
  <c r="V106" i="20"/>
  <c r="AO105" i="20"/>
  <c r="AN105" i="20"/>
  <c r="AM105" i="20"/>
  <c r="AL105" i="20"/>
  <c r="AK105" i="20"/>
  <c r="AJ105" i="20"/>
  <c r="AI105" i="20"/>
  <c r="AH105" i="20"/>
  <c r="AG105" i="20"/>
  <c r="AF105" i="20"/>
  <c r="AE105" i="20"/>
  <c r="AD105" i="20"/>
  <c r="AC105" i="20"/>
  <c r="AB105" i="20"/>
  <c r="AA105" i="20"/>
  <c r="Z105" i="20"/>
  <c r="Y105" i="20"/>
  <c r="X105" i="20"/>
  <c r="W105" i="20"/>
  <c r="V105" i="20"/>
  <c r="AO104" i="20"/>
  <c r="AN104" i="20"/>
  <c r="AM104" i="20"/>
  <c r="AL104" i="20"/>
  <c r="AK104" i="20"/>
  <c r="AJ104" i="20"/>
  <c r="AI104" i="20"/>
  <c r="AH104" i="20"/>
  <c r="AG104" i="20"/>
  <c r="AF104" i="20"/>
  <c r="AE104" i="20"/>
  <c r="AD104" i="20"/>
  <c r="AC104" i="20"/>
  <c r="AB104" i="20"/>
  <c r="AA104" i="20"/>
  <c r="Z104" i="20"/>
  <c r="Y104" i="20"/>
  <c r="X104" i="20"/>
  <c r="W104" i="20"/>
  <c r="V104" i="20"/>
  <c r="AO103" i="20"/>
  <c r="AN103" i="20"/>
  <c r="AM103" i="20"/>
  <c r="AL103" i="20"/>
  <c r="AK103" i="20"/>
  <c r="AJ103" i="20"/>
  <c r="AI103" i="20"/>
  <c r="AH103" i="20"/>
  <c r="AG103" i="20"/>
  <c r="AF103" i="20"/>
  <c r="AE103" i="20"/>
  <c r="AD103" i="20"/>
  <c r="AC103" i="20"/>
  <c r="AB103" i="20"/>
  <c r="AA103" i="20"/>
  <c r="Z103" i="20"/>
  <c r="Y103" i="20"/>
  <c r="X103" i="20"/>
  <c r="W103" i="20"/>
  <c r="V103" i="20"/>
  <c r="AO102" i="20"/>
  <c r="AN102" i="20"/>
  <c r="AM102" i="20"/>
  <c r="AL102" i="20"/>
  <c r="AK102" i="20"/>
  <c r="AJ102" i="20"/>
  <c r="AI102" i="20"/>
  <c r="AH102" i="20"/>
  <c r="AG102" i="20"/>
  <c r="AF102" i="20"/>
  <c r="AE102" i="20"/>
  <c r="AD102" i="20"/>
  <c r="AC102" i="20"/>
  <c r="AB102" i="20"/>
  <c r="AA102" i="20"/>
  <c r="Z102" i="20"/>
  <c r="Y102" i="20"/>
  <c r="X102" i="20"/>
  <c r="W102" i="20"/>
  <c r="V102" i="20"/>
  <c r="AO101" i="20"/>
  <c r="AN101" i="20"/>
  <c r="AM101" i="20"/>
  <c r="AL101" i="20"/>
  <c r="AK101" i="20"/>
  <c r="AJ101" i="20"/>
  <c r="AI101" i="20"/>
  <c r="AH101" i="20"/>
  <c r="AG101" i="20"/>
  <c r="AF101" i="20"/>
  <c r="AE101" i="20"/>
  <c r="AD101" i="20"/>
  <c r="AC101" i="20"/>
  <c r="AB101" i="20"/>
  <c r="AA101" i="20"/>
  <c r="Z101" i="20"/>
  <c r="Y101" i="20"/>
  <c r="X101" i="20"/>
  <c r="W101" i="20"/>
  <c r="V101" i="20"/>
  <c r="AO100" i="20"/>
  <c r="AN100" i="20"/>
  <c r="AM100" i="20"/>
  <c r="AL100" i="20"/>
  <c r="AK100" i="20"/>
  <c r="AJ100" i="20"/>
  <c r="AI100" i="20"/>
  <c r="AH100" i="20"/>
  <c r="AG100" i="20"/>
  <c r="AF100" i="20"/>
  <c r="AE100" i="20"/>
  <c r="AD100" i="20"/>
  <c r="AC100" i="20"/>
  <c r="AB100" i="20"/>
  <c r="AA100" i="20"/>
  <c r="Z100" i="20"/>
  <c r="Y100" i="20"/>
  <c r="X100" i="20"/>
  <c r="W100" i="20"/>
  <c r="V100" i="20"/>
  <c r="AB95" i="20"/>
  <c r="AA95" i="20"/>
  <c r="Y94" i="20"/>
  <c r="Y92" i="20"/>
  <c r="W92" i="20"/>
  <c r="AA90" i="20"/>
  <c r="W89" i="20"/>
  <c r="AA87" i="20"/>
  <c r="Z82" i="20"/>
  <c r="Y82" i="20"/>
  <c r="X82" i="20"/>
  <c r="W82" i="20"/>
  <c r="V82" i="20"/>
  <c r="Z81" i="20"/>
  <c r="Y81" i="20"/>
  <c r="X81" i="20"/>
  <c r="W81" i="20"/>
  <c r="V81" i="20"/>
  <c r="Z80" i="20"/>
  <c r="Y80" i="20"/>
  <c r="X80" i="20"/>
  <c r="W80" i="20"/>
  <c r="V80" i="20"/>
  <c r="Z79" i="20"/>
  <c r="Y79" i="20"/>
  <c r="X79" i="20"/>
  <c r="W79" i="20"/>
  <c r="V79" i="20"/>
  <c r="Z78" i="20"/>
  <c r="Y78" i="20"/>
  <c r="X78" i="20"/>
  <c r="W78" i="20"/>
  <c r="V78" i="20"/>
  <c r="Z77" i="20"/>
  <c r="Y77" i="20"/>
  <c r="X77" i="20"/>
  <c r="W77" i="20"/>
  <c r="V77" i="20"/>
  <c r="Z76" i="20"/>
  <c r="Y76" i="20"/>
  <c r="X76" i="20"/>
  <c r="W76" i="20"/>
  <c r="V76" i="20"/>
  <c r="Z75" i="20"/>
  <c r="Y75" i="20"/>
  <c r="X75" i="20"/>
  <c r="W75" i="20"/>
  <c r="V75" i="20"/>
  <c r="Z74" i="20"/>
  <c r="Y74" i="20"/>
  <c r="X74" i="20"/>
  <c r="W74" i="20"/>
  <c r="V74" i="20"/>
  <c r="Z73" i="20"/>
  <c r="Y73" i="20"/>
  <c r="X73" i="20"/>
  <c r="W73" i="20"/>
  <c r="V73" i="20"/>
  <c r="Z68" i="20"/>
  <c r="Y68" i="20"/>
  <c r="X68" i="20"/>
  <c r="W68" i="20"/>
  <c r="V68" i="20"/>
  <c r="Z67" i="20"/>
  <c r="Y67" i="20"/>
  <c r="X67" i="20"/>
  <c r="W67" i="20"/>
  <c r="V67" i="20"/>
  <c r="Z66" i="20"/>
  <c r="Y66" i="20"/>
  <c r="X66" i="20"/>
  <c r="W66" i="20"/>
  <c r="V66" i="20"/>
  <c r="Z65" i="20"/>
  <c r="Y65" i="20"/>
  <c r="X65" i="20"/>
  <c r="W65" i="20"/>
  <c r="V65" i="20"/>
  <c r="Z64" i="20"/>
  <c r="Y64" i="20"/>
  <c r="X64" i="20"/>
  <c r="W64" i="20"/>
  <c r="V64" i="20"/>
  <c r="Z63" i="20"/>
  <c r="Y63" i="20"/>
  <c r="X63" i="20"/>
  <c r="W63" i="20"/>
  <c r="V63" i="20"/>
  <c r="Z62" i="20"/>
  <c r="Y62" i="20"/>
  <c r="X62" i="20"/>
  <c r="W62" i="20"/>
  <c r="V62" i="20"/>
  <c r="Z61" i="20"/>
  <c r="Y61" i="20"/>
  <c r="X61" i="20"/>
  <c r="W61" i="20"/>
  <c r="V61" i="20"/>
  <c r="Z60" i="20"/>
  <c r="Y60" i="20"/>
  <c r="X60" i="20"/>
  <c r="W60" i="20"/>
  <c r="V60" i="20"/>
  <c r="Z59" i="20"/>
  <c r="Y59" i="20"/>
  <c r="X59" i="20"/>
  <c r="W59" i="20"/>
  <c r="V59" i="20"/>
  <c r="AQ58" i="20"/>
  <c r="Z58" i="20"/>
  <c r="Y58" i="20"/>
  <c r="X58" i="20"/>
  <c r="W58" i="20"/>
  <c r="V58" i="20"/>
  <c r="Z57" i="20"/>
  <c r="Y57" i="20"/>
  <c r="X57" i="20"/>
  <c r="W57" i="20"/>
  <c r="V57" i="20"/>
  <c r="Z56" i="20"/>
  <c r="Y56" i="20"/>
  <c r="X56" i="20"/>
  <c r="W56" i="20"/>
  <c r="V56" i="20"/>
  <c r="AP44" i="20"/>
  <c r="B59" i="20" s="1"/>
  <c r="AP43" i="20"/>
  <c r="B58" i="20" s="1"/>
  <c r="AP42" i="20"/>
  <c r="B57" i="20" s="1"/>
  <c r="AP41" i="20"/>
  <c r="B56" i="20" s="1"/>
  <c r="AP40" i="20"/>
  <c r="B55" i="20" s="1"/>
  <c r="B40" i="20"/>
  <c r="X36" i="20"/>
  <c r="X35" i="20"/>
  <c r="Q35" i="20"/>
  <c r="P35" i="20"/>
  <c r="B35" i="20"/>
  <c r="X34" i="20"/>
  <c r="J34" i="20"/>
  <c r="J35" i="20" s="1"/>
  <c r="E36" i="20" s="1"/>
  <c r="X33" i="20"/>
  <c r="X32" i="20"/>
  <c r="AG31" i="20"/>
  <c r="X31" i="20"/>
  <c r="O99" i="20"/>
  <c r="X30" i="20"/>
  <c r="X29" i="20"/>
  <c r="B29" i="20"/>
  <c r="AQ27" i="20" s="1"/>
  <c r="X28" i="20"/>
  <c r="B27" i="20"/>
  <c r="P25" i="20"/>
  <c r="I24" i="20" s="1"/>
  <c r="G24" i="20"/>
  <c r="E24" i="20"/>
  <c r="C24" i="20"/>
  <c r="AB23" i="20"/>
  <c r="AA23" i="20"/>
  <c r="Z23" i="20"/>
  <c r="Y23" i="20"/>
  <c r="I23" i="20"/>
  <c r="G23" i="20"/>
  <c r="E23" i="20"/>
  <c r="C23" i="20"/>
  <c r="AB22" i="20"/>
  <c r="AA22" i="20"/>
  <c r="Z22" i="20"/>
  <c r="Y22" i="20"/>
  <c r="I22" i="20"/>
  <c r="G22" i="20"/>
  <c r="E22" i="20"/>
  <c r="C22" i="20"/>
  <c r="I21" i="20"/>
  <c r="G21" i="20"/>
  <c r="E21" i="20"/>
  <c r="C21" i="20"/>
  <c r="AQ20" i="20"/>
  <c r="AI20" i="20"/>
  <c r="I20" i="20"/>
  <c r="AQ19" i="20"/>
  <c r="AI19" i="20"/>
  <c r="AQ18" i="20"/>
  <c r="B47" i="20" s="1"/>
  <c r="AQ34" i="20" s="1"/>
  <c r="AI18" i="20"/>
  <c r="I18" i="20"/>
  <c r="AI17" i="20"/>
  <c r="AI16" i="20"/>
  <c r="AI15" i="20"/>
  <c r="AQ14" i="20"/>
  <c r="AI14" i="20"/>
  <c r="I14" i="20"/>
  <c r="AQ13" i="20"/>
  <c r="AI13" i="20"/>
  <c r="AQ12" i="20"/>
  <c r="B44" i="20" s="1"/>
  <c r="AQ31" i="20" s="1"/>
  <c r="AI12" i="20"/>
  <c r="AI11" i="20"/>
  <c r="AB11" i="20"/>
  <c r="AA11" i="20"/>
  <c r="Z11" i="20"/>
  <c r="Y11" i="20"/>
  <c r="AI10" i="20"/>
  <c r="AB10" i="20"/>
  <c r="AA10" i="20"/>
  <c r="Z10" i="20"/>
  <c r="Y10" i="20"/>
  <c r="AI9" i="20"/>
  <c r="AJ9" i="20" s="1"/>
  <c r="AB9" i="20"/>
  <c r="AA9" i="20"/>
  <c r="Z9" i="20"/>
  <c r="AC9" i="20" s="1"/>
  <c r="Y9" i="20"/>
  <c r="AQ8" i="20"/>
  <c r="B43" i="20" s="1"/>
  <c r="AQ30" i="20" s="1"/>
  <c r="AB8" i="20"/>
  <c r="AA8" i="20"/>
  <c r="Z8" i="20"/>
  <c r="Y8" i="20"/>
  <c r="AQ7" i="20"/>
  <c r="AQ6" i="20"/>
  <c r="B41" i="20" s="1"/>
  <c r="AQ28" i="20" s="1"/>
  <c r="AO179" i="18"/>
  <c r="AN179" i="18"/>
  <c r="AM179" i="18"/>
  <c r="AL179" i="18"/>
  <c r="AK179" i="18"/>
  <c r="AJ179" i="18"/>
  <c r="AI179" i="18"/>
  <c r="AH179" i="18"/>
  <c r="AG179" i="18"/>
  <c r="AF179" i="18"/>
  <c r="AE179" i="18"/>
  <c r="AD179" i="18"/>
  <c r="AC179" i="18"/>
  <c r="AB179" i="18"/>
  <c r="AA179" i="18"/>
  <c r="Z179" i="18"/>
  <c r="Y179" i="18"/>
  <c r="X179" i="18"/>
  <c r="W179" i="18"/>
  <c r="V179" i="18"/>
  <c r="AO178" i="18"/>
  <c r="AN178" i="18"/>
  <c r="AM178" i="18"/>
  <c r="AL178" i="18"/>
  <c r="AK178" i="18"/>
  <c r="AJ178" i="18"/>
  <c r="AI178" i="18"/>
  <c r="AH178" i="18"/>
  <c r="AG178" i="18"/>
  <c r="AF178" i="18"/>
  <c r="AE178" i="18"/>
  <c r="AD178" i="18"/>
  <c r="AC178" i="18"/>
  <c r="AB178" i="18"/>
  <c r="AA178" i="18"/>
  <c r="Z178" i="18"/>
  <c r="Y178" i="18"/>
  <c r="X178" i="18"/>
  <c r="W178" i="18"/>
  <c r="V178" i="18"/>
  <c r="AO177" i="18"/>
  <c r="AN177" i="18"/>
  <c r="AM177" i="18"/>
  <c r="AL177" i="18"/>
  <c r="AK177" i="18"/>
  <c r="AJ177" i="18"/>
  <c r="AI177" i="18"/>
  <c r="AH177" i="18"/>
  <c r="AG177" i="18"/>
  <c r="AF177" i="18"/>
  <c r="AE177" i="18"/>
  <c r="AD177" i="18"/>
  <c r="AC177" i="18"/>
  <c r="AB177" i="18"/>
  <c r="AA177" i="18"/>
  <c r="Z177" i="18"/>
  <c r="Y177" i="18"/>
  <c r="X177" i="18"/>
  <c r="W177" i="18"/>
  <c r="V177" i="18"/>
  <c r="AO176" i="18"/>
  <c r="AN176" i="18"/>
  <c r="AM176" i="18"/>
  <c r="AL176" i="18"/>
  <c r="AK176" i="18"/>
  <c r="AJ176" i="18"/>
  <c r="AI176" i="18"/>
  <c r="AH176" i="18"/>
  <c r="AG176" i="18"/>
  <c r="AF176" i="18"/>
  <c r="AE176" i="18"/>
  <c r="AD176" i="18"/>
  <c r="AC176" i="18"/>
  <c r="AB176" i="18"/>
  <c r="AA176" i="18"/>
  <c r="Z176" i="18"/>
  <c r="Y176" i="18"/>
  <c r="X176" i="18"/>
  <c r="W176" i="18"/>
  <c r="V176" i="18"/>
  <c r="AO175" i="18"/>
  <c r="AN175" i="18"/>
  <c r="AM175" i="18"/>
  <c r="AL175" i="18"/>
  <c r="AK175" i="18"/>
  <c r="AJ175" i="18"/>
  <c r="AI175" i="18"/>
  <c r="AH175" i="18"/>
  <c r="AG175" i="18"/>
  <c r="AF175" i="18"/>
  <c r="AE175" i="18"/>
  <c r="AD175" i="18"/>
  <c r="AC175" i="18"/>
  <c r="AB175" i="18"/>
  <c r="AA175" i="18"/>
  <c r="Z175" i="18"/>
  <c r="Y175" i="18"/>
  <c r="X175" i="18"/>
  <c r="W175" i="18"/>
  <c r="V175" i="18"/>
  <c r="AO174" i="18"/>
  <c r="AN174" i="18"/>
  <c r="AM174" i="18"/>
  <c r="AL174" i="18"/>
  <c r="AK174" i="18"/>
  <c r="AJ174" i="18"/>
  <c r="AI174" i="18"/>
  <c r="AH174" i="18"/>
  <c r="AG174" i="18"/>
  <c r="AF174" i="18"/>
  <c r="AE174" i="18"/>
  <c r="AD174" i="18"/>
  <c r="AC174" i="18"/>
  <c r="AB174" i="18"/>
  <c r="AA174" i="18"/>
  <c r="Z174" i="18"/>
  <c r="Y174" i="18"/>
  <c r="X174" i="18"/>
  <c r="W174" i="18"/>
  <c r="V174" i="18"/>
  <c r="AO173" i="18"/>
  <c r="AN173" i="18"/>
  <c r="AM173" i="18"/>
  <c r="AL173" i="18"/>
  <c r="AK173" i="18"/>
  <c r="AJ173" i="18"/>
  <c r="AI173" i="18"/>
  <c r="AH173" i="18"/>
  <c r="AG173" i="18"/>
  <c r="AF173" i="18"/>
  <c r="AE173" i="18"/>
  <c r="AD173" i="18"/>
  <c r="AC173" i="18"/>
  <c r="AB173" i="18"/>
  <c r="AA173" i="18"/>
  <c r="Z173" i="18"/>
  <c r="Y173" i="18"/>
  <c r="X173" i="18"/>
  <c r="W173" i="18"/>
  <c r="V173" i="18"/>
  <c r="AO172" i="18"/>
  <c r="AN172" i="18"/>
  <c r="AM172" i="18"/>
  <c r="AL172" i="18"/>
  <c r="AK172" i="18"/>
  <c r="AJ172" i="18"/>
  <c r="AI172" i="18"/>
  <c r="AH172" i="18"/>
  <c r="AG172" i="18"/>
  <c r="AF172" i="18"/>
  <c r="AE172" i="18"/>
  <c r="AD172" i="18"/>
  <c r="AC172" i="18"/>
  <c r="AB172" i="18"/>
  <c r="AA172" i="18"/>
  <c r="Z172" i="18"/>
  <c r="Y172" i="18"/>
  <c r="X172" i="18"/>
  <c r="W172" i="18"/>
  <c r="V172" i="18"/>
  <c r="AO171" i="18"/>
  <c r="AN171" i="18"/>
  <c r="AM171" i="18"/>
  <c r="AL171" i="18"/>
  <c r="AK171" i="18"/>
  <c r="AJ171" i="18"/>
  <c r="AI171" i="18"/>
  <c r="AH171" i="18"/>
  <c r="AG171" i="18"/>
  <c r="AF171" i="18"/>
  <c r="AE171" i="18"/>
  <c r="AD171" i="18"/>
  <c r="AC171" i="18"/>
  <c r="AB171" i="18"/>
  <c r="AA171" i="18"/>
  <c r="Z171" i="18"/>
  <c r="Y171" i="18"/>
  <c r="X171" i="18"/>
  <c r="W171" i="18"/>
  <c r="V171" i="18"/>
  <c r="AO170" i="18"/>
  <c r="AN170" i="18"/>
  <c r="AM170" i="18"/>
  <c r="AL170" i="18"/>
  <c r="AK170" i="18"/>
  <c r="AJ170" i="18"/>
  <c r="AI170" i="18"/>
  <c r="AH170" i="18"/>
  <c r="AG170" i="18"/>
  <c r="AF170" i="18"/>
  <c r="AE170" i="18"/>
  <c r="AD170" i="18"/>
  <c r="AC170" i="18"/>
  <c r="AB170" i="18"/>
  <c r="AA170" i="18"/>
  <c r="Z170" i="18"/>
  <c r="Y170" i="18"/>
  <c r="X170" i="18"/>
  <c r="W170" i="18"/>
  <c r="V170" i="18"/>
  <c r="AO169" i="18"/>
  <c r="AN169" i="18"/>
  <c r="AM169" i="18"/>
  <c r="AL169" i="18"/>
  <c r="AK169" i="18"/>
  <c r="AJ169" i="18"/>
  <c r="AI169" i="18"/>
  <c r="AH169" i="18"/>
  <c r="AG169" i="18"/>
  <c r="AF169" i="18"/>
  <c r="AE169" i="18"/>
  <c r="AD169" i="18"/>
  <c r="AC169" i="18"/>
  <c r="AB169" i="18"/>
  <c r="AA169" i="18"/>
  <c r="Z169" i="18"/>
  <c r="Y169" i="18"/>
  <c r="X169" i="18"/>
  <c r="W169" i="18"/>
  <c r="V169" i="18"/>
  <c r="AO168" i="18"/>
  <c r="AN168" i="18"/>
  <c r="AM168" i="18"/>
  <c r="AL168" i="18"/>
  <c r="X95" i="18" s="1"/>
  <c r="AK168" i="18"/>
  <c r="AJ168" i="18"/>
  <c r="AI168" i="18"/>
  <c r="AH168" i="18"/>
  <c r="AG168" i="18"/>
  <c r="AF168" i="18"/>
  <c r="AE168" i="18"/>
  <c r="AD168" i="18"/>
  <c r="AD95" i="18" s="1"/>
  <c r="AC168" i="18"/>
  <c r="AC95" i="18" s="1"/>
  <c r="AB168" i="18"/>
  <c r="AB95" i="18" s="1"/>
  <c r="AA168" i="18"/>
  <c r="Z168" i="18"/>
  <c r="Y168" i="18"/>
  <c r="X168" i="18"/>
  <c r="W168" i="18"/>
  <c r="W95" i="18" s="1"/>
  <c r="V168" i="18"/>
  <c r="V95" i="18" s="1"/>
  <c r="AO167" i="18"/>
  <c r="AN167" i="18"/>
  <c r="AM167" i="18"/>
  <c r="AL167" i="18"/>
  <c r="X94" i="18" s="1"/>
  <c r="AK167" i="18"/>
  <c r="AJ167" i="18"/>
  <c r="AI167" i="18"/>
  <c r="AH167" i="18"/>
  <c r="AG167" i="18"/>
  <c r="AF167" i="18"/>
  <c r="AE167" i="18"/>
  <c r="AD167" i="18"/>
  <c r="AD94" i="18" s="1"/>
  <c r="AC167" i="18"/>
  <c r="AC94" i="18" s="1"/>
  <c r="AB167" i="18"/>
  <c r="AB94" i="18" s="1"/>
  <c r="AA167" i="18"/>
  <c r="AA94" i="18" s="1"/>
  <c r="Z167" i="18"/>
  <c r="Z94" i="18" s="1"/>
  <c r="Y167" i="18"/>
  <c r="Y94" i="18" s="1"/>
  <c r="X167" i="18"/>
  <c r="W167" i="18"/>
  <c r="W94" i="18" s="1"/>
  <c r="V167" i="18"/>
  <c r="V94" i="18" s="1"/>
  <c r="AO166" i="18"/>
  <c r="AN166" i="18"/>
  <c r="AM166" i="18"/>
  <c r="AL166" i="18"/>
  <c r="X93" i="18" s="1"/>
  <c r="AK166" i="18"/>
  <c r="AJ166" i="18"/>
  <c r="AI166" i="18"/>
  <c r="AH166" i="18"/>
  <c r="AG166" i="18"/>
  <c r="AF166" i="18"/>
  <c r="AE166" i="18"/>
  <c r="AD166" i="18"/>
  <c r="AD93" i="18" s="1"/>
  <c r="AC166" i="18"/>
  <c r="AC93" i="18" s="1"/>
  <c r="AB166" i="18"/>
  <c r="AB93" i="18" s="1"/>
  <c r="AA166" i="18"/>
  <c r="AA93" i="18" s="1"/>
  <c r="Z166" i="18"/>
  <c r="Z93" i="18" s="1"/>
  <c r="Y166" i="18"/>
  <c r="Y93" i="18" s="1"/>
  <c r="X166" i="18"/>
  <c r="W166" i="18"/>
  <c r="W93" i="18" s="1"/>
  <c r="V166" i="18"/>
  <c r="V93" i="18" s="1"/>
  <c r="AO165" i="18"/>
  <c r="AN165" i="18"/>
  <c r="AM165" i="18"/>
  <c r="AL165" i="18"/>
  <c r="X92" i="18" s="1"/>
  <c r="AK165" i="18"/>
  <c r="AJ165" i="18"/>
  <c r="AI165" i="18"/>
  <c r="AH165" i="18"/>
  <c r="AG165" i="18"/>
  <c r="AF165" i="18"/>
  <c r="AE165" i="18"/>
  <c r="AD165" i="18"/>
  <c r="AD92" i="18" s="1"/>
  <c r="AC165" i="18"/>
  <c r="AC92" i="18" s="1"/>
  <c r="AB165" i="18"/>
  <c r="AB92" i="18" s="1"/>
  <c r="AA165" i="18"/>
  <c r="AA92" i="18" s="1"/>
  <c r="Z165" i="18"/>
  <c r="Z92" i="18" s="1"/>
  <c r="Y165" i="18"/>
  <c r="Y92" i="18" s="1"/>
  <c r="X165" i="18"/>
  <c r="W165" i="18"/>
  <c r="W92" i="18" s="1"/>
  <c r="V165" i="18"/>
  <c r="V92" i="18" s="1"/>
  <c r="AO164" i="18"/>
  <c r="AN164" i="18"/>
  <c r="AM164" i="18"/>
  <c r="AL164" i="18"/>
  <c r="X91" i="18" s="1"/>
  <c r="AK164" i="18"/>
  <c r="AJ164" i="18"/>
  <c r="AI164" i="18"/>
  <c r="AH164" i="18"/>
  <c r="AG164" i="18"/>
  <c r="AF164" i="18"/>
  <c r="AE164" i="18"/>
  <c r="AD164" i="18"/>
  <c r="AD91" i="18" s="1"/>
  <c r="AC164" i="18"/>
  <c r="AC91" i="18" s="1"/>
  <c r="AB164" i="18"/>
  <c r="AB91" i="18" s="1"/>
  <c r="AA164" i="18"/>
  <c r="AA91" i="18" s="1"/>
  <c r="Z164" i="18"/>
  <c r="Y164" i="18"/>
  <c r="Y91" i="18" s="1"/>
  <c r="X164" i="18"/>
  <c r="W164" i="18"/>
  <c r="W91" i="18" s="1"/>
  <c r="V164" i="18"/>
  <c r="V91" i="18" s="1"/>
  <c r="AO163" i="18"/>
  <c r="AN163" i="18"/>
  <c r="AM163" i="18"/>
  <c r="AL163" i="18"/>
  <c r="X90" i="18" s="1"/>
  <c r="AK163" i="18"/>
  <c r="AJ163" i="18"/>
  <c r="AI163" i="18"/>
  <c r="AH163" i="18"/>
  <c r="AG163" i="18"/>
  <c r="AF163" i="18"/>
  <c r="AE163" i="18"/>
  <c r="AD163" i="18"/>
  <c r="AD90" i="18" s="1"/>
  <c r="AC163" i="18"/>
  <c r="AC90" i="18" s="1"/>
  <c r="AB163" i="18"/>
  <c r="AB90" i="18" s="1"/>
  <c r="AA163" i="18"/>
  <c r="AA90" i="18" s="1"/>
  <c r="Z163" i="18"/>
  <c r="Z90" i="18" s="1"/>
  <c r="Y163" i="18"/>
  <c r="Y90" i="18" s="1"/>
  <c r="X163" i="18"/>
  <c r="W163" i="18"/>
  <c r="W90" i="18" s="1"/>
  <c r="V163" i="18"/>
  <c r="V90" i="18" s="1"/>
  <c r="AO162" i="18"/>
  <c r="AN162" i="18"/>
  <c r="AM162" i="18"/>
  <c r="AL162" i="18"/>
  <c r="X89" i="18" s="1"/>
  <c r="AK162" i="18"/>
  <c r="AJ162" i="18"/>
  <c r="AI162" i="18"/>
  <c r="AH162" i="18"/>
  <c r="AG162" i="18"/>
  <c r="AF162" i="18"/>
  <c r="AE162" i="18"/>
  <c r="AD162" i="18"/>
  <c r="AD89" i="18" s="1"/>
  <c r="AC162" i="18"/>
  <c r="AC89" i="18" s="1"/>
  <c r="AB162" i="18"/>
  <c r="AB89" i="18" s="1"/>
  <c r="AA162" i="18"/>
  <c r="AA89" i="18" s="1"/>
  <c r="Z162" i="18"/>
  <c r="Z89" i="18" s="1"/>
  <c r="Y162" i="18"/>
  <c r="Y89" i="18" s="1"/>
  <c r="X162" i="18"/>
  <c r="W162" i="18"/>
  <c r="W89" i="18" s="1"/>
  <c r="V162" i="18"/>
  <c r="V89" i="18" s="1"/>
  <c r="AO161" i="18"/>
  <c r="AN161" i="18"/>
  <c r="AM161" i="18"/>
  <c r="AL161" i="18"/>
  <c r="X88" i="18" s="1"/>
  <c r="AK161" i="18"/>
  <c r="AJ161" i="18"/>
  <c r="AI161" i="18"/>
  <c r="AH161" i="18"/>
  <c r="AG161" i="18"/>
  <c r="AF161" i="18"/>
  <c r="AE161" i="18"/>
  <c r="AD161" i="18"/>
  <c r="AD88" i="18" s="1"/>
  <c r="AC161" i="18"/>
  <c r="AC88" i="18" s="1"/>
  <c r="AB161" i="18"/>
  <c r="AB88" i="18" s="1"/>
  <c r="AA161" i="18"/>
  <c r="AA88" i="18" s="1"/>
  <c r="Z161" i="18"/>
  <c r="Z88" i="18" s="1"/>
  <c r="Y161" i="18"/>
  <c r="Y88" i="18" s="1"/>
  <c r="X161" i="18"/>
  <c r="W161" i="18"/>
  <c r="W88" i="18" s="1"/>
  <c r="V161" i="18"/>
  <c r="V88" i="18" s="1"/>
  <c r="AO160" i="18"/>
  <c r="AN160" i="18"/>
  <c r="AM160" i="18"/>
  <c r="AL160" i="18"/>
  <c r="X87" i="18" s="1"/>
  <c r="AK160" i="18"/>
  <c r="AJ160" i="18"/>
  <c r="AI160" i="18"/>
  <c r="AH160" i="18"/>
  <c r="AG160" i="18"/>
  <c r="AF160" i="18"/>
  <c r="AE160" i="18"/>
  <c r="AD160" i="18"/>
  <c r="AD87" i="18" s="1"/>
  <c r="AC160" i="18"/>
  <c r="AC87" i="18" s="1"/>
  <c r="AB160" i="18"/>
  <c r="AB87" i="18" s="1"/>
  <c r="AA160" i="18"/>
  <c r="AA87" i="18" s="1"/>
  <c r="Z160" i="18"/>
  <c r="Z87" i="18" s="1"/>
  <c r="Y160" i="18"/>
  <c r="Y87" i="18" s="1"/>
  <c r="X160" i="18"/>
  <c r="W160" i="18"/>
  <c r="W87" i="18" s="1"/>
  <c r="V160" i="18"/>
  <c r="V87" i="18" s="1"/>
  <c r="AO159" i="18"/>
  <c r="AN159" i="18"/>
  <c r="AM159" i="18"/>
  <c r="AL159" i="18"/>
  <c r="AK159" i="18"/>
  <c r="AJ159" i="18"/>
  <c r="AI159" i="18"/>
  <c r="AH159" i="18"/>
  <c r="AG159" i="18"/>
  <c r="AF159" i="18"/>
  <c r="AE159" i="18"/>
  <c r="AD159" i="18"/>
  <c r="AC159" i="18"/>
  <c r="AB159" i="18"/>
  <c r="AA159" i="18"/>
  <c r="Z159" i="18"/>
  <c r="Y159" i="18"/>
  <c r="X159" i="18"/>
  <c r="W159" i="18"/>
  <c r="V159" i="18"/>
  <c r="AO158" i="18"/>
  <c r="AN158" i="18"/>
  <c r="AM158" i="18"/>
  <c r="AL158" i="18"/>
  <c r="AK158" i="18"/>
  <c r="AJ158" i="18"/>
  <c r="AI158" i="18"/>
  <c r="AH158" i="18"/>
  <c r="AG158" i="18"/>
  <c r="AF158" i="18"/>
  <c r="AE158" i="18"/>
  <c r="AD158" i="18"/>
  <c r="AC158" i="18"/>
  <c r="AB158" i="18"/>
  <c r="AA158" i="18"/>
  <c r="Z158" i="18"/>
  <c r="Y158" i="18"/>
  <c r="X158" i="18"/>
  <c r="W158" i="18"/>
  <c r="V158" i="18"/>
  <c r="AO157" i="18"/>
  <c r="AN157" i="18"/>
  <c r="AM157" i="18"/>
  <c r="AL157" i="18"/>
  <c r="AK157" i="18"/>
  <c r="AJ157" i="18"/>
  <c r="AI157" i="18"/>
  <c r="AH157" i="18"/>
  <c r="AG157" i="18"/>
  <c r="AF157" i="18"/>
  <c r="AE157" i="18"/>
  <c r="AD157" i="18"/>
  <c r="AC157" i="18"/>
  <c r="AB157" i="18"/>
  <c r="AA157" i="18"/>
  <c r="Z157" i="18"/>
  <c r="Y157" i="18"/>
  <c r="X157" i="18"/>
  <c r="W157" i="18"/>
  <c r="V157" i="18"/>
  <c r="AO156" i="18"/>
  <c r="AN156" i="18"/>
  <c r="AM156" i="18"/>
  <c r="AL156" i="18"/>
  <c r="AK156" i="18"/>
  <c r="AJ156" i="18"/>
  <c r="AI156" i="18"/>
  <c r="AH156" i="18"/>
  <c r="AG156" i="18"/>
  <c r="AF156" i="18"/>
  <c r="AE156" i="18"/>
  <c r="AD156" i="18"/>
  <c r="AC156" i="18"/>
  <c r="AB156" i="18"/>
  <c r="AA156" i="18"/>
  <c r="Z156" i="18"/>
  <c r="Y156" i="18"/>
  <c r="X156" i="18"/>
  <c r="W156" i="18"/>
  <c r="V156" i="18"/>
  <c r="AO155" i="18"/>
  <c r="AN155" i="18"/>
  <c r="AM155" i="18"/>
  <c r="AL155" i="18"/>
  <c r="AK155" i="18"/>
  <c r="AJ155" i="18"/>
  <c r="AI155" i="18"/>
  <c r="AH155" i="18"/>
  <c r="AG155" i="18"/>
  <c r="AF155" i="18"/>
  <c r="AE155" i="18"/>
  <c r="AD155" i="18"/>
  <c r="AC155" i="18"/>
  <c r="AB155" i="18"/>
  <c r="AA155" i="18"/>
  <c r="Z155" i="18"/>
  <c r="Y155" i="18"/>
  <c r="X155" i="18"/>
  <c r="W155" i="18"/>
  <c r="V155" i="18"/>
  <c r="AO154" i="18"/>
  <c r="AN154" i="18"/>
  <c r="AM154" i="18"/>
  <c r="AL154" i="18"/>
  <c r="AK154" i="18"/>
  <c r="AJ154" i="18"/>
  <c r="AI154" i="18"/>
  <c r="AH154" i="18"/>
  <c r="AG154" i="18"/>
  <c r="AF154" i="18"/>
  <c r="AE154" i="18"/>
  <c r="AD154" i="18"/>
  <c r="AC154" i="18"/>
  <c r="AB154" i="18"/>
  <c r="AA154" i="18"/>
  <c r="Z154" i="18"/>
  <c r="Y154" i="18"/>
  <c r="X154" i="18"/>
  <c r="W154" i="18"/>
  <c r="V154" i="18"/>
  <c r="AO153" i="18"/>
  <c r="AN153" i="18"/>
  <c r="AM153" i="18"/>
  <c r="AL153" i="18"/>
  <c r="AK153" i="18"/>
  <c r="AJ153" i="18"/>
  <c r="AI153" i="18"/>
  <c r="AH153" i="18"/>
  <c r="AG153" i="18"/>
  <c r="AF153" i="18"/>
  <c r="AE153" i="18"/>
  <c r="AD153" i="18"/>
  <c r="AC153" i="18"/>
  <c r="AB153" i="18"/>
  <c r="AA153" i="18"/>
  <c r="Z153" i="18"/>
  <c r="Y153" i="18"/>
  <c r="X153" i="18"/>
  <c r="W153" i="18"/>
  <c r="V153" i="18"/>
  <c r="AO152" i="18"/>
  <c r="AN152" i="18"/>
  <c r="AM152" i="18"/>
  <c r="AL152" i="18"/>
  <c r="AK152" i="18"/>
  <c r="AJ152" i="18"/>
  <c r="AI152" i="18"/>
  <c r="AH152" i="18"/>
  <c r="AG152" i="18"/>
  <c r="AF152" i="18"/>
  <c r="AE152" i="18"/>
  <c r="AD152" i="18"/>
  <c r="AC152" i="18"/>
  <c r="AB152" i="18"/>
  <c r="AA152" i="18"/>
  <c r="Z152" i="18"/>
  <c r="Y152" i="18"/>
  <c r="X152" i="18"/>
  <c r="W152" i="18"/>
  <c r="V152" i="18"/>
  <c r="AO151" i="18"/>
  <c r="AN151" i="18"/>
  <c r="AM151" i="18"/>
  <c r="AL151" i="18"/>
  <c r="AK151" i="18"/>
  <c r="AJ151" i="18"/>
  <c r="AI151" i="18"/>
  <c r="AH151" i="18"/>
  <c r="AG151" i="18"/>
  <c r="AF151" i="18"/>
  <c r="AE151" i="18"/>
  <c r="AD151" i="18"/>
  <c r="AC151" i="18"/>
  <c r="AB151" i="18"/>
  <c r="AA151" i="18"/>
  <c r="Z151" i="18"/>
  <c r="Y151" i="18"/>
  <c r="X151" i="18"/>
  <c r="W151" i="18"/>
  <c r="V151" i="18"/>
  <c r="AO150" i="18"/>
  <c r="AN150" i="18"/>
  <c r="AM150" i="18"/>
  <c r="AL150" i="18"/>
  <c r="AK150" i="18"/>
  <c r="AJ150" i="18"/>
  <c r="AI150" i="18"/>
  <c r="AH150" i="18"/>
  <c r="AG150" i="18"/>
  <c r="AF150" i="18"/>
  <c r="AE150" i="18"/>
  <c r="AD150" i="18"/>
  <c r="AC150" i="18"/>
  <c r="AB150" i="18"/>
  <c r="AA150" i="18"/>
  <c r="Z150" i="18"/>
  <c r="Y150" i="18"/>
  <c r="X150" i="18"/>
  <c r="W150" i="18"/>
  <c r="V150" i="18"/>
  <c r="AO149" i="18"/>
  <c r="AN149" i="18"/>
  <c r="AM149" i="18"/>
  <c r="AL149" i="18"/>
  <c r="AK149" i="18"/>
  <c r="AJ149" i="18"/>
  <c r="AI149" i="18"/>
  <c r="AH149" i="18"/>
  <c r="AG149" i="18"/>
  <c r="AF149" i="18"/>
  <c r="AE149" i="18"/>
  <c r="AD149" i="18"/>
  <c r="AC149" i="18"/>
  <c r="AB149" i="18"/>
  <c r="AA149" i="18"/>
  <c r="Z149" i="18"/>
  <c r="Y149" i="18"/>
  <c r="X149" i="18"/>
  <c r="W149" i="18"/>
  <c r="V149" i="18"/>
  <c r="AO148" i="18"/>
  <c r="AN148" i="18"/>
  <c r="AM148" i="18"/>
  <c r="AL148" i="18"/>
  <c r="AK148" i="18"/>
  <c r="AJ148" i="18"/>
  <c r="AI148" i="18"/>
  <c r="AH148" i="18"/>
  <c r="AG148" i="18"/>
  <c r="AF148" i="18"/>
  <c r="AE148" i="18"/>
  <c r="AD148" i="18"/>
  <c r="AC148" i="18"/>
  <c r="AB148" i="18"/>
  <c r="AA148" i="18"/>
  <c r="Z148" i="18"/>
  <c r="Y148" i="18"/>
  <c r="X148" i="18"/>
  <c r="W148" i="18"/>
  <c r="V148" i="18"/>
  <c r="AO147" i="18"/>
  <c r="AN147" i="18"/>
  <c r="AM147" i="18"/>
  <c r="AL147" i="18"/>
  <c r="AK147" i="18"/>
  <c r="AJ147" i="18"/>
  <c r="AI147" i="18"/>
  <c r="AH147" i="18"/>
  <c r="AG147" i="18"/>
  <c r="AF147" i="18"/>
  <c r="AE147" i="18"/>
  <c r="AD147" i="18"/>
  <c r="AC147" i="18"/>
  <c r="AB147" i="18"/>
  <c r="AA147" i="18"/>
  <c r="Z147" i="18"/>
  <c r="Y147" i="18"/>
  <c r="X147" i="18"/>
  <c r="W147" i="18"/>
  <c r="V147" i="18"/>
  <c r="AO146" i="18"/>
  <c r="AN146" i="18"/>
  <c r="AM146" i="18"/>
  <c r="AL146" i="18"/>
  <c r="AK146" i="18"/>
  <c r="AJ146" i="18"/>
  <c r="AI146" i="18"/>
  <c r="AH146" i="18"/>
  <c r="AG146" i="18"/>
  <c r="AF146" i="18"/>
  <c r="AE146" i="18"/>
  <c r="AD146" i="18"/>
  <c r="AC146" i="18"/>
  <c r="AB146" i="18"/>
  <c r="AA146" i="18"/>
  <c r="Z146" i="18"/>
  <c r="Y146" i="18"/>
  <c r="X146" i="18"/>
  <c r="W146" i="18"/>
  <c r="V146" i="18"/>
  <c r="AO145" i="18"/>
  <c r="AN145" i="18"/>
  <c r="AM145" i="18"/>
  <c r="AL145" i="18"/>
  <c r="AK145" i="18"/>
  <c r="AJ145" i="18"/>
  <c r="AI145" i="18"/>
  <c r="AH145" i="18"/>
  <c r="AG145" i="18"/>
  <c r="AF145" i="18"/>
  <c r="AE145" i="18"/>
  <c r="AD145" i="18"/>
  <c r="AC145" i="18"/>
  <c r="AB145" i="18"/>
  <c r="AA145" i="18"/>
  <c r="Z145" i="18"/>
  <c r="Y145" i="18"/>
  <c r="X145" i="18"/>
  <c r="W145" i="18"/>
  <c r="V145" i="18"/>
  <c r="AO144" i="18"/>
  <c r="AN144" i="18"/>
  <c r="AM144" i="18"/>
  <c r="AL144" i="18"/>
  <c r="AK144" i="18"/>
  <c r="AJ144" i="18"/>
  <c r="AI144" i="18"/>
  <c r="AH144" i="18"/>
  <c r="AG144" i="18"/>
  <c r="AF144" i="18"/>
  <c r="AE144" i="18"/>
  <c r="AD144" i="18"/>
  <c r="AC144" i="18"/>
  <c r="AB144" i="18"/>
  <c r="AA144" i="18"/>
  <c r="Z144" i="18"/>
  <c r="Y144" i="18"/>
  <c r="X144" i="18"/>
  <c r="W144" i="18"/>
  <c r="V144" i="18"/>
  <c r="AO143" i="18"/>
  <c r="AN143" i="18"/>
  <c r="AM143" i="18"/>
  <c r="AL143" i="18"/>
  <c r="AK143" i="18"/>
  <c r="AJ143" i="18"/>
  <c r="AI143" i="18"/>
  <c r="AH143" i="18"/>
  <c r="AG143" i="18"/>
  <c r="AF143" i="18"/>
  <c r="AE143" i="18"/>
  <c r="AD143" i="18"/>
  <c r="AC143" i="18"/>
  <c r="AB143" i="18"/>
  <c r="AA143" i="18"/>
  <c r="Z143" i="18"/>
  <c r="Y143" i="18"/>
  <c r="X143" i="18"/>
  <c r="W143" i="18"/>
  <c r="V143" i="18"/>
  <c r="AO142" i="18"/>
  <c r="AN142" i="18"/>
  <c r="AM142" i="18"/>
  <c r="AL142" i="18"/>
  <c r="AK142" i="18"/>
  <c r="AJ142" i="18"/>
  <c r="AI142" i="18"/>
  <c r="AH142" i="18"/>
  <c r="AG142" i="18"/>
  <c r="AF142" i="18"/>
  <c r="AE142" i="18"/>
  <c r="AD142" i="18"/>
  <c r="AC142" i="18"/>
  <c r="AB142" i="18"/>
  <c r="AA142" i="18"/>
  <c r="Z142" i="18"/>
  <c r="Y142" i="18"/>
  <c r="X142" i="18"/>
  <c r="W142" i="18"/>
  <c r="V142" i="18"/>
  <c r="AO141" i="18"/>
  <c r="AN141" i="18"/>
  <c r="AM141" i="18"/>
  <c r="AL141" i="18"/>
  <c r="AK141" i="18"/>
  <c r="AJ141" i="18"/>
  <c r="AI141" i="18"/>
  <c r="AH141" i="18"/>
  <c r="AG141" i="18"/>
  <c r="AF141" i="18"/>
  <c r="AE141" i="18"/>
  <c r="AD141" i="18"/>
  <c r="AC141" i="18"/>
  <c r="AB141" i="18"/>
  <c r="AA141" i="18"/>
  <c r="Z141" i="18"/>
  <c r="Y141" i="18"/>
  <c r="X141" i="18"/>
  <c r="W141" i="18"/>
  <c r="V141" i="18"/>
  <c r="AO140" i="18"/>
  <c r="AN140" i="18"/>
  <c r="AM140" i="18"/>
  <c r="AL140" i="18"/>
  <c r="AK140" i="18"/>
  <c r="AJ140" i="18"/>
  <c r="AI140" i="18"/>
  <c r="AH140" i="18"/>
  <c r="AG140" i="18"/>
  <c r="AF140" i="18"/>
  <c r="AE140" i="18"/>
  <c r="AD140" i="18"/>
  <c r="AC140" i="18"/>
  <c r="AB140" i="18"/>
  <c r="AA140" i="18"/>
  <c r="Z140" i="18"/>
  <c r="Y140" i="18"/>
  <c r="X140" i="18"/>
  <c r="W140" i="18"/>
  <c r="V140" i="18"/>
  <c r="AO139" i="18"/>
  <c r="AN139" i="18"/>
  <c r="AM139" i="18"/>
  <c r="AL139" i="18"/>
  <c r="AK139" i="18"/>
  <c r="AJ139" i="18"/>
  <c r="AI139" i="18"/>
  <c r="AH139" i="18"/>
  <c r="AG139" i="18"/>
  <c r="AF139" i="18"/>
  <c r="AE139" i="18"/>
  <c r="AD139" i="18"/>
  <c r="AC139" i="18"/>
  <c r="AB139" i="18"/>
  <c r="AA139" i="18"/>
  <c r="Z139" i="18"/>
  <c r="Y139" i="18"/>
  <c r="X139" i="18"/>
  <c r="W139" i="18"/>
  <c r="V139" i="18"/>
  <c r="AO138" i="18"/>
  <c r="AN138" i="18"/>
  <c r="AM138" i="18"/>
  <c r="AL138" i="18"/>
  <c r="AK138" i="18"/>
  <c r="AJ138" i="18"/>
  <c r="AI138" i="18"/>
  <c r="AH138" i="18"/>
  <c r="AG138" i="18"/>
  <c r="AF138" i="18"/>
  <c r="AE138" i="18"/>
  <c r="AD138" i="18"/>
  <c r="AC138" i="18"/>
  <c r="AB138" i="18"/>
  <c r="AA138" i="18"/>
  <c r="Z138" i="18"/>
  <c r="Y138" i="18"/>
  <c r="X138" i="18"/>
  <c r="W138" i="18"/>
  <c r="V138" i="18"/>
  <c r="AO137" i="18"/>
  <c r="AN137" i="18"/>
  <c r="AM137" i="18"/>
  <c r="AL137" i="18"/>
  <c r="AK137" i="18"/>
  <c r="AJ137" i="18"/>
  <c r="AI137" i="18"/>
  <c r="AH137" i="18"/>
  <c r="AG137" i="18"/>
  <c r="AF137" i="18"/>
  <c r="AE137" i="18"/>
  <c r="AD137" i="18"/>
  <c r="AC137" i="18"/>
  <c r="AB137" i="18"/>
  <c r="AA137" i="18"/>
  <c r="Z137" i="18"/>
  <c r="Y137" i="18"/>
  <c r="X137" i="18"/>
  <c r="W137" i="18"/>
  <c r="V137" i="18"/>
  <c r="AO136" i="18"/>
  <c r="AN136" i="18"/>
  <c r="AM136" i="18"/>
  <c r="AL136" i="18"/>
  <c r="AK136" i="18"/>
  <c r="AJ136" i="18"/>
  <c r="AI136" i="18"/>
  <c r="AH136" i="18"/>
  <c r="AG136" i="18"/>
  <c r="AF136" i="18"/>
  <c r="AE136" i="18"/>
  <c r="AD136" i="18"/>
  <c r="AC136" i="18"/>
  <c r="AB136" i="18"/>
  <c r="AA136" i="18"/>
  <c r="Z136" i="18"/>
  <c r="Y136" i="18"/>
  <c r="X136" i="18"/>
  <c r="W136" i="18"/>
  <c r="V136" i="18"/>
  <c r="AO135" i="18"/>
  <c r="AN135" i="18"/>
  <c r="AM135" i="18"/>
  <c r="AL135" i="18"/>
  <c r="AK135" i="18"/>
  <c r="AJ135" i="18"/>
  <c r="AI135" i="18"/>
  <c r="AH135" i="18"/>
  <c r="AG135" i="18"/>
  <c r="AF135" i="18"/>
  <c r="AE135" i="18"/>
  <c r="AD135" i="18"/>
  <c r="AC135" i="18"/>
  <c r="AB135" i="18"/>
  <c r="AA135" i="18"/>
  <c r="Z135" i="18"/>
  <c r="Y135" i="18"/>
  <c r="X135" i="18"/>
  <c r="W135" i="18"/>
  <c r="V135" i="18"/>
  <c r="AO134" i="18"/>
  <c r="AN134" i="18"/>
  <c r="AM134" i="18"/>
  <c r="AL134" i="18"/>
  <c r="AK134" i="18"/>
  <c r="AJ134" i="18"/>
  <c r="AI134" i="18"/>
  <c r="AH134" i="18"/>
  <c r="AG134" i="18"/>
  <c r="AF134" i="18"/>
  <c r="AE134" i="18"/>
  <c r="AD134" i="18"/>
  <c r="AC134" i="18"/>
  <c r="AB134" i="18"/>
  <c r="AA134" i="18"/>
  <c r="Z134" i="18"/>
  <c r="Y134" i="18"/>
  <c r="X134" i="18"/>
  <c r="W134" i="18"/>
  <c r="V134" i="18"/>
  <c r="AO133" i="18"/>
  <c r="AN133" i="18"/>
  <c r="AM133" i="18"/>
  <c r="AL133" i="18"/>
  <c r="AK133" i="18"/>
  <c r="AJ133" i="18"/>
  <c r="AI133" i="18"/>
  <c r="AH133" i="18"/>
  <c r="AG133" i="18"/>
  <c r="AF133" i="18"/>
  <c r="AE133" i="18"/>
  <c r="AD133" i="18"/>
  <c r="AC133" i="18"/>
  <c r="AB133" i="18"/>
  <c r="AA133" i="18"/>
  <c r="Z133" i="18"/>
  <c r="Y133" i="18"/>
  <c r="X133" i="18"/>
  <c r="W133" i="18"/>
  <c r="V133" i="18"/>
  <c r="AO132" i="18"/>
  <c r="AN132" i="18"/>
  <c r="AM132" i="18"/>
  <c r="AL132" i="18"/>
  <c r="AK132" i="18"/>
  <c r="AJ132" i="18"/>
  <c r="AI132" i="18"/>
  <c r="AH132" i="18"/>
  <c r="AG132" i="18"/>
  <c r="AF132" i="18"/>
  <c r="AE132" i="18"/>
  <c r="AD132" i="18"/>
  <c r="AC132" i="18"/>
  <c r="AB132" i="18"/>
  <c r="AA132" i="18"/>
  <c r="Z132" i="18"/>
  <c r="Y132" i="18"/>
  <c r="X132" i="18"/>
  <c r="W132" i="18"/>
  <c r="V132" i="18"/>
  <c r="AO131" i="18"/>
  <c r="AN131" i="18"/>
  <c r="AM131" i="18"/>
  <c r="AL131" i="18"/>
  <c r="AK131" i="18"/>
  <c r="AJ131" i="18"/>
  <c r="AI131" i="18"/>
  <c r="AH131" i="18"/>
  <c r="AG131" i="18"/>
  <c r="AF131" i="18"/>
  <c r="AE131" i="18"/>
  <c r="AD131" i="18"/>
  <c r="AC131" i="18"/>
  <c r="AB131" i="18"/>
  <c r="AA131" i="18"/>
  <c r="Z131" i="18"/>
  <c r="Y131" i="18"/>
  <c r="X131" i="18"/>
  <c r="W131" i="18"/>
  <c r="V131" i="18"/>
  <c r="AO130" i="18"/>
  <c r="AN130" i="18"/>
  <c r="AM130" i="18"/>
  <c r="AL130" i="18"/>
  <c r="AK130" i="18"/>
  <c r="AJ130" i="18"/>
  <c r="AI130" i="18"/>
  <c r="AH130" i="18"/>
  <c r="AG130" i="18"/>
  <c r="AF130" i="18"/>
  <c r="AE130" i="18"/>
  <c r="AD130" i="18"/>
  <c r="AC130" i="18"/>
  <c r="AB130" i="18"/>
  <c r="AA130" i="18"/>
  <c r="Z130" i="18"/>
  <c r="Y130" i="18"/>
  <c r="X130" i="18"/>
  <c r="W130" i="18"/>
  <c r="V130" i="18"/>
  <c r="AO129" i="18"/>
  <c r="AN129" i="18"/>
  <c r="AM129" i="18"/>
  <c r="AL129" i="18"/>
  <c r="AK129" i="18"/>
  <c r="AJ129" i="18"/>
  <c r="AI129" i="18"/>
  <c r="AH129" i="18"/>
  <c r="AG129" i="18"/>
  <c r="AF129" i="18"/>
  <c r="AE129" i="18"/>
  <c r="AD129" i="18"/>
  <c r="AC129" i="18"/>
  <c r="AB129" i="18"/>
  <c r="AA129" i="18"/>
  <c r="Z129" i="18"/>
  <c r="Y129" i="18"/>
  <c r="X129" i="18"/>
  <c r="W129" i="18"/>
  <c r="V129" i="18"/>
  <c r="AO128" i="18"/>
  <c r="AN128" i="18"/>
  <c r="AM128" i="18"/>
  <c r="AL128" i="18"/>
  <c r="AK128" i="18"/>
  <c r="AJ128" i="18"/>
  <c r="AI128" i="18"/>
  <c r="AH128" i="18"/>
  <c r="AG128" i="18"/>
  <c r="AF128" i="18"/>
  <c r="AE128" i="18"/>
  <c r="AD128" i="18"/>
  <c r="AC128" i="18"/>
  <c r="AB128" i="18"/>
  <c r="AA128" i="18"/>
  <c r="Z128" i="18"/>
  <c r="Y128" i="18"/>
  <c r="X128" i="18"/>
  <c r="W128" i="18"/>
  <c r="V128" i="18"/>
  <c r="AO127" i="18"/>
  <c r="AN127" i="18"/>
  <c r="AM127" i="18"/>
  <c r="AL127" i="18"/>
  <c r="AK127" i="18"/>
  <c r="AJ127" i="18"/>
  <c r="AI127" i="18"/>
  <c r="AH127" i="18"/>
  <c r="AG127" i="18"/>
  <c r="AF127" i="18"/>
  <c r="AE127" i="18"/>
  <c r="AD127" i="18"/>
  <c r="AC127" i="18"/>
  <c r="AB127" i="18"/>
  <c r="AA127" i="18"/>
  <c r="Z127" i="18"/>
  <c r="Y127" i="18"/>
  <c r="X127" i="18"/>
  <c r="W127" i="18"/>
  <c r="V127" i="18"/>
  <c r="AO126" i="18"/>
  <c r="AN126" i="18"/>
  <c r="AM126" i="18"/>
  <c r="AL126" i="18"/>
  <c r="AK126" i="18"/>
  <c r="AJ126" i="18"/>
  <c r="AI126" i="18"/>
  <c r="AH126" i="18"/>
  <c r="AG126" i="18"/>
  <c r="AF126" i="18"/>
  <c r="AE126" i="18"/>
  <c r="AD126" i="18"/>
  <c r="AC126" i="18"/>
  <c r="AB126" i="18"/>
  <c r="AA126" i="18"/>
  <c r="Z126" i="18"/>
  <c r="Y126" i="18"/>
  <c r="X126" i="18"/>
  <c r="W126" i="18"/>
  <c r="V126" i="18"/>
  <c r="AO125" i="18"/>
  <c r="AN125" i="18"/>
  <c r="AM125" i="18"/>
  <c r="AL125" i="18"/>
  <c r="AK125" i="18"/>
  <c r="AJ125" i="18"/>
  <c r="AI125" i="18"/>
  <c r="AH125" i="18"/>
  <c r="AG125" i="18"/>
  <c r="AF125" i="18"/>
  <c r="AE125" i="18"/>
  <c r="AD125" i="18"/>
  <c r="AC125" i="18"/>
  <c r="AB125" i="18"/>
  <c r="AA125" i="18"/>
  <c r="Z125" i="18"/>
  <c r="Y125" i="18"/>
  <c r="X125" i="18"/>
  <c r="W125" i="18"/>
  <c r="V125" i="18"/>
  <c r="AO124" i="18"/>
  <c r="AN124" i="18"/>
  <c r="AM124" i="18"/>
  <c r="AL124" i="18"/>
  <c r="AK124" i="18"/>
  <c r="AJ124" i="18"/>
  <c r="AI124" i="18"/>
  <c r="AH124" i="18"/>
  <c r="AG124" i="18"/>
  <c r="AF124" i="18"/>
  <c r="AE124" i="18"/>
  <c r="AD124" i="18"/>
  <c r="AC124" i="18"/>
  <c r="AB124" i="18"/>
  <c r="AA124" i="18"/>
  <c r="Z124" i="18"/>
  <c r="Y124" i="18"/>
  <c r="X124" i="18"/>
  <c r="W124" i="18"/>
  <c r="V124" i="18"/>
  <c r="AO123" i="18"/>
  <c r="AN123" i="18"/>
  <c r="AM123" i="18"/>
  <c r="AL123" i="18"/>
  <c r="AK123" i="18"/>
  <c r="AJ123" i="18"/>
  <c r="AI123" i="18"/>
  <c r="AH123" i="18"/>
  <c r="AG123" i="18"/>
  <c r="AF123" i="18"/>
  <c r="AE123" i="18"/>
  <c r="AD123" i="18"/>
  <c r="AC123" i="18"/>
  <c r="AB123" i="18"/>
  <c r="AA123" i="18"/>
  <c r="Z123" i="18"/>
  <c r="Y123" i="18"/>
  <c r="X123" i="18"/>
  <c r="W123" i="18"/>
  <c r="V123" i="18"/>
  <c r="AO122" i="18"/>
  <c r="AN122" i="18"/>
  <c r="AM122" i="18"/>
  <c r="AL122" i="18"/>
  <c r="AK122" i="18"/>
  <c r="AJ122" i="18"/>
  <c r="AI122" i="18"/>
  <c r="AH122" i="18"/>
  <c r="AG122" i="18"/>
  <c r="AF122" i="18"/>
  <c r="AE122" i="18"/>
  <c r="AD122" i="18"/>
  <c r="AC122" i="18"/>
  <c r="AB122" i="18"/>
  <c r="AA122" i="18"/>
  <c r="Z122" i="18"/>
  <c r="Y122" i="18"/>
  <c r="X122" i="18"/>
  <c r="W122" i="18"/>
  <c r="V122" i="18"/>
  <c r="AO121" i="18"/>
  <c r="AN121" i="18"/>
  <c r="AM121" i="18"/>
  <c r="AL121" i="18"/>
  <c r="AK121" i="18"/>
  <c r="AJ121" i="18"/>
  <c r="AI121" i="18"/>
  <c r="AH121" i="18"/>
  <c r="AG121" i="18"/>
  <c r="AF121" i="18"/>
  <c r="AE121" i="18"/>
  <c r="AD121" i="18"/>
  <c r="AC121" i="18"/>
  <c r="AB121" i="18"/>
  <c r="AA121" i="18"/>
  <c r="Z121" i="18"/>
  <c r="Y121" i="18"/>
  <c r="X121" i="18"/>
  <c r="W121" i="18"/>
  <c r="V121" i="18"/>
  <c r="AO120" i="18"/>
  <c r="AN120" i="18"/>
  <c r="AM120" i="18"/>
  <c r="AL120" i="18"/>
  <c r="AK120" i="18"/>
  <c r="AJ120" i="18"/>
  <c r="AI120" i="18"/>
  <c r="AH120" i="18"/>
  <c r="AG120" i="18"/>
  <c r="AF120" i="18"/>
  <c r="AE120" i="18"/>
  <c r="AD120" i="18"/>
  <c r="AC120" i="18"/>
  <c r="AB120" i="18"/>
  <c r="AA120" i="18"/>
  <c r="Z120" i="18"/>
  <c r="Y120" i="18"/>
  <c r="X120" i="18"/>
  <c r="W120" i="18"/>
  <c r="V120" i="18"/>
  <c r="AO119" i="18"/>
  <c r="AN119" i="18"/>
  <c r="AM119" i="18"/>
  <c r="AL119" i="18"/>
  <c r="AK119" i="18"/>
  <c r="AJ119" i="18"/>
  <c r="AI119" i="18"/>
  <c r="AH119" i="18"/>
  <c r="AG119" i="18"/>
  <c r="AF119" i="18"/>
  <c r="AE119" i="18"/>
  <c r="AD119" i="18"/>
  <c r="AC119" i="18"/>
  <c r="AB119" i="18"/>
  <c r="AA119" i="18"/>
  <c r="Z119" i="18"/>
  <c r="Y119" i="18"/>
  <c r="X119" i="18"/>
  <c r="W119" i="18"/>
  <c r="V119" i="18"/>
  <c r="AO118" i="18"/>
  <c r="AN118" i="18"/>
  <c r="AM118" i="18"/>
  <c r="AL118" i="18"/>
  <c r="AK118" i="18"/>
  <c r="AJ118" i="18"/>
  <c r="AI118" i="18"/>
  <c r="AH118" i="18"/>
  <c r="AG118" i="18"/>
  <c r="AF118" i="18"/>
  <c r="AE118" i="18"/>
  <c r="AD118" i="18"/>
  <c r="AC118" i="18"/>
  <c r="AB118" i="18"/>
  <c r="AA118" i="18"/>
  <c r="Z118" i="18"/>
  <c r="Y118" i="18"/>
  <c r="X118" i="18"/>
  <c r="W118" i="18"/>
  <c r="V118" i="18"/>
  <c r="AO117" i="18"/>
  <c r="AN117" i="18"/>
  <c r="AM117" i="18"/>
  <c r="AL117" i="18"/>
  <c r="AK117" i="18"/>
  <c r="AJ117" i="18"/>
  <c r="AI117" i="18"/>
  <c r="AH117" i="18"/>
  <c r="AG117" i="18"/>
  <c r="AF117" i="18"/>
  <c r="AE117" i="18"/>
  <c r="AD117" i="18"/>
  <c r="AC117" i="18"/>
  <c r="AB117" i="18"/>
  <c r="AA117" i="18"/>
  <c r="Z117" i="18"/>
  <c r="Y117" i="18"/>
  <c r="X117" i="18"/>
  <c r="W117" i="18"/>
  <c r="V117" i="18"/>
  <c r="AO116" i="18"/>
  <c r="AN116" i="18"/>
  <c r="AM116" i="18"/>
  <c r="AL116" i="18"/>
  <c r="AK116" i="18"/>
  <c r="AJ116" i="18"/>
  <c r="AI116" i="18"/>
  <c r="AH116" i="18"/>
  <c r="AG116" i="18"/>
  <c r="AF116" i="18"/>
  <c r="AE116" i="18"/>
  <c r="AD116" i="18"/>
  <c r="AC116" i="18"/>
  <c r="AB116" i="18"/>
  <c r="AA116" i="18"/>
  <c r="Z116" i="18"/>
  <c r="Y116" i="18"/>
  <c r="X116" i="18"/>
  <c r="W116" i="18"/>
  <c r="V116" i="18"/>
  <c r="AO115" i="18"/>
  <c r="AN115" i="18"/>
  <c r="AM115" i="18"/>
  <c r="AL115" i="18"/>
  <c r="AK115" i="18"/>
  <c r="AJ115" i="18"/>
  <c r="AI115" i="18"/>
  <c r="AH115" i="18"/>
  <c r="AG115" i="18"/>
  <c r="AF115" i="18"/>
  <c r="AE115" i="18"/>
  <c r="AD115" i="18"/>
  <c r="AC115" i="18"/>
  <c r="AB115" i="18"/>
  <c r="AA115" i="18"/>
  <c r="Z115" i="18"/>
  <c r="Y115" i="18"/>
  <c r="X115" i="18"/>
  <c r="W115" i="18"/>
  <c r="V115" i="18"/>
  <c r="AO114" i="18"/>
  <c r="AN114" i="18"/>
  <c r="AM114" i="18"/>
  <c r="AL114" i="18"/>
  <c r="AK114" i="18"/>
  <c r="AJ114" i="18"/>
  <c r="AI114" i="18"/>
  <c r="AH114" i="18"/>
  <c r="AG114" i="18"/>
  <c r="AF114" i="18"/>
  <c r="AE114" i="18"/>
  <c r="AD114" i="18"/>
  <c r="AC114" i="18"/>
  <c r="AB114" i="18"/>
  <c r="AA114" i="18"/>
  <c r="Z114" i="18"/>
  <c r="Y114" i="18"/>
  <c r="X114" i="18"/>
  <c r="W114" i="18"/>
  <c r="V114" i="18"/>
  <c r="AO113" i="18"/>
  <c r="AN113" i="18"/>
  <c r="AM113" i="18"/>
  <c r="AL113" i="18"/>
  <c r="AK113" i="18"/>
  <c r="AJ113" i="18"/>
  <c r="AI113" i="18"/>
  <c r="AH113" i="18"/>
  <c r="AG113" i="18"/>
  <c r="AF113" i="18"/>
  <c r="AE113" i="18"/>
  <c r="AD113" i="18"/>
  <c r="AC113" i="18"/>
  <c r="AB113" i="18"/>
  <c r="AA113" i="18"/>
  <c r="Z113" i="18"/>
  <c r="Y113" i="18"/>
  <c r="X113" i="18"/>
  <c r="W113" i="18"/>
  <c r="V113" i="18"/>
  <c r="AO112" i="18"/>
  <c r="AN112" i="18"/>
  <c r="AM112" i="18"/>
  <c r="AL112" i="18"/>
  <c r="AK112" i="18"/>
  <c r="AJ112" i="18"/>
  <c r="AI112" i="18"/>
  <c r="AH112" i="18"/>
  <c r="AG112" i="18"/>
  <c r="AF112" i="18"/>
  <c r="AE112" i="18"/>
  <c r="AD112" i="18"/>
  <c r="AC112" i="18"/>
  <c r="AB112" i="18"/>
  <c r="AA112" i="18"/>
  <c r="Z112" i="18"/>
  <c r="Y112" i="18"/>
  <c r="X112" i="18"/>
  <c r="W112" i="18"/>
  <c r="V112" i="18"/>
  <c r="AO111" i="18"/>
  <c r="AN111" i="18"/>
  <c r="AM111" i="18"/>
  <c r="AL111" i="18"/>
  <c r="AK111" i="18"/>
  <c r="AJ111" i="18"/>
  <c r="AI111" i="18"/>
  <c r="AH111" i="18"/>
  <c r="AG111" i="18"/>
  <c r="AF111" i="18"/>
  <c r="AE111" i="18"/>
  <c r="AD111" i="18"/>
  <c r="AC111" i="18"/>
  <c r="AB111" i="18"/>
  <c r="AA111" i="18"/>
  <c r="Z111" i="18"/>
  <c r="Y111" i="18"/>
  <c r="X111" i="18"/>
  <c r="W111" i="18"/>
  <c r="V111" i="18"/>
  <c r="AO110" i="18"/>
  <c r="AN110" i="18"/>
  <c r="AM110" i="18"/>
  <c r="AL110" i="18"/>
  <c r="AK110" i="18"/>
  <c r="AJ110" i="18"/>
  <c r="AI110" i="18"/>
  <c r="AH110" i="18"/>
  <c r="AG110" i="18"/>
  <c r="AF110" i="18"/>
  <c r="AE110" i="18"/>
  <c r="AD110" i="18"/>
  <c r="AC110" i="18"/>
  <c r="AB110" i="18"/>
  <c r="AA110" i="18"/>
  <c r="Z110" i="18"/>
  <c r="Y110" i="18"/>
  <c r="X110" i="18"/>
  <c r="W110" i="18"/>
  <c r="V110" i="18"/>
  <c r="AO109" i="18"/>
  <c r="AN109" i="18"/>
  <c r="AM109" i="18"/>
  <c r="AL109" i="18"/>
  <c r="AK109" i="18"/>
  <c r="AJ109" i="18"/>
  <c r="AI109" i="18"/>
  <c r="AH109" i="18"/>
  <c r="AG109" i="18"/>
  <c r="AF109" i="18"/>
  <c r="AE109" i="18"/>
  <c r="AD109" i="18"/>
  <c r="AC109" i="18"/>
  <c r="AB109" i="18"/>
  <c r="AA109" i="18"/>
  <c r="Z109" i="18"/>
  <c r="Y109" i="18"/>
  <c r="X109" i="18"/>
  <c r="W109" i="18"/>
  <c r="V109" i="18"/>
  <c r="AO108" i="18"/>
  <c r="AN108" i="18"/>
  <c r="AM108" i="18"/>
  <c r="AL108" i="18"/>
  <c r="AK108" i="18"/>
  <c r="AJ108" i="18"/>
  <c r="AI108" i="18"/>
  <c r="AH108" i="18"/>
  <c r="AG108" i="18"/>
  <c r="AF108" i="18"/>
  <c r="AE108" i="18"/>
  <c r="AD108" i="18"/>
  <c r="AC108" i="18"/>
  <c r="AB108" i="18"/>
  <c r="AA108" i="18"/>
  <c r="Z108" i="18"/>
  <c r="Y108" i="18"/>
  <c r="X108" i="18"/>
  <c r="W108" i="18"/>
  <c r="V108" i="18"/>
  <c r="AO107" i="18"/>
  <c r="AN107" i="18"/>
  <c r="AM107" i="18"/>
  <c r="AL107" i="18"/>
  <c r="AK107" i="18"/>
  <c r="AJ107" i="18"/>
  <c r="AI107" i="18"/>
  <c r="AH107" i="18"/>
  <c r="AG107" i="18"/>
  <c r="AF107" i="18"/>
  <c r="AE107" i="18"/>
  <c r="AD107" i="18"/>
  <c r="AC107" i="18"/>
  <c r="AB107" i="18"/>
  <c r="AA107" i="18"/>
  <c r="Z107" i="18"/>
  <c r="Y107" i="18"/>
  <c r="X107" i="18"/>
  <c r="W107" i="18"/>
  <c r="V107" i="18"/>
  <c r="AO106" i="18"/>
  <c r="AN106" i="18"/>
  <c r="AM106" i="18"/>
  <c r="AL106" i="18"/>
  <c r="AK106" i="18"/>
  <c r="AJ106" i="18"/>
  <c r="AI106" i="18"/>
  <c r="AH106" i="18"/>
  <c r="AG106" i="18"/>
  <c r="AF106" i="18"/>
  <c r="AE106" i="18"/>
  <c r="AD106" i="18"/>
  <c r="AC106" i="18"/>
  <c r="AB106" i="18"/>
  <c r="AA106" i="18"/>
  <c r="Z106" i="18"/>
  <c r="Y106" i="18"/>
  <c r="X106" i="18"/>
  <c r="W106" i="18"/>
  <c r="V106" i="18"/>
  <c r="AO105" i="18"/>
  <c r="AN105" i="18"/>
  <c r="AM105" i="18"/>
  <c r="AL105" i="18"/>
  <c r="AK105" i="18"/>
  <c r="AJ105" i="18"/>
  <c r="AI105" i="18"/>
  <c r="AH105" i="18"/>
  <c r="AG105" i="18"/>
  <c r="AF105" i="18"/>
  <c r="AE105" i="18"/>
  <c r="AD105" i="18"/>
  <c r="AC105" i="18"/>
  <c r="AB105" i="18"/>
  <c r="AA105" i="18"/>
  <c r="Z105" i="18"/>
  <c r="Y105" i="18"/>
  <c r="X105" i="18"/>
  <c r="W105" i="18"/>
  <c r="V105" i="18"/>
  <c r="AO104" i="18"/>
  <c r="AN104" i="18"/>
  <c r="AM104" i="18"/>
  <c r="AL104" i="18"/>
  <c r="AK104" i="18"/>
  <c r="AJ104" i="18"/>
  <c r="AI104" i="18"/>
  <c r="AH104" i="18"/>
  <c r="AG104" i="18"/>
  <c r="AF104" i="18"/>
  <c r="AE104" i="18"/>
  <c r="AD104" i="18"/>
  <c r="AC104" i="18"/>
  <c r="AB104" i="18"/>
  <c r="AA104" i="18"/>
  <c r="Z104" i="18"/>
  <c r="Y104" i="18"/>
  <c r="X104" i="18"/>
  <c r="W104" i="18"/>
  <c r="V104" i="18"/>
  <c r="AO103" i="18"/>
  <c r="AN103" i="18"/>
  <c r="AM103" i="18"/>
  <c r="AL103" i="18"/>
  <c r="AK103" i="18"/>
  <c r="AJ103" i="18"/>
  <c r="AI103" i="18"/>
  <c r="AH103" i="18"/>
  <c r="AG103" i="18"/>
  <c r="AF103" i="18"/>
  <c r="AE103" i="18"/>
  <c r="AD103" i="18"/>
  <c r="AC103" i="18"/>
  <c r="AB103" i="18"/>
  <c r="AA103" i="18"/>
  <c r="Z103" i="18"/>
  <c r="Y103" i="18"/>
  <c r="X103" i="18"/>
  <c r="W103" i="18"/>
  <c r="V103" i="18"/>
  <c r="AO102" i="18"/>
  <c r="AN102" i="18"/>
  <c r="AM102" i="18"/>
  <c r="AL102" i="18"/>
  <c r="AK102" i="18"/>
  <c r="AJ102" i="18"/>
  <c r="AI102" i="18"/>
  <c r="AH102" i="18"/>
  <c r="AG102" i="18"/>
  <c r="AF102" i="18"/>
  <c r="AE102" i="18"/>
  <c r="AD102" i="18"/>
  <c r="AC102" i="18"/>
  <c r="AB102" i="18"/>
  <c r="AA102" i="18"/>
  <c r="Z102" i="18"/>
  <c r="Y102" i="18"/>
  <c r="X102" i="18"/>
  <c r="W102" i="18"/>
  <c r="V102" i="18"/>
  <c r="AO101" i="18"/>
  <c r="AN101" i="18"/>
  <c r="AM101" i="18"/>
  <c r="AL101" i="18"/>
  <c r="AK101" i="18"/>
  <c r="AJ101" i="18"/>
  <c r="AI101" i="18"/>
  <c r="AH101" i="18"/>
  <c r="AG101" i="18"/>
  <c r="AF101" i="18"/>
  <c r="AE101" i="18"/>
  <c r="AD101" i="18"/>
  <c r="AC101" i="18"/>
  <c r="AB101" i="18"/>
  <c r="AA101" i="18"/>
  <c r="Z101" i="18"/>
  <c r="Y101" i="18"/>
  <c r="X101" i="18"/>
  <c r="W101" i="18"/>
  <c r="V101" i="18"/>
  <c r="AO100" i="18"/>
  <c r="AN100" i="18"/>
  <c r="AM100" i="18"/>
  <c r="AL100" i="18"/>
  <c r="AK100" i="18"/>
  <c r="AJ100" i="18"/>
  <c r="AI100" i="18"/>
  <c r="AH100" i="18"/>
  <c r="AG100" i="18"/>
  <c r="AF100" i="18"/>
  <c r="AE100" i="18"/>
  <c r="AD100" i="18"/>
  <c r="AC100" i="18"/>
  <c r="AB100" i="18"/>
  <c r="AA100" i="18"/>
  <c r="Z100" i="18"/>
  <c r="Y100" i="18"/>
  <c r="X100" i="18"/>
  <c r="W100" i="18"/>
  <c r="V100" i="18"/>
  <c r="AA95" i="18"/>
  <c r="Z95" i="18"/>
  <c r="Y95" i="18"/>
  <c r="Z91" i="18"/>
  <c r="Z82" i="18"/>
  <c r="Y82" i="18"/>
  <c r="X82" i="18"/>
  <c r="W82" i="18"/>
  <c r="V82" i="18"/>
  <c r="Z81" i="18"/>
  <c r="Y81" i="18"/>
  <c r="X81" i="18"/>
  <c r="W81" i="18"/>
  <c r="V81" i="18"/>
  <c r="Z80" i="18"/>
  <c r="Y80" i="18"/>
  <c r="X80" i="18"/>
  <c r="W80" i="18"/>
  <c r="V80" i="18"/>
  <c r="Z79" i="18"/>
  <c r="Y79" i="18"/>
  <c r="X79" i="18"/>
  <c r="W79" i="18"/>
  <c r="V79" i="18"/>
  <c r="Z78" i="18"/>
  <c r="Y78" i="18"/>
  <c r="X78" i="18"/>
  <c r="W78" i="18"/>
  <c r="V78" i="18"/>
  <c r="Z77" i="18"/>
  <c r="Y77" i="18"/>
  <c r="X77" i="18"/>
  <c r="W77" i="18"/>
  <c r="V77" i="18"/>
  <c r="Z76" i="18"/>
  <c r="Y76" i="18"/>
  <c r="X76" i="18"/>
  <c r="W76" i="18"/>
  <c r="V76" i="18"/>
  <c r="Z75" i="18"/>
  <c r="Y75" i="18"/>
  <c r="X75" i="18"/>
  <c r="W75" i="18"/>
  <c r="V75" i="18"/>
  <c r="Z74" i="18"/>
  <c r="Y74" i="18"/>
  <c r="X74" i="18"/>
  <c r="W74" i="18"/>
  <c r="V74" i="18"/>
  <c r="Z73" i="18"/>
  <c r="Y73" i="18"/>
  <c r="X73" i="18"/>
  <c r="W73" i="18"/>
  <c r="V73" i="18"/>
  <c r="Z68" i="18"/>
  <c r="Y68" i="18"/>
  <c r="X68" i="18"/>
  <c r="W68" i="18"/>
  <c r="V68" i="18"/>
  <c r="Z67" i="18"/>
  <c r="Y67" i="18"/>
  <c r="X67" i="18"/>
  <c r="W67" i="18"/>
  <c r="V67" i="18"/>
  <c r="Z66" i="18"/>
  <c r="Y66" i="18"/>
  <c r="X66" i="18"/>
  <c r="W66" i="18"/>
  <c r="V66" i="18"/>
  <c r="Z65" i="18"/>
  <c r="Y65" i="18"/>
  <c r="X65" i="18"/>
  <c r="W65" i="18"/>
  <c r="V65" i="18"/>
  <c r="Z64" i="18"/>
  <c r="Y64" i="18"/>
  <c r="X64" i="18"/>
  <c r="W64" i="18"/>
  <c r="V64" i="18"/>
  <c r="Z63" i="18"/>
  <c r="Y63" i="18"/>
  <c r="X63" i="18"/>
  <c r="W63" i="18"/>
  <c r="V63" i="18"/>
  <c r="Z62" i="18"/>
  <c r="Y62" i="18"/>
  <c r="X62" i="18"/>
  <c r="W62" i="18"/>
  <c r="V62" i="18"/>
  <c r="Z61" i="18"/>
  <c r="Y61" i="18"/>
  <c r="X61" i="18"/>
  <c r="W61" i="18"/>
  <c r="V61" i="18"/>
  <c r="Z60" i="18"/>
  <c r="Y60" i="18"/>
  <c r="X60" i="18"/>
  <c r="W60" i="18"/>
  <c r="V60" i="18"/>
  <c r="Z59" i="18"/>
  <c r="Y59" i="18"/>
  <c r="X59" i="18"/>
  <c r="W59" i="18"/>
  <c r="V59" i="18"/>
  <c r="AQ58" i="18"/>
  <c r="E40" i="18" s="1"/>
  <c r="Z58" i="18"/>
  <c r="Y58" i="18"/>
  <c r="X58" i="18"/>
  <c r="W58" i="18"/>
  <c r="V58" i="18"/>
  <c r="Z57" i="18"/>
  <c r="Y57" i="18"/>
  <c r="X57" i="18"/>
  <c r="W57" i="18"/>
  <c r="V57" i="18"/>
  <c r="Z56" i="18"/>
  <c r="Y56" i="18"/>
  <c r="X56" i="18"/>
  <c r="W56" i="18"/>
  <c r="V56" i="18"/>
  <c r="AP44" i="18"/>
  <c r="B59" i="18" s="1"/>
  <c r="AP43" i="18"/>
  <c r="B58" i="18" s="1"/>
  <c r="AP42" i="18"/>
  <c r="B57" i="18" s="1"/>
  <c r="X42" i="18"/>
  <c r="AP41" i="18"/>
  <c r="B56" i="18" s="1"/>
  <c r="X41" i="18"/>
  <c r="AP40" i="18"/>
  <c r="B55" i="18" s="1"/>
  <c r="X40" i="18"/>
  <c r="B40" i="18"/>
  <c r="X39" i="18"/>
  <c r="X38" i="18"/>
  <c r="X37" i="18"/>
  <c r="X36" i="18"/>
  <c r="X35" i="18"/>
  <c r="Q35" i="18"/>
  <c r="P35" i="18"/>
  <c r="B35" i="18"/>
  <c r="X34" i="18"/>
  <c r="J34" i="18"/>
  <c r="D35" i="18" s="1"/>
  <c r="X33" i="18"/>
  <c r="X32" i="18"/>
  <c r="AG31" i="18"/>
  <c r="X31" i="18"/>
  <c r="X30" i="18"/>
  <c r="X29" i="18"/>
  <c r="B29" i="18"/>
  <c r="AQ27" i="18" s="1"/>
  <c r="X28" i="18"/>
  <c r="B27" i="18"/>
  <c r="P25" i="18"/>
  <c r="P24" i="18" s="1"/>
  <c r="G24" i="18"/>
  <c r="E24" i="18"/>
  <c r="C24" i="18"/>
  <c r="AB23" i="18"/>
  <c r="AA23" i="18"/>
  <c r="Z23" i="18"/>
  <c r="Y23" i="18"/>
  <c r="I23" i="18"/>
  <c r="G23" i="18"/>
  <c r="E23" i="18"/>
  <c r="C23" i="18"/>
  <c r="AB22" i="18"/>
  <c r="AA22" i="18"/>
  <c r="Z22" i="18"/>
  <c r="Y22" i="18"/>
  <c r="I22" i="18"/>
  <c r="G22" i="18"/>
  <c r="E22" i="18"/>
  <c r="C22" i="18"/>
  <c r="I21" i="18"/>
  <c r="G21" i="18"/>
  <c r="E21" i="18"/>
  <c r="C21" i="18"/>
  <c r="AQ20" i="18"/>
  <c r="AI20" i="18"/>
  <c r="I20" i="18"/>
  <c r="AQ19" i="18"/>
  <c r="B48" i="18" s="1"/>
  <c r="AQ35" i="18" s="1"/>
  <c r="AI19" i="18"/>
  <c r="AJ18" i="18" s="1"/>
  <c r="AQ18" i="18"/>
  <c r="B47" i="18" s="1"/>
  <c r="AQ34" i="18" s="1"/>
  <c r="AI18" i="18"/>
  <c r="I18" i="18"/>
  <c r="AI17" i="18"/>
  <c r="AI16" i="18"/>
  <c r="AI15" i="18"/>
  <c r="AQ14" i="18"/>
  <c r="B46" i="18" s="1"/>
  <c r="AQ33" i="18" s="1"/>
  <c r="AI14" i="18"/>
  <c r="I14" i="18"/>
  <c r="AQ13" i="18"/>
  <c r="AI13" i="18"/>
  <c r="AQ12" i="18"/>
  <c r="B44" i="18" s="1"/>
  <c r="AQ31" i="18" s="1"/>
  <c r="AI12" i="18"/>
  <c r="AI11" i="18"/>
  <c r="AB11" i="18"/>
  <c r="AA11" i="18"/>
  <c r="Z11" i="18"/>
  <c r="Y11" i="18"/>
  <c r="AI10" i="18"/>
  <c r="AB10" i="18"/>
  <c r="AA10" i="18"/>
  <c r="Z10" i="18"/>
  <c r="Y10" i="18"/>
  <c r="AI9" i="18"/>
  <c r="AJ9" i="18" s="1"/>
  <c r="AB9" i="18"/>
  <c r="AA9" i="18"/>
  <c r="Z9" i="18"/>
  <c r="AC9" i="18" s="1"/>
  <c r="Y9" i="18"/>
  <c r="AQ8" i="18"/>
  <c r="B43" i="18" s="1"/>
  <c r="AQ30" i="18" s="1"/>
  <c r="AB8" i="18"/>
  <c r="AA8" i="18"/>
  <c r="Z8" i="18"/>
  <c r="Y8" i="18"/>
  <c r="AQ7" i="18"/>
  <c r="B42" i="18" s="1"/>
  <c r="AQ29" i="18" s="1"/>
  <c r="AQ6" i="18"/>
  <c r="B41" i="18" s="1"/>
  <c r="AQ28" i="18" s="1"/>
  <c r="AO179" i="17"/>
  <c r="AN179" i="17"/>
  <c r="AM179" i="17"/>
  <c r="AL179" i="17"/>
  <c r="AK179" i="17"/>
  <c r="AJ179" i="17"/>
  <c r="AI179" i="17"/>
  <c r="AH179" i="17"/>
  <c r="AG179" i="17"/>
  <c r="AF179" i="17"/>
  <c r="AE179" i="17"/>
  <c r="AD179" i="17"/>
  <c r="AC179" i="17"/>
  <c r="AB179" i="17"/>
  <c r="AA179" i="17"/>
  <c r="Z179" i="17"/>
  <c r="Y179" i="17"/>
  <c r="X179" i="17"/>
  <c r="W179" i="17"/>
  <c r="V179" i="17"/>
  <c r="AO178" i="17"/>
  <c r="AN178" i="17"/>
  <c r="AM178" i="17"/>
  <c r="AL178" i="17"/>
  <c r="AK178" i="17"/>
  <c r="AJ178" i="17"/>
  <c r="AI178" i="17"/>
  <c r="AH178" i="17"/>
  <c r="AG178" i="17"/>
  <c r="AF178" i="17"/>
  <c r="AE178" i="17"/>
  <c r="AD178" i="17"/>
  <c r="AC178" i="17"/>
  <c r="AB178" i="17"/>
  <c r="AA178" i="17"/>
  <c r="Z178" i="17"/>
  <c r="Y178" i="17"/>
  <c r="X178" i="17"/>
  <c r="W178" i="17"/>
  <c r="V178" i="17"/>
  <c r="AO177" i="17"/>
  <c r="AN177" i="17"/>
  <c r="AM177" i="17"/>
  <c r="AL177" i="17"/>
  <c r="AK177" i="17"/>
  <c r="AJ177" i="17"/>
  <c r="AI177" i="17"/>
  <c r="AH177" i="17"/>
  <c r="AG177" i="17"/>
  <c r="AF177" i="17"/>
  <c r="AE177" i="17"/>
  <c r="AD177" i="17"/>
  <c r="AC177" i="17"/>
  <c r="AB177" i="17"/>
  <c r="AA177" i="17"/>
  <c r="Z177" i="17"/>
  <c r="Y177" i="17"/>
  <c r="X177" i="17"/>
  <c r="W177" i="17"/>
  <c r="V177" i="17"/>
  <c r="AO176" i="17"/>
  <c r="AN176" i="17"/>
  <c r="AM176" i="17"/>
  <c r="AL176" i="17"/>
  <c r="AK176" i="17"/>
  <c r="AJ176" i="17"/>
  <c r="AI176" i="17"/>
  <c r="AH176" i="17"/>
  <c r="AG176" i="17"/>
  <c r="AF176" i="17"/>
  <c r="AE176" i="17"/>
  <c r="AD176" i="17"/>
  <c r="AC176" i="17"/>
  <c r="AB176" i="17"/>
  <c r="AA176" i="17"/>
  <c r="Z176" i="17"/>
  <c r="Y176" i="17"/>
  <c r="X176" i="17"/>
  <c r="W176" i="17"/>
  <c r="V176" i="17"/>
  <c r="AO175" i="17"/>
  <c r="AN175" i="17"/>
  <c r="AM175" i="17"/>
  <c r="AL175" i="17"/>
  <c r="AK175" i="17"/>
  <c r="AJ175" i="17"/>
  <c r="AI175" i="17"/>
  <c r="AH175" i="17"/>
  <c r="AG175" i="17"/>
  <c r="AF175" i="17"/>
  <c r="AE175" i="17"/>
  <c r="AD175" i="17"/>
  <c r="AC175" i="17"/>
  <c r="AB175" i="17"/>
  <c r="AA175" i="17"/>
  <c r="Z175" i="17"/>
  <c r="Y175" i="17"/>
  <c r="X175" i="17"/>
  <c r="W175" i="17"/>
  <c r="V175" i="17"/>
  <c r="AO174" i="17"/>
  <c r="AN174" i="17"/>
  <c r="AM174" i="17"/>
  <c r="AL174" i="17"/>
  <c r="AK174" i="17"/>
  <c r="AJ174" i="17"/>
  <c r="AI174" i="17"/>
  <c r="AH174" i="17"/>
  <c r="AG174" i="17"/>
  <c r="AF174" i="17"/>
  <c r="AE174" i="17"/>
  <c r="AD174" i="17"/>
  <c r="AC174" i="17"/>
  <c r="AB174" i="17"/>
  <c r="AA174" i="17"/>
  <c r="Z174" i="17"/>
  <c r="Y174" i="17"/>
  <c r="X174" i="17"/>
  <c r="W174" i="17"/>
  <c r="V174" i="17"/>
  <c r="AO173" i="17"/>
  <c r="AN173" i="17"/>
  <c r="AM173" i="17"/>
  <c r="AL173" i="17"/>
  <c r="AK173" i="17"/>
  <c r="AJ173" i="17"/>
  <c r="AI173" i="17"/>
  <c r="AH173" i="17"/>
  <c r="AG173" i="17"/>
  <c r="AF173" i="17"/>
  <c r="AE173" i="17"/>
  <c r="AD173" i="17"/>
  <c r="AC173" i="17"/>
  <c r="AB173" i="17"/>
  <c r="AA173" i="17"/>
  <c r="Z173" i="17"/>
  <c r="Y173" i="17"/>
  <c r="X173" i="17"/>
  <c r="W173" i="17"/>
  <c r="V173" i="17"/>
  <c r="AO172" i="17"/>
  <c r="AN172" i="17"/>
  <c r="AM172" i="17"/>
  <c r="AL172" i="17"/>
  <c r="AK172" i="17"/>
  <c r="AJ172" i="17"/>
  <c r="AI172" i="17"/>
  <c r="AH172" i="17"/>
  <c r="AG172" i="17"/>
  <c r="AF172" i="17"/>
  <c r="AE172" i="17"/>
  <c r="AD172" i="17"/>
  <c r="AC172" i="17"/>
  <c r="AB172" i="17"/>
  <c r="AA172" i="17"/>
  <c r="Z172" i="17"/>
  <c r="Y172" i="17"/>
  <c r="X172" i="17"/>
  <c r="W172" i="17"/>
  <c r="V172" i="17"/>
  <c r="AO171" i="17"/>
  <c r="AN171" i="17"/>
  <c r="AM171" i="17"/>
  <c r="AL171" i="17"/>
  <c r="AK171" i="17"/>
  <c r="AJ171" i="17"/>
  <c r="AI171" i="17"/>
  <c r="AH171" i="17"/>
  <c r="AG171" i="17"/>
  <c r="AF171" i="17"/>
  <c r="AE171" i="17"/>
  <c r="AD171" i="17"/>
  <c r="AC171" i="17"/>
  <c r="AB171" i="17"/>
  <c r="AA171" i="17"/>
  <c r="Z171" i="17"/>
  <c r="Y171" i="17"/>
  <c r="X171" i="17"/>
  <c r="W171" i="17"/>
  <c r="V171" i="17"/>
  <c r="AO170" i="17"/>
  <c r="AN170" i="17"/>
  <c r="AM170" i="17"/>
  <c r="AL170" i="17"/>
  <c r="AK170" i="17"/>
  <c r="AJ170" i="17"/>
  <c r="AI170" i="17"/>
  <c r="AH170" i="17"/>
  <c r="AG170" i="17"/>
  <c r="AF170" i="17"/>
  <c r="AE170" i="17"/>
  <c r="AD170" i="17"/>
  <c r="AC170" i="17"/>
  <c r="AB170" i="17"/>
  <c r="AA170" i="17"/>
  <c r="Z170" i="17"/>
  <c r="Y170" i="17"/>
  <c r="X170" i="17"/>
  <c r="W170" i="17"/>
  <c r="V170" i="17"/>
  <c r="AO169" i="17"/>
  <c r="AN169" i="17"/>
  <c r="AM169" i="17"/>
  <c r="AL169" i="17"/>
  <c r="AK169" i="17"/>
  <c r="AJ169" i="17"/>
  <c r="AI169" i="17"/>
  <c r="AH169" i="17"/>
  <c r="AG169" i="17"/>
  <c r="AF169" i="17"/>
  <c r="AE169" i="17"/>
  <c r="AD169" i="17"/>
  <c r="AC169" i="17"/>
  <c r="AB169" i="17"/>
  <c r="AA169" i="17"/>
  <c r="Z169" i="17"/>
  <c r="Y169" i="17"/>
  <c r="X169" i="17"/>
  <c r="W169" i="17"/>
  <c r="V169" i="17"/>
  <c r="AO168" i="17"/>
  <c r="AN168" i="17"/>
  <c r="AM168" i="17"/>
  <c r="AL168" i="17"/>
  <c r="X95" i="17" s="1"/>
  <c r="AK168" i="17"/>
  <c r="AJ168" i="17"/>
  <c r="AI168" i="17"/>
  <c r="AH168" i="17"/>
  <c r="AG168" i="17"/>
  <c r="AF168" i="17"/>
  <c r="AE168" i="17"/>
  <c r="AD168" i="17"/>
  <c r="AD95" i="17" s="1"/>
  <c r="AC168" i="17"/>
  <c r="AC95" i="17" s="1"/>
  <c r="AB168" i="17"/>
  <c r="AB95" i="17" s="1"/>
  <c r="AA168" i="17"/>
  <c r="AA95" i="17" s="1"/>
  <c r="Z168" i="17"/>
  <c r="Z95" i="17" s="1"/>
  <c r="Y168" i="17"/>
  <c r="Y95" i="17" s="1"/>
  <c r="X168" i="17"/>
  <c r="W168" i="17"/>
  <c r="W95" i="17" s="1"/>
  <c r="V168" i="17"/>
  <c r="V95" i="17" s="1"/>
  <c r="AO167" i="17"/>
  <c r="AN167" i="17"/>
  <c r="AM167" i="17"/>
  <c r="AL167" i="17"/>
  <c r="X94" i="17" s="1"/>
  <c r="AK167" i="17"/>
  <c r="AJ167" i="17"/>
  <c r="AI167" i="17"/>
  <c r="AH167" i="17"/>
  <c r="AG167" i="17"/>
  <c r="AF167" i="17"/>
  <c r="AE167" i="17"/>
  <c r="AD167" i="17"/>
  <c r="AD94" i="17" s="1"/>
  <c r="AC167" i="17"/>
  <c r="AC94" i="17" s="1"/>
  <c r="AB167" i="17"/>
  <c r="AB94" i="17" s="1"/>
  <c r="AA167" i="17"/>
  <c r="AA94" i="17" s="1"/>
  <c r="Z167" i="17"/>
  <c r="Z94" i="17" s="1"/>
  <c r="Y167" i="17"/>
  <c r="Y94" i="17" s="1"/>
  <c r="X167" i="17"/>
  <c r="W167" i="17"/>
  <c r="W94" i="17" s="1"/>
  <c r="V167" i="17"/>
  <c r="V94" i="17" s="1"/>
  <c r="AO166" i="17"/>
  <c r="AN166" i="17"/>
  <c r="AM166" i="17"/>
  <c r="AL166" i="17"/>
  <c r="X93" i="17" s="1"/>
  <c r="AK166" i="17"/>
  <c r="AJ166" i="17"/>
  <c r="AI166" i="17"/>
  <c r="AH166" i="17"/>
  <c r="AG166" i="17"/>
  <c r="AF166" i="17"/>
  <c r="AE166" i="17"/>
  <c r="AD166" i="17"/>
  <c r="AD93" i="17" s="1"/>
  <c r="AC166" i="17"/>
  <c r="AC93" i="17" s="1"/>
  <c r="AB166" i="17"/>
  <c r="AA166" i="17"/>
  <c r="AA93" i="17" s="1"/>
  <c r="Z166" i="17"/>
  <c r="Z93" i="17" s="1"/>
  <c r="Y166" i="17"/>
  <c r="Y93" i="17" s="1"/>
  <c r="X166" i="17"/>
  <c r="W166" i="17"/>
  <c r="W93" i="17" s="1"/>
  <c r="V166" i="17"/>
  <c r="V93" i="17" s="1"/>
  <c r="AO165" i="17"/>
  <c r="AN165" i="17"/>
  <c r="AM165" i="17"/>
  <c r="AL165" i="17"/>
  <c r="X92" i="17" s="1"/>
  <c r="AK165" i="17"/>
  <c r="AJ165" i="17"/>
  <c r="AI165" i="17"/>
  <c r="AH165" i="17"/>
  <c r="AG165" i="17"/>
  <c r="AF165" i="17"/>
  <c r="AE165" i="17"/>
  <c r="AD165" i="17"/>
  <c r="AD92" i="17" s="1"/>
  <c r="AC165" i="17"/>
  <c r="AC92" i="17" s="1"/>
  <c r="AB165" i="17"/>
  <c r="AB92" i="17" s="1"/>
  <c r="AA165" i="17"/>
  <c r="AA92" i="17" s="1"/>
  <c r="Z165" i="17"/>
  <c r="Z92" i="17" s="1"/>
  <c r="Y165" i="17"/>
  <c r="Y92" i="17" s="1"/>
  <c r="X165" i="17"/>
  <c r="W165" i="17"/>
  <c r="W92" i="17" s="1"/>
  <c r="V165" i="17"/>
  <c r="V92" i="17" s="1"/>
  <c r="AO164" i="17"/>
  <c r="AN164" i="17"/>
  <c r="AM164" i="17"/>
  <c r="AL164" i="17"/>
  <c r="X91" i="17" s="1"/>
  <c r="AK164" i="17"/>
  <c r="AJ164" i="17"/>
  <c r="AI164" i="17"/>
  <c r="AH164" i="17"/>
  <c r="AG164" i="17"/>
  <c r="AF164" i="17"/>
  <c r="AE164" i="17"/>
  <c r="AD164" i="17"/>
  <c r="AD91" i="17" s="1"/>
  <c r="AC164" i="17"/>
  <c r="AC91" i="17" s="1"/>
  <c r="AB164" i="17"/>
  <c r="AA164" i="17"/>
  <c r="AA91" i="17" s="1"/>
  <c r="Z164" i="17"/>
  <c r="Z91" i="17" s="1"/>
  <c r="Y164" i="17"/>
  <c r="Y91" i="17" s="1"/>
  <c r="X164" i="17"/>
  <c r="W164" i="17"/>
  <c r="W91" i="17" s="1"/>
  <c r="V164" i="17"/>
  <c r="V91" i="17" s="1"/>
  <c r="AO163" i="17"/>
  <c r="AN163" i="17"/>
  <c r="AM163" i="17"/>
  <c r="AL163" i="17"/>
  <c r="X90" i="17" s="1"/>
  <c r="AK163" i="17"/>
  <c r="AJ163" i="17"/>
  <c r="AI163" i="17"/>
  <c r="AH163" i="17"/>
  <c r="AG163" i="17"/>
  <c r="AF163" i="17"/>
  <c r="AE163" i="17"/>
  <c r="AD163" i="17"/>
  <c r="AD90" i="17" s="1"/>
  <c r="AC163" i="17"/>
  <c r="AC90" i="17" s="1"/>
  <c r="AB163" i="17"/>
  <c r="AB90" i="17" s="1"/>
  <c r="AA163" i="17"/>
  <c r="AA90" i="17" s="1"/>
  <c r="Z163" i="17"/>
  <c r="Z90" i="17" s="1"/>
  <c r="Y163" i="17"/>
  <c r="Y90" i="17" s="1"/>
  <c r="X163" i="17"/>
  <c r="W163" i="17"/>
  <c r="W90" i="17" s="1"/>
  <c r="V163" i="17"/>
  <c r="V90" i="17" s="1"/>
  <c r="AO162" i="17"/>
  <c r="AN162" i="17"/>
  <c r="AM162" i="17"/>
  <c r="AL162" i="17"/>
  <c r="X89" i="17" s="1"/>
  <c r="AK162" i="17"/>
  <c r="AJ162" i="17"/>
  <c r="AI162" i="17"/>
  <c r="AH162" i="17"/>
  <c r="AG162" i="17"/>
  <c r="AF162" i="17"/>
  <c r="AE162" i="17"/>
  <c r="AD162" i="17"/>
  <c r="AD89" i="17" s="1"/>
  <c r="AC162" i="17"/>
  <c r="AC89" i="17" s="1"/>
  <c r="AB162" i="17"/>
  <c r="AB89" i="17" s="1"/>
  <c r="AA162" i="17"/>
  <c r="AA89" i="17" s="1"/>
  <c r="Z162" i="17"/>
  <c r="Z89" i="17" s="1"/>
  <c r="Y162" i="17"/>
  <c r="Y89" i="17" s="1"/>
  <c r="X162" i="17"/>
  <c r="W162" i="17"/>
  <c r="W89" i="17" s="1"/>
  <c r="V162" i="17"/>
  <c r="V89" i="17" s="1"/>
  <c r="AO161" i="17"/>
  <c r="AN161" i="17"/>
  <c r="AM161" i="17"/>
  <c r="AL161" i="17"/>
  <c r="X88" i="17" s="1"/>
  <c r="AK161" i="17"/>
  <c r="AJ161" i="17"/>
  <c r="AI161" i="17"/>
  <c r="AH161" i="17"/>
  <c r="AG161" i="17"/>
  <c r="AF161" i="17"/>
  <c r="AE161" i="17"/>
  <c r="AD161" i="17"/>
  <c r="AD88" i="17" s="1"/>
  <c r="AC161" i="17"/>
  <c r="AC88" i="17" s="1"/>
  <c r="AB161" i="17"/>
  <c r="AA161" i="17"/>
  <c r="AA88" i="17" s="1"/>
  <c r="Z161" i="17"/>
  <c r="Z88" i="17" s="1"/>
  <c r="Y161" i="17"/>
  <c r="Y88" i="17" s="1"/>
  <c r="X161" i="17"/>
  <c r="W161" i="17"/>
  <c r="W88" i="17" s="1"/>
  <c r="V161" i="17"/>
  <c r="V88" i="17" s="1"/>
  <c r="AO160" i="17"/>
  <c r="AN160" i="17"/>
  <c r="AM160" i="17"/>
  <c r="AL160" i="17"/>
  <c r="X87" i="17" s="1"/>
  <c r="AK160" i="17"/>
  <c r="AJ160" i="17"/>
  <c r="AI160" i="17"/>
  <c r="AH160" i="17"/>
  <c r="AG160" i="17"/>
  <c r="AF160" i="17"/>
  <c r="AE160" i="17"/>
  <c r="AD160" i="17"/>
  <c r="AD87" i="17" s="1"/>
  <c r="AC160" i="17"/>
  <c r="AC87" i="17" s="1"/>
  <c r="AB160" i="17"/>
  <c r="AA160" i="17"/>
  <c r="AA87" i="17" s="1"/>
  <c r="Z160" i="17"/>
  <c r="Z87" i="17" s="1"/>
  <c r="Y160" i="17"/>
  <c r="Y87" i="17" s="1"/>
  <c r="X160" i="17"/>
  <c r="W160" i="17"/>
  <c r="W87" i="17" s="1"/>
  <c r="V160" i="17"/>
  <c r="V87" i="17" s="1"/>
  <c r="AO159" i="17"/>
  <c r="AN159" i="17"/>
  <c r="AM159" i="17"/>
  <c r="AL159" i="17"/>
  <c r="AK159" i="17"/>
  <c r="AJ159" i="17"/>
  <c r="AI159" i="17"/>
  <c r="AH159" i="17"/>
  <c r="AG159" i="17"/>
  <c r="AF159" i="17"/>
  <c r="AE159" i="17"/>
  <c r="AD159" i="17"/>
  <c r="AC159" i="17"/>
  <c r="AB159" i="17"/>
  <c r="AA159" i="17"/>
  <c r="Z159" i="17"/>
  <c r="Y159" i="17"/>
  <c r="X159" i="17"/>
  <c r="W159" i="17"/>
  <c r="V159" i="17"/>
  <c r="AO158" i="17"/>
  <c r="AN158" i="17"/>
  <c r="AM158" i="17"/>
  <c r="AL158" i="17"/>
  <c r="AK158" i="17"/>
  <c r="AJ158" i="17"/>
  <c r="AI158" i="17"/>
  <c r="AH158" i="17"/>
  <c r="AG158" i="17"/>
  <c r="AF158" i="17"/>
  <c r="AE158" i="17"/>
  <c r="AD158" i="17"/>
  <c r="AC158" i="17"/>
  <c r="AB158" i="17"/>
  <c r="AA158" i="17"/>
  <c r="Z158" i="17"/>
  <c r="Y158" i="17"/>
  <c r="X158" i="17"/>
  <c r="W158" i="17"/>
  <c r="V158" i="17"/>
  <c r="AO157" i="17"/>
  <c r="AN157" i="17"/>
  <c r="AM157" i="17"/>
  <c r="AL157" i="17"/>
  <c r="AK157" i="17"/>
  <c r="AJ157" i="17"/>
  <c r="AI157" i="17"/>
  <c r="AH157" i="17"/>
  <c r="AG157" i="17"/>
  <c r="AF157" i="17"/>
  <c r="AE157" i="17"/>
  <c r="AD157" i="17"/>
  <c r="AC157" i="17"/>
  <c r="AB157" i="17"/>
  <c r="AA157" i="17"/>
  <c r="Z157" i="17"/>
  <c r="Y157" i="17"/>
  <c r="X157" i="17"/>
  <c r="W157" i="17"/>
  <c r="V157" i="17"/>
  <c r="AO156" i="17"/>
  <c r="AN156" i="17"/>
  <c r="AM156" i="17"/>
  <c r="AL156" i="17"/>
  <c r="AK156" i="17"/>
  <c r="AJ156" i="17"/>
  <c r="AI156" i="17"/>
  <c r="AH156" i="17"/>
  <c r="AG156" i="17"/>
  <c r="AF156" i="17"/>
  <c r="AE156" i="17"/>
  <c r="AD156" i="17"/>
  <c r="AC156" i="17"/>
  <c r="AB156" i="17"/>
  <c r="AA156" i="17"/>
  <c r="Z156" i="17"/>
  <c r="Y156" i="17"/>
  <c r="X156" i="17"/>
  <c r="W156" i="17"/>
  <c r="V156" i="17"/>
  <c r="AO155" i="17"/>
  <c r="AN155" i="17"/>
  <c r="AM155" i="17"/>
  <c r="AL155" i="17"/>
  <c r="AK155" i="17"/>
  <c r="AJ155" i="17"/>
  <c r="AI155" i="17"/>
  <c r="AH155" i="17"/>
  <c r="AG155" i="17"/>
  <c r="AF155" i="17"/>
  <c r="AE155" i="17"/>
  <c r="AD155" i="17"/>
  <c r="AC155" i="17"/>
  <c r="AB155" i="17"/>
  <c r="AA155" i="17"/>
  <c r="Z155" i="17"/>
  <c r="Y155" i="17"/>
  <c r="X155" i="17"/>
  <c r="W155" i="17"/>
  <c r="V155" i="17"/>
  <c r="AO154" i="17"/>
  <c r="AN154" i="17"/>
  <c r="AM154" i="17"/>
  <c r="AL154" i="17"/>
  <c r="AK154" i="17"/>
  <c r="AJ154" i="17"/>
  <c r="AI154" i="17"/>
  <c r="AH154" i="17"/>
  <c r="AG154" i="17"/>
  <c r="AF154" i="17"/>
  <c r="AE154" i="17"/>
  <c r="AD154" i="17"/>
  <c r="AC154" i="17"/>
  <c r="AB154" i="17"/>
  <c r="AA154" i="17"/>
  <c r="Z154" i="17"/>
  <c r="Y154" i="17"/>
  <c r="X154" i="17"/>
  <c r="W154" i="17"/>
  <c r="V154" i="17"/>
  <c r="AO153" i="17"/>
  <c r="AN153" i="17"/>
  <c r="AM153" i="17"/>
  <c r="AL153" i="17"/>
  <c r="AK153" i="17"/>
  <c r="AJ153" i="17"/>
  <c r="AI153" i="17"/>
  <c r="AH153" i="17"/>
  <c r="AG153" i="17"/>
  <c r="AF153" i="17"/>
  <c r="AE153" i="17"/>
  <c r="AD153" i="17"/>
  <c r="AC153" i="17"/>
  <c r="AB153" i="17"/>
  <c r="AA153" i="17"/>
  <c r="Z153" i="17"/>
  <c r="Y153" i="17"/>
  <c r="X153" i="17"/>
  <c r="W153" i="17"/>
  <c r="V153" i="17"/>
  <c r="AO152" i="17"/>
  <c r="AN152" i="17"/>
  <c r="AM152" i="17"/>
  <c r="AL152" i="17"/>
  <c r="AK152" i="17"/>
  <c r="AJ152" i="17"/>
  <c r="AI152" i="17"/>
  <c r="AH152" i="17"/>
  <c r="AG152" i="17"/>
  <c r="AF152" i="17"/>
  <c r="AE152" i="17"/>
  <c r="AD152" i="17"/>
  <c r="AC152" i="17"/>
  <c r="AB152" i="17"/>
  <c r="AA152" i="17"/>
  <c r="Z152" i="17"/>
  <c r="Y152" i="17"/>
  <c r="X152" i="17"/>
  <c r="W152" i="17"/>
  <c r="V152" i="17"/>
  <c r="AO151" i="17"/>
  <c r="AN151" i="17"/>
  <c r="AM151" i="17"/>
  <c r="AL151" i="17"/>
  <c r="AK151" i="17"/>
  <c r="AJ151" i="17"/>
  <c r="AI151" i="17"/>
  <c r="AH151" i="17"/>
  <c r="AG151" i="17"/>
  <c r="AF151" i="17"/>
  <c r="AE151" i="17"/>
  <c r="AD151" i="17"/>
  <c r="AC151" i="17"/>
  <c r="AB151" i="17"/>
  <c r="AA151" i="17"/>
  <c r="Z151" i="17"/>
  <c r="Y151" i="17"/>
  <c r="X151" i="17"/>
  <c r="W151" i="17"/>
  <c r="V151" i="17"/>
  <c r="AO150" i="17"/>
  <c r="AN150" i="17"/>
  <c r="AM150" i="17"/>
  <c r="AL150" i="17"/>
  <c r="AK150" i="17"/>
  <c r="AJ150" i="17"/>
  <c r="AI150" i="17"/>
  <c r="AH150" i="17"/>
  <c r="AG150" i="17"/>
  <c r="AF150" i="17"/>
  <c r="AE150" i="17"/>
  <c r="AD150" i="17"/>
  <c r="AC150" i="17"/>
  <c r="AB150" i="17"/>
  <c r="AA150" i="17"/>
  <c r="Z150" i="17"/>
  <c r="Y150" i="17"/>
  <c r="X150" i="17"/>
  <c r="W150" i="17"/>
  <c r="V150" i="17"/>
  <c r="AO149" i="17"/>
  <c r="AN149" i="17"/>
  <c r="AM149" i="17"/>
  <c r="AL149" i="17"/>
  <c r="AK149" i="17"/>
  <c r="AJ149" i="17"/>
  <c r="AI149" i="17"/>
  <c r="AH149" i="17"/>
  <c r="AG149" i="17"/>
  <c r="AF149" i="17"/>
  <c r="AE149" i="17"/>
  <c r="AD149" i="17"/>
  <c r="AC149" i="17"/>
  <c r="AB149" i="17"/>
  <c r="AA149" i="17"/>
  <c r="Z149" i="17"/>
  <c r="Y149" i="17"/>
  <c r="X149" i="17"/>
  <c r="W149" i="17"/>
  <c r="V149" i="17"/>
  <c r="AO148" i="17"/>
  <c r="AN148" i="17"/>
  <c r="AM148" i="17"/>
  <c r="AL148" i="17"/>
  <c r="AK148" i="17"/>
  <c r="AJ148" i="17"/>
  <c r="AI148" i="17"/>
  <c r="AH148" i="17"/>
  <c r="AG148" i="17"/>
  <c r="AF148" i="17"/>
  <c r="AE148" i="17"/>
  <c r="AD148" i="17"/>
  <c r="AC148" i="17"/>
  <c r="AB148" i="17"/>
  <c r="AA148" i="17"/>
  <c r="Z148" i="17"/>
  <c r="Y148" i="17"/>
  <c r="X148" i="17"/>
  <c r="W148" i="17"/>
  <c r="V148" i="17"/>
  <c r="AO147" i="17"/>
  <c r="AN147" i="17"/>
  <c r="AM147" i="17"/>
  <c r="AL147" i="17"/>
  <c r="AK147" i="17"/>
  <c r="AJ147" i="17"/>
  <c r="AI147" i="17"/>
  <c r="AH147" i="17"/>
  <c r="AG147" i="17"/>
  <c r="AF147" i="17"/>
  <c r="AE147" i="17"/>
  <c r="AD147" i="17"/>
  <c r="AC147" i="17"/>
  <c r="AB147" i="17"/>
  <c r="AA147" i="17"/>
  <c r="Z147" i="17"/>
  <c r="Y147" i="17"/>
  <c r="X147" i="17"/>
  <c r="W147" i="17"/>
  <c r="V147" i="17"/>
  <c r="AO146" i="17"/>
  <c r="AN146" i="17"/>
  <c r="AM146" i="17"/>
  <c r="AL146" i="17"/>
  <c r="AK146" i="17"/>
  <c r="AJ146" i="17"/>
  <c r="AI146" i="17"/>
  <c r="AH146" i="17"/>
  <c r="AG146" i="17"/>
  <c r="AF146" i="17"/>
  <c r="AE146" i="17"/>
  <c r="AD146" i="17"/>
  <c r="AC146" i="17"/>
  <c r="AB146" i="17"/>
  <c r="AA146" i="17"/>
  <c r="Z146" i="17"/>
  <c r="Y146" i="17"/>
  <c r="X146" i="17"/>
  <c r="W146" i="17"/>
  <c r="V146" i="17"/>
  <c r="AO145" i="17"/>
  <c r="AN145" i="17"/>
  <c r="AM145" i="17"/>
  <c r="AL145" i="17"/>
  <c r="AK145" i="17"/>
  <c r="AJ145" i="17"/>
  <c r="AI145" i="17"/>
  <c r="AH145" i="17"/>
  <c r="AG145" i="17"/>
  <c r="AF145" i="17"/>
  <c r="AE145" i="17"/>
  <c r="AD145" i="17"/>
  <c r="AC145" i="17"/>
  <c r="AB145" i="17"/>
  <c r="AA145" i="17"/>
  <c r="Z145" i="17"/>
  <c r="Y145" i="17"/>
  <c r="X145" i="17"/>
  <c r="W145" i="17"/>
  <c r="V145" i="17"/>
  <c r="AO144" i="17"/>
  <c r="AN144" i="17"/>
  <c r="AM144" i="17"/>
  <c r="AL144" i="17"/>
  <c r="AK144" i="17"/>
  <c r="AJ144" i="17"/>
  <c r="AI144" i="17"/>
  <c r="AH144" i="17"/>
  <c r="AG144" i="17"/>
  <c r="AF144" i="17"/>
  <c r="AE144" i="17"/>
  <c r="AD144" i="17"/>
  <c r="AC144" i="17"/>
  <c r="AB144" i="17"/>
  <c r="AA144" i="17"/>
  <c r="Z144" i="17"/>
  <c r="Y144" i="17"/>
  <c r="X144" i="17"/>
  <c r="W144" i="17"/>
  <c r="V144" i="17"/>
  <c r="AO143" i="17"/>
  <c r="AN143" i="17"/>
  <c r="AM143" i="17"/>
  <c r="AL143" i="17"/>
  <c r="AK143" i="17"/>
  <c r="AJ143" i="17"/>
  <c r="AI143" i="17"/>
  <c r="AH143" i="17"/>
  <c r="AG143" i="17"/>
  <c r="AF143" i="17"/>
  <c r="AE143" i="17"/>
  <c r="AD143" i="17"/>
  <c r="AC143" i="17"/>
  <c r="AB143" i="17"/>
  <c r="AA143" i="17"/>
  <c r="Z143" i="17"/>
  <c r="Y143" i="17"/>
  <c r="X143" i="17"/>
  <c r="W143" i="17"/>
  <c r="V143" i="17"/>
  <c r="AO142" i="17"/>
  <c r="AN142" i="17"/>
  <c r="AM142" i="17"/>
  <c r="AL142" i="17"/>
  <c r="AK142" i="17"/>
  <c r="AJ142" i="17"/>
  <c r="AI142" i="17"/>
  <c r="AH142" i="17"/>
  <c r="AG142" i="17"/>
  <c r="AF142" i="17"/>
  <c r="AE142" i="17"/>
  <c r="AD142" i="17"/>
  <c r="AC142" i="17"/>
  <c r="AB142" i="17"/>
  <c r="AA142" i="17"/>
  <c r="Z142" i="17"/>
  <c r="Y142" i="17"/>
  <c r="X142" i="17"/>
  <c r="W142" i="17"/>
  <c r="V142" i="17"/>
  <c r="AO141" i="17"/>
  <c r="AN141" i="17"/>
  <c r="AM141" i="17"/>
  <c r="AL141" i="17"/>
  <c r="AK141" i="17"/>
  <c r="AJ141" i="17"/>
  <c r="AI141" i="17"/>
  <c r="AH141" i="17"/>
  <c r="AG141" i="17"/>
  <c r="AF141" i="17"/>
  <c r="AE141" i="17"/>
  <c r="AD141" i="17"/>
  <c r="AC141" i="17"/>
  <c r="AB141" i="17"/>
  <c r="AA141" i="17"/>
  <c r="Z141" i="17"/>
  <c r="Y141" i="17"/>
  <c r="X141" i="17"/>
  <c r="W141" i="17"/>
  <c r="V141" i="17"/>
  <c r="AO140" i="17"/>
  <c r="AN140" i="17"/>
  <c r="AM140" i="17"/>
  <c r="AL140" i="17"/>
  <c r="AK140" i="17"/>
  <c r="AJ140" i="17"/>
  <c r="AI140" i="17"/>
  <c r="AH140" i="17"/>
  <c r="AG140" i="17"/>
  <c r="AF140" i="17"/>
  <c r="AE140" i="17"/>
  <c r="AD140" i="17"/>
  <c r="AC140" i="17"/>
  <c r="AB140" i="17"/>
  <c r="AA140" i="17"/>
  <c r="Z140" i="17"/>
  <c r="Y140" i="17"/>
  <c r="X140" i="17"/>
  <c r="W140" i="17"/>
  <c r="V140" i="17"/>
  <c r="AO139" i="17"/>
  <c r="AN139" i="17"/>
  <c r="AM139" i="17"/>
  <c r="AL139" i="17"/>
  <c r="AK139" i="17"/>
  <c r="AJ139" i="17"/>
  <c r="AI139" i="17"/>
  <c r="AH139" i="17"/>
  <c r="AG139" i="17"/>
  <c r="AF139" i="17"/>
  <c r="AE139" i="17"/>
  <c r="AD139" i="17"/>
  <c r="AC139" i="17"/>
  <c r="AB139" i="17"/>
  <c r="AA139" i="17"/>
  <c r="Z139" i="17"/>
  <c r="Y139" i="17"/>
  <c r="X139" i="17"/>
  <c r="W139" i="17"/>
  <c r="V139" i="17"/>
  <c r="AO138" i="17"/>
  <c r="AN138" i="17"/>
  <c r="AM138" i="17"/>
  <c r="AL138" i="17"/>
  <c r="AK138" i="17"/>
  <c r="AJ138" i="17"/>
  <c r="AI138" i="17"/>
  <c r="AH138" i="17"/>
  <c r="AG138" i="17"/>
  <c r="AF138" i="17"/>
  <c r="AE138" i="17"/>
  <c r="AD138" i="17"/>
  <c r="AC138" i="17"/>
  <c r="AB138" i="17"/>
  <c r="AA138" i="17"/>
  <c r="Z138" i="17"/>
  <c r="Y138" i="17"/>
  <c r="X138" i="17"/>
  <c r="W138" i="17"/>
  <c r="V138" i="17"/>
  <c r="AO137" i="17"/>
  <c r="AN137" i="17"/>
  <c r="AM137" i="17"/>
  <c r="AL137" i="17"/>
  <c r="AK137" i="17"/>
  <c r="AJ137" i="17"/>
  <c r="AI137" i="17"/>
  <c r="AH137" i="17"/>
  <c r="AG137" i="17"/>
  <c r="AF137" i="17"/>
  <c r="AE137" i="17"/>
  <c r="AD137" i="17"/>
  <c r="AC137" i="17"/>
  <c r="AB137" i="17"/>
  <c r="AA137" i="17"/>
  <c r="Z137" i="17"/>
  <c r="Y137" i="17"/>
  <c r="X137" i="17"/>
  <c r="W137" i="17"/>
  <c r="V137" i="17"/>
  <c r="AO136" i="17"/>
  <c r="AN136" i="17"/>
  <c r="AM136" i="17"/>
  <c r="AL136" i="17"/>
  <c r="AK136" i="17"/>
  <c r="AJ136" i="17"/>
  <c r="AI136" i="17"/>
  <c r="AH136" i="17"/>
  <c r="AG136" i="17"/>
  <c r="AF136" i="17"/>
  <c r="AE136" i="17"/>
  <c r="AD136" i="17"/>
  <c r="AC136" i="17"/>
  <c r="AB136" i="17"/>
  <c r="AA136" i="17"/>
  <c r="Z136" i="17"/>
  <c r="Y136" i="17"/>
  <c r="X136" i="17"/>
  <c r="W136" i="17"/>
  <c r="V136" i="17"/>
  <c r="AO135" i="17"/>
  <c r="AN135" i="17"/>
  <c r="AM135" i="17"/>
  <c r="AL135" i="17"/>
  <c r="AK135" i="17"/>
  <c r="AJ135" i="17"/>
  <c r="AI135" i="17"/>
  <c r="AH135" i="17"/>
  <c r="AG135" i="17"/>
  <c r="AF135" i="17"/>
  <c r="AE135" i="17"/>
  <c r="AD135" i="17"/>
  <c r="AC135" i="17"/>
  <c r="AB135" i="17"/>
  <c r="AA135" i="17"/>
  <c r="Z135" i="17"/>
  <c r="Y135" i="17"/>
  <c r="X135" i="17"/>
  <c r="W135" i="17"/>
  <c r="V135" i="17"/>
  <c r="AO134" i="17"/>
  <c r="AN134" i="17"/>
  <c r="AM134" i="17"/>
  <c r="AL134" i="17"/>
  <c r="AK134" i="17"/>
  <c r="AJ134" i="17"/>
  <c r="AI134" i="17"/>
  <c r="AH134" i="17"/>
  <c r="AG134" i="17"/>
  <c r="AF134" i="17"/>
  <c r="AE134" i="17"/>
  <c r="AD134" i="17"/>
  <c r="AC134" i="17"/>
  <c r="AB134" i="17"/>
  <c r="AA134" i="17"/>
  <c r="Z134" i="17"/>
  <c r="Y134" i="17"/>
  <c r="X134" i="17"/>
  <c r="W134" i="17"/>
  <c r="V134" i="17"/>
  <c r="AO133" i="17"/>
  <c r="AN133" i="17"/>
  <c r="AM133" i="17"/>
  <c r="AL133" i="17"/>
  <c r="AK133" i="17"/>
  <c r="AJ133" i="17"/>
  <c r="AI133" i="17"/>
  <c r="AH133" i="17"/>
  <c r="AG133" i="17"/>
  <c r="AF133" i="17"/>
  <c r="AE133" i="17"/>
  <c r="AD133" i="17"/>
  <c r="AC133" i="17"/>
  <c r="AB133" i="17"/>
  <c r="AA133" i="17"/>
  <c r="Z133" i="17"/>
  <c r="Y133" i="17"/>
  <c r="X133" i="17"/>
  <c r="W133" i="17"/>
  <c r="V133" i="17"/>
  <c r="AO132" i="17"/>
  <c r="AN132" i="17"/>
  <c r="AM132" i="17"/>
  <c r="AL132" i="17"/>
  <c r="AK132" i="17"/>
  <c r="AJ132" i="17"/>
  <c r="AI132" i="17"/>
  <c r="AH132" i="17"/>
  <c r="AG132" i="17"/>
  <c r="AF132" i="17"/>
  <c r="AE132" i="17"/>
  <c r="AD132" i="17"/>
  <c r="AC132" i="17"/>
  <c r="AB132" i="17"/>
  <c r="AA132" i="17"/>
  <c r="Z132" i="17"/>
  <c r="Y132" i="17"/>
  <c r="X132" i="17"/>
  <c r="W132" i="17"/>
  <c r="V132" i="17"/>
  <c r="AO131" i="17"/>
  <c r="AN131" i="17"/>
  <c r="AM131" i="17"/>
  <c r="AL131" i="17"/>
  <c r="AK131" i="17"/>
  <c r="AJ131" i="17"/>
  <c r="AI131" i="17"/>
  <c r="AH131" i="17"/>
  <c r="AG131" i="17"/>
  <c r="AF131" i="17"/>
  <c r="AE131" i="17"/>
  <c r="AD131" i="17"/>
  <c r="AC131" i="17"/>
  <c r="AB131" i="17"/>
  <c r="AA131" i="17"/>
  <c r="Z131" i="17"/>
  <c r="Y131" i="17"/>
  <c r="X131" i="17"/>
  <c r="W131" i="17"/>
  <c r="V131" i="17"/>
  <c r="AO130" i="17"/>
  <c r="AN130" i="17"/>
  <c r="AM130" i="17"/>
  <c r="AL130" i="17"/>
  <c r="AK130" i="17"/>
  <c r="AJ130" i="17"/>
  <c r="AI130" i="17"/>
  <c r="AH130" i="17"/>
  <c r="AG130" i="17"/>
  <c r="AF130" i="17"/>
  <c r="AE130" i="17"/>
  <c r="AD130" i="17"/>
  <c r="AC130" i="17"/>
  <c r="AB130" i="17"/>
  <c r="AA130" i="17"/>
  <c r="Z130" i="17"/>
  <c r="Y130" i="17"/>
  <c r="X130" i="17"/>
  <c r="W130" i="17"/>
  <c r="V130" i="17"/>
  <c r="AO129" i="17"/>
  <c r="AN129" i="17"/>
  <c r="AM129" i="17"/>
  <c r="AL129" i="17"/>
  <c r="AK129" i="17"/>
  <c r="AJ129" i="17"/>
  <c r="AI129" i="17"/>
  <c r="AH129" i="17"/>
  <c r="AG129" i="17"/>
  <c r="AF129" i="17"/>
  <c r="AE129" i="17"/>
  <c r="AD129" i="17"/>
  <c r="AC129" i="17"/>
  <c r="AB129" i="17"/>
  <c r="AA129" i="17"/>
  <c r="Z129" i="17"/>
  <c r="Y129" i="17"/>
  <c r="X129" i="17"/>
  <c r="W129" i="17"/>
  <c r="V129" i="17"/>
  <c r="AO128" i="17"/>
  <c r="AN128" i="17"/>
  <c r="AM128" i="17"/>
  <c r="AL128" i="17"/>
  <c r="AK128" i="17"/>
  <c r="AJ128" i="17"/>
  <c r="AI128" i="17"/>
  <c r="AH128" i="17"/>
  <c r="AG128" i="17"/>
  <c r="AF128" i="17"/>
  <c r="AE128" i="17"/>
  <c r="AD128" i="17"/>
  <c r="AC128" i="17"/>
  <c r="AB128" i="17"/>
  <c r="AA128" i="17"/>
  <c r="Z128" i="17"/>
  <c r="Y128" i="17"/>
  <c r="X128" i="17"/>
  <c r="W128" i="17"/>
  <c r="V128" i="17"/>
  <c r="AO127" i="17"/>
  <c r="AN127" i="17"/>
  <c r="AM127" i="17"/>
  <c r="AL127" i="17"/>
  <c r="AK127" i="17"/>
  <c r="AJ127" i="17"/>
  <c r="AI127" i="17"/>
  <c r="AH127" i="17"/>
  <c r="AG127" i="17"/>
  <c r="AF127" i="17"/>
  <c r="AE127" i="17"/>
  <c r="AD127" i="17"/>
  <c r="AC127" i="17"/>
  <c r="AB127" i="17"/>
  <c r="AA127" i="17"/>
  <c r="Z127" i="17"/>
  <c r="Y127" i="17"/>
  <c r="X127" i="17"/>
  <c r="W127" i="17"/>
  <c r="V127" i="17"/>
  <c r="AO126" i="17"/>
  <c r="AN126" i="17"/>
  <c r="AM126" i="17"/>
  <c r="AL126" i="17"/>
  <c r="AK126" i="17"/>
  <c r="AJ126" i="17"/>
  <c r="AI126" i="17"/>
  <c r="AH126" i="17"/>
  <c r="AG126" i="17"/>
  <c r="AF126" i="17"/>
  <c r="AE126" i="17"/>
  <c r="AD126" i="17"/>
  <c r="AC126" i="17"/>
  <c r="AB126" i="17"/>
  <c r="AA126" i="17"/>
  <c r="Z126" i="17"/>
  <c r="Y126" i="17"/>
  <c r="X126" i="17"/>
  <c r="W126" i="17"/>
  <c r="V126" i="17"/>
  <c r="AO125" i="17"/>
  <c r="AN125" i="17"/>
  <c r="AM125" i="17"/>
  <c r="AL125" i="17"/>
  <c r="AK125" i="17"/>
  <c r="AJ125" i="17"/>
  <c r="AI125" i="17"/>
  <c r="AH125" i="17"/>
  <c r="AG125" i="17"/>
  <c r="AF125" i="17"/>
  <c r="AE125" i="17"/>
  <c r="AD125" i="17"/>
  <c r="AC125" i="17"/>
  <c r="AB125" i="17"/>
  <c r="AA125" i="17"/>
  <c r="Z125" i="17"/>
  <c r="Y125" i="17"/>
  <c r="X125" i="17"/>
  <c r="W125" i="17"/>
  <c r="V125" i="17"/>
  <c r="AO124" i="17"/>
  <c r="AN124" i="17"/>
  <c r="AM124" i="17"/>
  <c r="AL124" i="17"/>
  <c r="AK124" i="17"/>
  <c r="AJ124" i="17"/>
  <c r="AI124" i="17"/>
  <c r="AH124" i="17"/>
  <c r="AG124" i="17"/>
  <c r="AF124" i="17"/>
  <c r="AE124" i="17"/>
  <c r="AD124" i="17"/>
  <c r="AC124" i="17"/>
  <c r="AB124" i="17"/>
  <c r="AA124" i="17"/>
  <c r="Z124" i="17"/>
  <c r="Y124" i="17"/>
  <c r="X124" i="17"/>
  <c r="W124" i="17"/>
  <c r="V124" i="17"/>
  <c r="AO123" i="17"/>
  <c r="AN123" i="17"/>
  <c r="AM123" i="17"/>
  <c r="AL123" i="17"/>
  <c r="AK123" i="17"/>
  <c r="AJ123" i="17"/>
  <c r="AI123" i="17"/>
  <c r="AH123" i="17"/>
  <c r="AG123" i="17"/>
  <c r="AF123" i="17"/>
  <c r="AE123" i="17"/>
  <c r="AD123" i="17"/>
  <c r="AC123" i="17"/>
  <c r="AB123" i="17"/>
  <c r="AA123" i="17"/>
  <c r="Z123" i="17"/>
  <c r="Y123" i="17"/>
  <c r="X123" i="17"/>
  <c r="W123" i="17"/>
  <c r="V123" i="17"/>
  <c r="AO122" i="17"/>
  <c r="AN122" i="17"/>
  <c r="AM122" i="17"/>
  <c r="AL122" i="17"/>
  <c r="AK122" i="17"/>
  <c r="AJ122" i="17"/>
  <c r="AI122" i="17"/>
  <c r="AH122" i="17"/>
  <c r="AG122" i="17"/>
  <c r="AF122" i="17"/>
  <c r="AE122" i="17"/>
  <c r="AD122" i="17"/>
  <c r="AC122" i="17"/>
  <c r="AB122" i="17"/>
  <c r="AA122" i="17"/>
  <c r="Z122" i="17"/>
  <c r="Y122" i="17"/>
  <c r="X122" i="17"/>
  <c r="W122" i="17"/>
  <c r="V122" i="17"/>
  <c r="AO121" i="17"/>
  <c r="AN121" i="17"/>
  <c r="AM121" i="17"/>
  <c r="AL121" i="17"/>
  <c r="AK121" i="17"/>
  <c r="AJ121" i="17"/>
  <c r="AI121" i="17"/>
  <c r="AH121" i="17"/>
  <c r="AG121" i="17"/>
  <c r="AF121" i="17"/>
  <c r="AE121" i="17"/>
  <c r="AD121" i="17"/>
  <c r="AC121" i="17"/>
  <c r="AB121" i="17"/>
  <c r="AA121" i="17"/>
  <c r="Z121" i="17"/>
  <c r="Y121" i="17"/>
  <c r="X121" i="17"/>
  <c r="W121" i="17"/>
  <c r="V121" i="17"/>
  <c r="AO120" i="17"/>
  <c r="AN120" i="17"/>
  <c r="AM120" i="17"/>
  <c r="AL120" i="17"/>
  <c r="AK120" i="17"/>
  <c r="AJ120" i="17"/>
  <c r="AI120" i="17"/>
  <c r="AH120" i="17"/>
  <c r="AG120" i="17"/>
  <c r="AF120" i="17"/>
  <c r="AE120" i="17"/>
  <c r="AD120" i="17"/>
  <c r="AC120" i="17"/>
  <c r="AB120" i="17"/>
  <c r="AA120" i="17"/>
  <c r="Z120" i="17"/>
  <c r="Y120" i="17"/>
  <c r="X120" i="17"/>
  <c r="W120" i="17"/>
  <c r="V120" i="17"/>
  <c r="AO119" i="17"/>
  <c r="AN119" i="17"/>
  <c r="AM119" i="17"/>
  <c r="AL119" i="17"/>
  <c r="AK119" i="17"/>
  <c r="AJ119" i="17"/>
  <c r="AI119" i="17"/>
  <c r="AH119" i="17"/>
  <c r="AG119" i="17"/>
  <c r="AF119" i="17"/>
  <c r="AE119" i="17"/>
  <c r="AD119" i="17"/>
  <c r="AC119" i="17"/>
  <c r="AB119" i="17"/>
  <c r="AA119" i="17"/>
  <c r="Z119" i="17"/>
  <c r="Y119" i="17"/>
  <c r="X119" i="17"/>
  <c r="W119" i="17"/>
  <c r="V119" i="17"/>
  <c r="AO118" i="17"/>
  <c r="AN118" i="17"/>
  <c r="AM118" i="17"/>
  <c r="AL118" i="17"/>
  <c r="AK118" i="17"/>
  <c r="AJ118" i="17"/>
  <c r="AI118" i="17"/>
  <c r="AH118" i="17"/>
  <c r="AG118" i="17"/>
  <c r="AF118" i="17"/>
  <c r="AE118" i="17"/>
  <c r="AD118" i="17"/>
  <c r="AC118" i="17"/>
  <c r="AB118" i="17"/>
  <c r="AA118" i="17"/>
  <c r="Z118" i="17"/>
  <c r="Y118" i="17"/>
  <c r="X118" i="17"/>
  <c r="W118" i="17"/>
  <c r="V118" i="17"/>
  <c r="AO117" i="17"/>
  <c r="AN117" i="17"/>
  <c r="AM117" i="17"/>
  <c r="AL117" i="17"/>
  <c r="AK117" i="17"/>
  <c r="AJ117" i="17"/>
  <c r="AI117" i="17"/>
  <c r="AH117" i="17"/>
  <c r="AG117" i="17"/>
  <c r="AF117" i="17"/>
  <c r="AE117" i="17"/>
  <c r="AD117" i="17"/>
  <c r="AC117" i="17"/>
  <c r="AB117" i="17"/>
  <c r="AA117" i="17"/>
  <c r="Z117" i="17"/>
  <c r="Y117" i="17"/>
  <c r="X117" i="17"/>
  <c r="W117" i="17"/>
  <c r="V117" i="17"/>
  <c r="AO116" i="17"/>
  <c r="AN116" i="17"/>
  <c r="AM116" i="17"/>
  <c r="AL116" i="17"/>
  <c r="AK116" i="17"/>
  <c r="AJ116" i="17"/>
  <c r="AI116" i="17"/>
  <c r="AH116" i="17"/>
  <c r="AG116" i="17"/>
  <c r="AF116" i="17"/>
  <c r="AE116" i="17"/>
  <c r="AD116" i="17"/>
  <c r="AC116" i="17"/>
  <c r="AB116" i="17"/>
  <c r="AA116" i="17"/>
  <c r="Z116" i="17"/>
  <c r="Y116" i="17"/>
  <c r="X116" i="17"/>
  <c r="W116" i="17"/>
  <c r="V116" i="17"/>
  <c r="AO115" i="17"/>
  <c r="AN115" i="17"/>
  <c r="AM115" i="17"/>
  <c r="AL115" i="17"/>
  <c r="AK115" i="17"/>
  <c r="AJ115" i="17"/>
  <c r="AI115" i="17"/>
  <c r="AH115" i="17"/>
  <c r="AG115" i="17"/>
  <c r="AF115" i="17"/>
  <c r="AE115" i="17"/>
  <c r="AD115" i="17"/>
  <c r="AC115" i="17"/>
  <c r="AB115" i="17"/>
  <c r="AA115" i="17"/>
  <c r="Z115" i="17"/>
  <c r="Y115" i="17"/>
  <c r="X115" i="17"/>
  <c r="W115" i="17"/>
  <c r="V115" i="17"/>
  <c r="AO114" i="17"/>
  <c r="AN114" i="17"/>
  <c r="AM114" i="17"/>
  <c r="AL114" i="17"/>
  <c r="AK114" i="17"/>
  <c r="AJ114" i="17"/>
  <c r="AI114" i="17"/>
  <c r="AH114" i="17"/>
  <c r="AG114" i="17"/>
  <c r="AF114" i="17"/>
  <c r="AE114" i="17"/>
  <c r="AD114" i="17"/>
  <c r="AC114" i="17"/>
  <c r="AB114" i="17"/>
  <c r="AA114" i="17"/>
  <c r="Z114" i="17"/>
  <c r="Y114" i="17"/>
  <c r="X114" i="17"/>
  <c r="W114" i="17"/>
  <c r="V114" i="17"/>
  <c r="AO113" i="17"/>
  <c r="AN113" i="17"/>
  <c r="AM113" i="17"/>
  <c r="AL113" i="17"/>
  <c r="AK113" i="17"/>
  <c r="AJ113" i="17"/>
  <c r="AI113" i="17"/>
  <c r="AH113" i="17"/>
  <c r="AG113" i="17"/>
  <c r="AF113" i="17"/>
  <c r="AE113" i="17"/>
  <c r="AD113" i="17"/>
  <c r="AC113" i="17"/>
  <c r="AB113" i="17"/>
  <c r="AA113" i="17"/>
  <c r="Z113" i="17"/>
  <c r="Y113" i="17"/>
  <c r="X113" i="17"/>
  <c r="W113" i="17"/>
  <c r="V113" i="17"/>
  <c r="AO112" i="17"/>
  <c r="AN112" i="17"/>
  <c r="AM112" i="17"/>
  <c r="AL112" i="17"/>
  <c r="AK112" i="17"/>
  <c r="AJ112" i="17"/>
  <c r="AI112" i="17"/>
  <c r="AH112" i="17"/>
  <c r="AG112" i="17"/>
  <c r="AF112" i="17"/>
  <c r="AE112" i="17"/>
  <c r="AD112" i="17"/>
  <c r="AC112" i="17"/>
  <c r="AB112" i="17"/>
  <c r="AA112" i="17"/>
  <c r="Z112" i="17"/>
  <c r="Y112" i="17"/>
  <c r="X112" i="17"/>
  <c r="W112" i="17"/>
  <c r="V112" i="17"/>
  <c r="AO111" i="17"/>
  <c r="AN111" i="17"/>
  <c r="AM111" i="17"/>
  <c r="AL111" i="17"/>
  <c r="AK111" i="17"/>
  <c r="AJ111" i="17"/>
  <c r="AI111" i="17"/>
  <c r="AH111" i="17"/>
  <c r="AG111" i="17"/>
  <c r="AF111" i="17"/>
  <c r="AE111" i="17"/>
  <c r="AD111" i="17"/>
  <c r="AC111" i="17"/>
  <c r="AB111" i="17"/>
  <c r="AA111" i="17"/>
  <c r="Z111" i="17"/>
  <c r="Y111" i="17"/>
  <c r="X111" i="17"/>
  <c r="W111" i="17"/>
  <c r="V111" i="17"/>
  <c r="AO110" i="17"/>
  <c r="AN110" i="17"/>
  <c r="AM110" i="17"/>
  <c r="AL110" i="17"/>
  <c r="AK110" i="17"/>
  <c r="AJ110" i="17"/>
  <c r="AI110" i="17"/>
  <c r="AH110" i="17"/>
  <c r="AG110" i="17"/>
  <c r="AF110" i="17"/>
  <c r="AE110" i="17"/>
  <c r="AD110" i="17"/>
  <c r="AC110" i="17"/>
  <c r="AB110" i="17"/>
  <c r="AA110" i="17"/>
  <c r="Z110" i="17"/>
  <c r="Y110" i="17"/>
  <c r="X110" i="17"/>
  <c r="W110" i="17"/>
  <c r="V110" i="17"/>
  <c r="AO109" i="17"/>
  <c r="AN109" i="17"/>
  <c r="AM109" i="17"/>
  <c r="AL109" i="17"/>
  <c r="AK109" i="17"/>
  <c r="AJ109" i="17"/>
  <c r="AI109" i="17"/>
  <c r="AH109" i="17"/>
  <c r="AG109" i="17"/>
  <c r="AF109" i="17"/>
  <c r="AE109" i="17"/>
  <c r="AD109" i="17"/>
  <c r="AC109" i="17"/>
  <c r="AB109" i="17"/>
  <c r="AA109" i="17"/>
  <c r="Z109" i="17"/>
  <c r="Y109" i="17"/>
  <c r="X109" i="17"/>
  <c r="W109" i="17"/>
  <c r="V109" i="17"/>
  <c r="AO108" i="17"/>
  <c r="AN108" i="17"/>
  <c r="AM108" i="17"/>
  <c r="AL108" i="17"/>
  <c r="AK108" i="17"/>
  <c r="AJ108" i="17"/>
  <c r="AI108" i="17"/>
  <c r="AH108" i="17"/>
  <c r="AG108" i="17"/>
  <c r="AF108" i="17"/>
  <c r="AE108" i="17"/>
  <c r="AD108" i="17"/>
  <c r="AC108" i="17"/>
  <c r="AB108" i="17"/>
  <c r="AA108" i="17"/>
  <c r="Z108" i="17"/>
  <c r="Y108" i="17"/>
  <c r="X108" i="17"/>
  <c r="W108" i="17"/>
  <c r="V108" i="17"/>
  <c r="AO107" i="17"/>
  <c r="AN107" i="17"/>
  <c r="AM107" i="17"/>
  <c r="AL107" i="17"/>
  <c r="AK107" i="17"/>
  <c r="AJ107" i="17"/>
  <c r="AI107" i="17"/>
  <c r="AH107" i="17"/>
  <c r="AG107" i="17"/>
  <c r="AF107" i="17"/>
  <c r="AE107" i="17"/>
  <c r="AD107" i="17"/>
  <c r="AC107" i="17"/>
  <c r="AB107" i="17"/>
  <c r="AA107" i="17"/>
  <c r="Z107" i="17"/>
  <c r="Y107" i="17"/>
  <c r="X107" i="17"/>
  <c r="W107" i="17"/>
  <c r="V107" i="17"/>
  <c r="AO106" i="17"/>
  <c r="AN106" i="17"/>
  <c r="AM106" i="17"/>
  <c r="AL106" i="17"/>
  <c r="AK106" i="17"/>
  <c r="AJ106" i="17"/>
  <c r="AI106" i="17"/>
  <c r="AH106" i="17"/>
  <c r="AG106" i="17"/>
  <c r="AF106" i="17"/>
  <c r="AE106" i="17"/>
  <c r="AD106" i="17"/>
  <c r="AC106" i="17"/>
  <c r="AB106" i="17"/>
  <c r="AA106" i="17"/>
  <c r="Z106" i="17"/>
  <c r="Y106" i="17"/>
  <c r="X106" i="17"/>
  <c r="W106" i="17"/>
  <c r="V106" i="17"/>
  <c r="AO105" i="17"/>
  <c r="AN105" i="17"/>
  <c r="AM105" i="17"/>
  <c r="AL105" i="17"/>
  <c r="AK105" i="17"/>
  <c r="AJ105" i="17"/>
  <c r="AI105" i="17"/>
  <c r="AH105" i="17"/>
  <c r="AG105" i="17"/>
  <c r="AF105" i="17"/>
  <c r="AE105" i="17"/>
  <c r="AD105" i="17"/>
  <c r="AC105" i="17"/>
  <c r="AB105" i="17"/>
  <c r="AA105" i="17"/>
  <c r="Z105" i="17"/>
  <c r="Y105" i="17"/>
  <c r="X105" i="17"/>
  <c r="W105" i="17"/>
  <c r="V105" i="17"/>
  <c r="AO104" i="17"/>
  <c r="AN104" i="17"/>
  <c r="AM104" i="17"/>
  <c r="AL104" i="17"/>
  <c r="AK104" i="17"/>
  <c r="AJ104" i="17"/>
  <c r="AI104" i="17"/>
  <c r="AH104" i="17"/>
  <c r="AG104" i="17"/>
  <c r="AF104" i="17"/>
  <c r="AE104" i="17"/>
  <c r="AD104" i="17"/>
  <c r="AC104" i="17"/>
  <c r="AB104" i="17"/>
  <c r="AA104" i="17"/>
  <c r="Z104" i="17"/>
  <c r="Y104" i="17"/>
  <c r="X104" i="17"/>
  <c r="W104" i="17"/>
  <c r="V104" i="17"/>
  <c r="AO103" i="17"/>
  <c r="AN103" i="17"/>
  <c r="AM103" i="17"/>
  <c r="AL103" i="17"/>
  <c r="AK103" i="17"/>
  <c r="AJ103" i="17"/>
  <c r="AI103" i="17"/>
  <c r="AH103" i="17"/>
  <c r="AG103" i="17"/>
  <c r="AF103" i="17"/>
  <c r="AE103" i="17"/>
  <c r="AD103" i="17"/>
  <c r="AC103" i="17"/>
  <c r="AB103" i="17"/>
  <c r="AA103" i="17"/>
  <c r="Z103" i="17"/>
  <c r="Y103" i="17"/>
  <c r="X103" i="17"/>
  <c r="W103" i="17"/>
  <c r="V103" i="17"/>
  <c r="AO102" i="17"/>
  <c r="AN102" i="17"/>
  <c r="AM102" i="17"/>
  <c r="AL102" i="17"/>
  <c r="AK102" i="17"/>
  <c r="AJ102" i="17"/>
  <c r="AI102" i="17"/>
  <c r="AH102" i="17"/>
  <c r="AG102" i="17"/>
  <c r="AF102" i="17"/>
  <c r="AE102" i="17"/>
  <c r="AD102" i="17"/>
  <c r="AC102" i="17"/>
  <c r="AB102" i="17"/>
  <c r="AA102" i="17"/>
  <c r="Z102" i="17"/>
  <c r="Y102" i="17"/>
  <c r="X102" i="17"/>
  <c r="W102" i="17"/>
  <c r="V102" i="17"/>
  <c r="AO101" i="17"/>
  <c r="AN101" i="17"/>
  <c r="AM101" i="17"/>
  <c r="AL101" i="17"/>
  <c r="AK101" i="17"/>
  <c r="AJ101" i="17"/>
  <c r="AI101" i="17"/>
  <c r="AH101" i="17"/>
  <c r="AG101" i="17"/>
  <c r="AF101" i="17"/>
  <c r="AE101" i="17"/>
  <c r="AD101" i="17"/>
  <c r="AC101" i="17"/>
  <c r="AB101" i="17"/>
  <c r="AA101" i="17"/>
  <c r="Z101" i="17"/>
  <c r="Y101" i="17"/>
  <c r="X101" i="17"/>
  <c r="W101" i="17"/>
  <c r="V101" i="17"/>
  <c r="AO100" i="17"/>
  <c r="AN100" i="17"/>
  <c r="AM100" i="17"/>
  <c r="AL100" i="17"/>
  <c r="AK100" i="17"/>
  <c r="AJ100" i="17"/>
  <c r="AI100" i="17"/>
  <c r="AH100" i="17"/>
  <c r="AG100" i="17"/>
  <c r="AF100" i="17"/>
  <c r="AE100" i="17"/>
  <c r="AD100" i="17"/>
  <c r="AC100" i="17"/>
  <c r="AB100" i="17"/>
  <c r="AA100" i="17"/>
  <c r="Z100" i="17"/>
  <c r="Y100" i="17"/>
  <c r="X100" i="17"/>
  <c r="W100" i="17"/>
  <c r="V100" i="17"/>
  <c r="AB93" i="17"/>
  <c r="AB91" i="17"/>
  <c r="AB88" i="17"/>
  <c r="AB87" i="17"/>
  <c r="Z82" i="17"/>
  <c r="Y82" i="17"/>
  <c r="X82" i="17"/>
  <c r="W82" i="17"/>
  <c r="V82" i="17"/>
  <c r="Z81" i="17"/>
  <c r="Y81" i="17"/>
  <c r="X81" i="17"/>
  <c r="W81" i="17"/>
  <c r="V81" i="17"/>
  <c r="Z80" i="17"/>
  <c r="Y80" i="17"/>
  <c r="X80" i="17"/>
  <c r="W80" i="17"/>
  <c r="V80" i="17"/>
  <c r="Z79" i="17"/>
  <c r="Y79" i="17"/>
  <c r="X79" i="17"/>
  <c r="W79" i="17"/>
  <c r="V79" i="17"/>
  <c r="Z78" i="17"/>
  <c r="Y78" i="17"/>
  <c r="X78" i="17"/>
  <c r="W78" i="17"/>
  <c r="V78" i="17"/>
  <c r="Z77" i="17"/>
  <c r="Y77" i="17"/>
  <c r="X77" i="17"/>
  <c r="W77" i="17"/>
  <c r="V77" i="17"/>
  <c r="Z76" i="17"/>
  <c r="Y76" i="17"/>
  <c r="X76" i="17"/>
  <c r="W76" i="17"/>
  <c r="V76" i="17"/>
  <c r="Z75" i="17"/>
  <c r="Y75" i="17"/>
  <c r="X75" i="17"/>
  <c r="W75" i="17"/>
  <c r="V75" i="17"/>
  <c r="Z74" i="17"/>
  <c r="Y74" i="17"/>
  <c r="X74" i="17"/>
  <c r="W74" i="17"/>
  <c r="V74" i="17"/>
  <c r="Z73" i="17"/>
  <c r="Y73" i="17"/>
  <c r="X73" i="17"/>
  <c r="W73" i="17"/>
  <c r="V73" i="17"/>
  <c r="Z68" i="17"/>
  <c r="Y68" i="17"/>
  <c r="X68" i="17"/>
  <c r="W68" i="17"/>
  <c r="V68" i="17"/>
  <c r="Z67" i="17"/>
  <c r="Y67" i="17"/>
  <c r="X67" i="17"/>
  <c r="W67" i="17"/>
  <c r="V67" i="17"/>
  <c r="Z66" i="17"/>
  <c r="Y66" i="17"/>
  <c r="X66" i="17"/>
  <c r="W66" i="17"/>
  <c r="V66" i="17"/>
  <c r="Z65" i="17"/>
  <c r="Y65" i="17"/>
  <c r="X65" i="17"/>
  <c r="W65" i="17"/>
  <c r="V65" i="17"/>
  <c r="Z64" i="17"/>
  <c r="Y64" i="17"/>
  <c r="X64" i="17"/>
  <c r="W64" i="17"/>
  <c r="V64" i="17"/>
  <c r="Z63" i="17"/>
  <c r="Y63" i="17"/>
  <c r="X63" i="17"/>
  <c r="W63" i="17"/>
  <c r="V63" i="17"/>
  <c r="Z62" i="17"/>
  <c r="Y62" i="17"/>
  <c r="X62" i="17"/>
  <c r="W62" i="17"/>
  <c r="V62" i="17"/>
  <c r="Z61" i="17"/>
  <c r="Y61" i="17"/>
  <c r="X61" i="17"/>
  <c r="W61" i="17"/>
  <c r="V61" i="17"/>
  <c r="Z60" i="17"/>
  <c r="Y60" i="17"/>
  <c r="X60" i="17"/>
  <c r="W60" i="17"/>
  <c r="V60" i="17"/>
  <c r="Z59" i="17"/>
  <c r="Y59" i="17"/>
  <c r="X59" i="17"/>
  <c r="W59" i="17"/>
  <c r="V59" i="17"/>
  <c r="AQ58" i="17"/>
  <c r="Z58" i="17"/>
  <c r="Y58" i="17"/>
  <c r="X58" i="17"/>
  <c r="W58" i="17"/>
  <c r="V58" i="17"/>
  <c r="Z57" i="17"/>
  <c r="Y57" i="17"/>
  <c r="X57" i="17"/>
  <c r="W57" i="17"/>
  <c r="V57" i="17"/>
  <c r="Z56" i="17"/>
  <c r="Y56" i="17"/>
  <c r="X56" i="17"/>
  <c r="W56" i="17"/>
  <c r="V56" i="17"/>
  <c r="AP44" i="17"/>
  <c r="B59" i="17" s="1"/>
  <c r="AP43" i="17"/>
  <c r="B58" i="17" s="1"/>
  <c r="AP42" i="17"/>
  <c r="B57" i="17" s="1"/>
  <c r="X42" i="17"/>
  <c r="AP41" i="17"/>
  <c r="B56" i="17" s="1"/>
  <c r="X41" i="17"/>
  <c r="AP40" i="17"/>
  <c r="B55" i="17" s="1"/>
  <c r="X40" i="17"/>
  <c r="B40" i="17"/>
  <c r="X39" i="17"/>
  <c r="X38" i="17"/>
  <c r="X37" i="17"/>
  <c r="X36" i="17"/>
  <c r="X35" i="17"/>
  <c r="Q35" i="17"/>
  <c r="P35" i="17"/>
  <c r="B35" i="17"/>
  <c r="X34" i="17"/>
  <c r="J34" i="17"/>
  <c r="D35" i="17" s="1"/>
  <c r="X33" i="17"/>
  <c r="X32" i="17"/>
  <c r="AG31" i="17"/>
  <c r="X31" i="17"/>
  <c r="AC30" i="17"/>
  <c r="O99" i="17" s="1"/>
  <c r="X30" i="17"/>
  <c r="X29" i="17"/>
  <c r="B29" i="17"/>
  <c r="AQ27" i="17" s="1"/>
  <c r="X28" i="17"/>
  <c r="B27" i="17"/>
  <c r="P25" i="17"/>
  <c r="I24" i="17" s="1"/>
  <c r="G24" i="17"/>
  <c r="E24" i="17"/>
  <c r="C24" i="17"/>
  <c r="AB23" i="17"/>
  <c r="AA23" i="17"/>
  <c r="Z23" i="17"/>
  <c r="Y23" i="17"/>
  <c r="I23" i="17"/>
  <c r="G23" i="17"/>
  <c r="E23" i="17"/>
  <c r="C23" i="17"/>
  <c r="AB22" i="17"/>
  <c r="AA22" i="17"/>
  <c r="Z22" i="17"/>
  <c r="Y22" i="17"/>
  <c r="I22" i="17"/>
  <c r="G22" i="17"/>
  <c r="E22" i="17"/>
  <c r="C22" i="17"/>
  <c r="I21" i="17"/>
  <c r="G21" i="17"/>
  <c r="E21" i="17"/>
  <c r="C21" i="17"/>
  <c r="AQ20" i="17"/>
  <c r="AI20" i="17"/>
  <c r="I20" i="17"/>
  <c r="AQ19" i="17"/>
  <c r="AI19" i="17"/>
  <c r="AQ18" i="17"/>
  <c r="B47" i="17" s="1"/>
  <c r="AQ34" i="17" s="1"/>
  <c r="AI18" i="17"/>
  <c r="I18" i="17"/>
  <c r="AI17" i="17"/>
  <c r="AI16" i="17"/>
  <c r="AI15" i="17"/>
  <c r="AQ14" i="17"/>
  <c r="AI14" i="17"/>
  <c r="I14" i="17"/>
  <c r="AQ13" i="17"/>
  <c r="AI13" i="17"/>
  <c r="AQ12" i="17"/>
  <c r="B44" i="17" s="1"/>
  <c r="AQ31" i="17" s="1"/>
  <c r="AI12" i="17"/>
  <c r="AI11" i="17"/>
  <c r="AB11" i="17"/>
  <c r="AA11" i="17"/>
  <c r="Z11" i="17"/>
  <c r="Y11" i="17"/>
  <c r="AI10" i="17"/>
  <c r="AB10" i="17"/>
  <c r="AA10" i="17"/>
  <c r="Z10" i="17"/>
  <c r="Y10" i="17"/>
  <c r="AI9" i="17"/>
  <c r="AJ9" i="17" s="1"/>
  <c r="AB9" i="17"/>
  <c r="AA9" i="17"/>
  <c r="Z9" i="17"/>
  <c r="Y9" i="17"/>
  <c r="AQ8" i="17"/>
  <c r="B43" i="17" s="1"/>
  <c r="AQ30" i="17" s="1"/>
  <c r="AB8" i="17"/>
  <c r="AA8" i="17"/>
  <c r="Z8" i="17"/>
  <c r="Y8" i="17"/>
  <c r="AQ7" i="17"/>
  <c r="B42" i="17" s="1"/>
  <c r="AQ29" i="17" s="1"/>
  <c r="AQ6" i="17"/>
  <c r="B41" i="17" s="1"/>
  <c r="AQ28" i="17" s="1"/>
  <c r="AO179" i="15"/>
  <c r="AN179" i="15"/>
  <c r="AM179" i="15"/>
  <c r="AL179" i="15"/>
  <c r="AK179" i="15"/>
  <c r="AJ179" i="15"/>
  <c r="AI179" i="15"/>
  <c r="AH179" i="15"/>
  <c r="AG179" i="15"/>
  <c r="AF179" i="15"/>
  <c r="AE179" i="15"/>
  <c r="AD179" i="15"/>
  <c r="AC179" i="15"/>
  <c r="AB179" i="15"/>
  <c r="AA179" i="15"/>
  <c r="Z179" i="15"/>
  <c r="Y179" i="15"/>
  <c r="X179" i="15"/>
  <c r="W179" i="15"/>
  <c r="V179" i="15"/>
  <c r="AO178" i="15"/>
  <c r="AN178" i="15"/>
  <c r="AM178" i="15"/>
  <c r="AL178" i="15"/>
  <c r="AK178" i="15"/>
  <c r="AJ178" i="15"/>
  <c r="AI178" i="15"/>
  <c r="AH178" i="15"/>
  <c r="AG178" i="15"/>
  <c r="AF178" i="15"/>
  <c r="AE178" i="15"/>
  <c r="AD178" i="15"/>
  <c r="AC178" i="15"/>
  <c r="AB178" i="15"/>
  <c r="AA178" i="15"/>
  <c r="Z178" i="15"/>
  <c r="Y178" i="15"/>
  <c r="X178" i="15"/>
  <c r="W178" i="15"/>
  <c r="V178" i="15"/>
  <c r="AO177" i="15"/>
  <c r="AN177" i="15"/>
  <c r="AM177" i="15"/>
  <c r="AL177" i="15"/>
  <c r="AK177" i="15"/>
  <c r="AJ177" i="15"/>
  <c r="AI177" i="15"/>
  <c r="AH177" i="15"/>
  <c r="AG177" i="15"/>
  <c r="AF177" i="15"/>
  <c r="AE177" i="15"/>
  <c r="AD177" i="15"/>
  <c r="AC177" i="15"/>
  <c r="AB177" i="15"/>
  <c r="AA177" i="15"/>
  <c r="Z177" i="15"/>
  <c r="Y177" i="15"/>
  <c r="X177" i="15"/>
  <c r="W177" i="15"/>
  <c r="V177" i="15"/>
  <c r="AO176" i="15"/>
  <c r="AN176" i="15"/>
  <c r="AM176" i="15"/>
  <c r="AL176" i="15"/>
  <c r="AK176" i="15"/>
  <c r="AJ176" i="15"/>
  <c r="AI176" i="15"/>
  <c r="AH176" i="15"/>
  <c r="AG176" i="15"/>
  <c r="AF176" i="15"/>
  <c r="AE176" i="15"/>
  <c r="AD176" i="15"/>
  <c r="AC176" i="15"/>
  <c r="AB176" i="15"/>
  <c r="AA176" i="15"/>
  <c r="Z176" i="15"/>
  <c r="Y176" i="15"/>
  <c r="X176" i="15"/>
  <c r="W176" i="15"/>
  <c r="V176" i="15"/>
  <c r="AO175" i="15"/>
  <c r="AN175" i="15"/>
  <c r="AM175" i="15"/>
  <c r="AL175" i="15"/>
  <c r="AK175" i="15"/>
  <c r="AJ175" i="15"/>
  <c r="AI175" i="15"/>
  <c r="AH175" i="15"/>
  <c r="AG175" i="15"/>
  <c r="AF175" i="15"/>
  <c r="AE175" i="15"/>
  <c r="AD175" i="15"/>
  <c r="AC175" i="15"/>
  <c r="AB175" i="15"/>
  <c r="AA175" i="15"/>
  <c r="Z175" i="15"/>
  <c r="Y175" i="15"/>
  <c r="X175" i="15"/>
  <c r="W175" i="15"/>
  <c r="V175" i="15"/>
  <c r="AO174" i="15"/>
  <c r="AN174" i="15"/>
  <c r="AM174" i="15"/>
  <c r="AL174" i="15"/>
  <c r="AK174" i="15"/>
  <c r="AJ174" i="15"/>
  <c r="AI174" i="15"/>
  <c r="AH174" i="15"/>
  <c r="AG174" i="15"/>
  <c r="AF174" i="15"/>
  <c r="AE174" i="15"/>
  <c r="AD174" i="15"/>
  <c r="AC174" i="15"/>
  <c r="AB174" i="15"/>
  <c r="AA174" i="15"/>
  <c r="Z174" i="15"/>
  <c r="Y174" i="15"/>
  <c r="X174" i="15"/>
  <c r="W174" i="15"/>
  <c r="V174" i="15"/>
  <c r="AO173" i="15"/>
  <c r="AN173" i="15"/>
  <c r="AM173" i="15"/>
  <c r="AL173" i="15"/>
  <c r="AK173" i="15"/>
  <c r="AJ173" i="15"/>
  <c r="AI173" i="15"/>
  <c r="AH173" i="15"/>
  <c r="AG173" i="15"/>
  <c r="AF173" i="15"/>
  <c r="AE173" i="15"/>
  <c r="AD173" i="15"/>
  <c r="AC173" i="15"/>
  <c r="AB173" i="15"/>
  <c r="AA173" i="15"/>
  <c r="Z173" i="15"/>
  <c r="Y173" i="15"/>
  <c r="X173" i="15"/>
  <c r="W173" i="15"/>
  <c r="V173" i="15"/>
  <c r="AO172" i="15"/>
  <c r="AN172" i="15"/>
  <c r="AM172" i="15"/>
  <c r="AL172" i="15"/>
  <c r="AK172" i="15"/>
  <c r="AJ172" i="15"/>
  <c r="AI172" i="15"/>
  <c r="AH172" i="15"/>
  <c r="AG172" i="15"/>
  <c r="AF172" i="15"/>
  <c r="AE172" i="15"/>
  <c r="AD172" i="15"/>
  <c r="AC172" i="15"/>
  <c r="AB172" i="15"/>
  <c r="AA172" i="15"/>
  <c r="Z172" i="15"/>
  <c r="Y172" i="15"/>
  <c r="X172" i="15"/>
  <c r="W172" i="15"/>
  <c r="V172" i="15"/>
  <c r="AO171" i="15"/>
  <c r="AN171" i="15"/>
  <c r="AM171" i="15"/>
  <c r="AL171" i="15"/>
  <c r="AK171" i="15"/>
  <c r="AJ171" i="15"/>
  <c r="AI171" i="15"/>
  <c r="AH171" i="15"/>
  <c r="AG171" i="15"/>
  <c r="AF171" i="15"/>
  <c r="AE171" i="15"/>
  <c r="AD171" i="15"/>
  <c r="AC171" i="15"/>
  <c r="AB171" i="15"/>
  <c r="AA171" i="15"/>
  <c r="Z171" i="15"/>
  <c r="Y171" i="15"/>
  <c r="X171" i="15"/>
  <c r="W171" i="15"/>
  <c r="V171" i="15"/>
  <c r="AO170" i="15"/>
  <c r="AN170" i="15"/>
  <c r="AM170" i="15"/>
  <c r="AL170" i="15"/>
  <c r="AK170" i="15"/>
  <c r="AJ170" i="15"/>
  <c r="AI170" i="15"/>
  <c r="AH170" i="15"/>
  <c r="AG170" i="15"/>
  <c r="AF170" i="15"/>
  <c r="AE170" i="15"/>
  <c r="AD170" i="15"/>
  <c r="AC170" i="15"/>
  <c r="AB170" i="15"/>
  <c r="AA170" i="15"/>
  <c r="Z170" i="15"/>
  <c r="Y170" i="15"/>
  <c r="X170" i="15"/>
  <c r="W170" i="15"/>
  <c r="V170" i="15"/>
  <c r="AO169" i="15"/>
  <c r="AN169" i="15"/>
  <c r="AM169" i="15"/>
  <c r="AL169" i="15"/>
  <c r="AK169" i="15"/>
  <c r="AJ169" i="15"/>
  <c r="AI169" i="15"/>
  <c r="AH169" i="15"/>
  <c r="AG169" i="15"/>
  <c r="AF169" i="15"/>
  <c r="AE169" i="15"/>
  <c r="AD169" i="15"/>
  <c r="AC169" i="15"/>
  <c r="AB169" i="15"/>
  <c r="AA169" i="15"/>
  <c r="Z169" i="15"/>
  <c r="Y169" i="15"/>
  <c r="X169" i="15"/>
  <c r="W169" i="15"/>
  <c r="V169" i="15"/>
  <c r="AO168" i="15"/>
  <c r="AN168" i="15"/>
  <c r="AM168" i="15"/>
  <c r="AL168" i="15"/>
  <c r="X95" i="15" s="1"/>
  <c r="AK168" i="15"/>
  <c r="AJ168" i="15"/>
  <c r="AI168" i="15"/>
  <c r="AH168" i="15"/>
  <c r="AG168" i="15"/>
  <c r="AF168" i="15"/>
  <c r="AE168" i="15"/>
  <c r="AD168" i="15"/>
  <c r="AD95" i="15" s="1"/>
  <c r="AC168" i="15"/>
  <c r="AC95" i="15" s="1"/>
  <c r="AB168" i="15"/>
  <c r="AB95" i="15" s="1"/>
  <c r="AA168" i="15"/>
  <c r="AA95" i="15" s="1"/>
  <c r="Z168" i="15"/>
  <c r="Z95" i="15" s="1"/>
  <c r="Y168" i="15"/>
  <c r="Y95" i="15" s="1"/>
  <c r="X168" i="15"/>
  <c r="W168" i="15"/>
  <c r="W95" i="15" s="1"/>
  <c r="V168" i="15"/>
  <c r="V95" i="15" s="1"/>
  <c r="AO167" i="15"/>
  <c r="AN167" i="15"/>
  <c r="AM167" i="15"/>
  <c r="AL167" i="15"/>
  <c r="X94" i="15" s="1"/>
  <c r="AK167" i="15"/>
  <c r="AJ167" i="15"/>
  <c r="AI167" i="15"/>
  <c r="AH167" i="15"/>
  <c r="AG167" i="15"/>
  <c r="AF167" i="15"/>
  <c r="AE167" i="15"/>
  <c r="AD167" i="15"/>
  <c r="AD94" i="15" s="1"/>
  <c r="AC167" i="15"/>
  <c r="AC94" i="15" s="1"/>
  <c r="AB167" i="15"/>
  <c r="AB94" i="15" s="1"/>
  <c r="AA167" i="15"/>
  <c r="AA94" i="15" s="1"/>
  <c r="Z167" i="15"/>
  <c r="Z94" i="15" s="1"/>
  <c r="Y167" i="15"/>
  <c r="Y94" i="15" s="1"/>
  <c r="X167" i="15"/>
  <c r="W167" i="15"/>
  <c r="W94" i="15" s="1"/>
  <c r="V167" i="15"/>
  <c r="V94" i="15" s="1"/>
  <c r="AO166" i="15"/>
  <c r="AN166" i="15"/>
  <c r="AM166" i="15"/>
  <c r="AL166" i="15"/>
  <c r="X93" i="15" s="1"/>
  <c r="AK166" i="15"/>
  <c r="AJ166" i="15"/>
  <c r="AI166" i="15"/>
  <c r="AH166" i="15"/>
  <c r="AG166" i="15"/>
  <c r="AF166" i="15"/>
  <c r="AE166" i="15"/>
  <c r="AD166" i="15"/>
  <c r="AD93" i="15" s="1"/>
  <c r="AC166" i="15"/>
  <c r="AC93" i="15" s="1"/>
  <c r="AB166" i="15"/>
  <c r="AA166" i="15"/>
  <c r="AA93" i="15" s="1"/>
  <c r="Z166" i="15"/>
  <c r="Z93" i="15" s="1"/>
  <c r="Y166" i="15"/>
  <c r="Y93" i="15" s="1"/>
  <c r="X166" i="15"/>
  <c r="W166" i="15"/>
  <c r="V166" i="15"/>
  <c r="V93" i="15" s="1"/>
  <c r="AO165" i="15"/>
  <c r="AN165" i="15"/>
  <c r="AM165" i="15"/>
  <c r="AL165" i="15"/>
  <c r="X92" i="15" s="1"/>
  <c r="AK165" i="15"/>
  <c r="AJ165" i="15"/>
  <c r="AI165" i="15"/>
  <c r="AH165" i="15"/>
  <c r="AG165" i="15"/>
  <c r="AF165" i="15"/>
  <c r="AE165" i="15"/>
  <c r="AD165" i="15"/>
  <c r="AD92" i="15" s="1"/>
  <c r="AC165" i="15"/>
  <c r="AC92" i="15" s="1"/>
  <c r="AB165" i="15"/>
  <c r="AB92" i="15" s="1"/>
  <c r="AA165" i="15"/>
  <c r="AA92" i="15" s="1"/>
  <c r="Z165" i="15"/>
  <c r="Z92" i="15" s="1"/>
  <c r="Y165" i="15"/>
  <c r="Y92" i="15" s="1"/>
  <c r="X165" i="15"/>
  <c r="W165" i="15"/>
  <c r="W92" i="15" s="1"/>
  <c r="V165" i="15"/>
  <c r="V92" i="15" s="1"/>
  <c r="AO164" i="15"/>
  <c r="AN164" i="15"/>
  <c r="AM164" i="15"/>
  <c r="AL164" i="15"/>
  <c r="X91" i="15" s="1"/>
  <c r="AK164" i="15"/>
  <c r="AJ164" i="15"/>
  <c r="AI164" i="15"/>
  <c r="AH164" i="15"/>
  <c r="AG164" i="15"/>
  <c r="AF164" i="15"/>
  <c r="AE164" i="15"/>
  <c r="AD164" i="15"/>
  <c r="AD91" i="15" s="1"/>
  <c r="AC164" i="15"/>
  <c r="AC91" i="15" s="1"/>
  <c r="AB164" i="15"/>
  <c r="AB91" i="15" s="1"/>
  <c r="AA164" i="15"/>
  <c r="AA91" i="15" s="1"/>
  <c r="Z164" i="15"/>
  <c r="Z91" i="15" s="1"/>
  <c r="Y164" i="15"/>
  <c r="Y91" i="15" s="1"/>
  <c r="X164" i="15"/>
  <c r="W164" i="15"/>
  <c r="W91" i="15" s="1"/>
  <c r="V164" i="15"/>
  <c r="V91" i="15" s="1"/>
  <c r="AO163" i="15"/>
  <c r="AN163" i="15"/>
  <c r="AM163" i="15"/>
  <c r="AL163" i="15"/>
  <c r="X90" i="15" s="1"/>
  <c r="AK163" i="15"/>
  <c r="AJ163" i="15"/>
  <c r="AI163" i="15"/>
  <c r="AH163" i="15"/>
  <c r="AG163" i="15"/>
  <c r="AF163" i="15"/>
  <c r="AE163" i="15"/>
  <c r="AD163" i="15"/>
  <c r="AD90" i="15" s="1"/>
  <c r="AC163" i="15"/>
  <c r="AB163" i="15"/>
  <c r="AB90" i="15" s="1"/>
  <c r="AA163" i="15"/>
  <c r="AA90" i="15" s="1"/>
  <c r="Z163" i="15"/>
  <c r="Z90" i="15" s="1"/>
  <c r="Y163" i="15"/>
  <c r="Y90" i="15" s="1"/>
  <c r="X163" i="15"/>
  <c r="W163" i="15"/>
  <c r="W90" i="15" s="1"/>
  <c r="V163" i="15"/>
  <c r="V90" i="15" s="1"/>
  <c r="AO162" i="15"/>
  <c r="AN162" i="15"/>
  <c r="AM162" i="15"/>
  <c r="AL162" i="15"/>
  <c r="X89" i="15" s="1"/>
  <c r="AK162" i="15"/>
  <c r="AJ162" i="15"/>
  <c r="AI162" i="15"/>
  <c r="AH162" i="15"/>
  <c r="AG162" i="15"/>
  <c r="AF162" i="15"/>
  <c r="AE162" i="15"/>
  <c r="AD162" i="15"/>
  <c r="AD89" i="15" s="1"/>
  <c r="AC162" i="15"/>
  <c r="AC89" i="15" s="1"/>
  <c r="AB162" i="15"/>
  <c r="AB89" i="15" s="1"/>
  <c r="AA162" i="15"/>
  <c r="AA89" i="15" s="1"/>
  <c r="Z162" i="15"/>
  <c r="Z89" i="15" s="1"/>
  <c r="Y162" i="15"/>
  <c r="X162" i="15"/>
  <c r="W162" i="15"/>
  <c r="W89" i="15" s="1"/>
  <c r="V162" i="15"/>
  <c r="V89" i="15" s="1"/>
  <c r="AO161" i="15"/>
  <c r="AN161" i="15"/>
  <c r="AM161" i="15"/>
  <c r="AL161" i="15"/>
  <c r="X88" i="15" s="1"/>
  <c r="AK161" i="15"/>
  <c r="AJ161" i="15"/>
  <c r="AI161" i="15"/>
  <c r="AH161" i="15"/>
  <c r="AG161" i="15"/>
  <c r="AF161" i="15"/>
  <c r="AE161" i="15"/>
  <c r="AD161" i="15"/>
  <c r="AD88" i="15" s="1"/>
  <c r="AC161" i="15"/>
  <c r="AC88" i="15" s="1"/>
  <c r="AB161" i="15"/>
  <c r="AB88" i="15" s="1"/>
  <c r="AA161" i="15"/>
  <c r="AA88" i="15" s="1"/>
  <c r="Z161" i="15"/>
  <c r="Z88" i="15" s="1"/>
  <c r="Y161" i="15"/>
  <c r="Y88" i="15" s="1"/>
  <c r="X161" i="15"/>
  <c r="W161" i="15"/>
  <c r="W88" i="15" s="1"/>
  <c r="V161" i="15"/>
  <c r="V88" i="15" s="1"/>
  <c r="AO160" i="15"/>
  <c r="AN160" i="15"/>
  <c r="AM160" i="15"/>
  <c r="AL160" i="15"/>
  <c r="X87" i="15" s="1"/>
  <c r="AK160" i="15"/>
  <c r="AJ160" i="15"/>
  <c r="AI160" i="15"/>
  <c r="AH160" i="15"/>
  <c r="AG160" i="15"/>
  <c r="AF160" i="15"/>
  <c r="AE160" i="15"/>
  <c r="AD160" i="15"/>
  <c r="AD87" i="15" s="1"/>
  <c r="AC160" i="15"/>
  <c r="AC87" i="15" s="1"/>
  <c r="AB160" i="15"/>
  <c r="AB87" i="15" s="1"/>
  <c r="AA160" i="15"/>
  <c r="AA87" i="15" s="1"/>
  <c r="Z160" i="15"/>
  <c r="Z87" i="15" s="1"/>
  <c r="Y160" i="15"/>
  <c r="Y87" i="15" s="1"/>
  <c r="X160" i="15"/>
  <c r="W160" i="15"/>
  <c r="W87" i="15" s="1"/>
  <c r="V160" i="15"/>
  <c r="V87" i="15" s="1"/>
  <c r="AO159" i="15"/>
  <c r="AN159" i="15"/>
  <c r="AM159" i="15"/>
  <c r="AL159" i="15"/>
  <c r="AK159" i="15"/>
  <c r="AJ159" i="15"/>
  <c r="AI159" i="15"/>
  <c r="AH159" i="15"/>
  <c r="AG159" i="15"/>
  <c r="AF159" i="15"/>
  <c r="AE159" i="15"/>
  <c r="AD159" i="15"/>
  <c r="AC159" i="15"/>
  <c r="AB159" i="15"/>
  <c r="AA159" i="15"/>
  <c r="Z159" i="15"/>
  <c r="Y159" i="15"/>
  <c r="X159" i="15"/>
  <c r="W159" i="15"/>
  <c r="V159" i="15"/>
  <c r="AO158" i="15"/>
  <c r="AN158" i="15"/>
  <c r="AM158" i="15"/>
  <c r="AL158" i="15"/>
  <c r="AK158" i="15"/>
  <c r="AJ158" i="15"/>
  <c r="AI158" i="15"/>
  <c r="AH158" i="15"/>
  <c r="AG158" i="15"/>
  <c r="AF158" i="15"/>
  <c r="AE158" i="15"/>
  <c r="AD158" i="15"/>
  <c r="AC158" i="15"/>
  <c r="AB158" i="15"/>
  <c r="AA158" i="15"/>
  <c r="Z158" i="15"/>
  <c r="Y158" i="15"/>
  <c r="X158" i="15"/>
  <c r="W158" i="15"/>
  <c r="V158" i="15"/>
  <c r="AO157" i="15"/>
  <c r="AN157" i="15"/>
  <c r="AM157" i="15"/>
  <c r="AL157" i="15"/>
  <c r="AK157" i="15"/>
  <c r="AJ157" i="15"/>
  <c r="AI157" i="15"/>
  <c r="AH157" i="15"/>
  <c r="AG157" i="15"/>
  <c r="AF157" i="15"/>
  <c r="AE157" i="15"/>
  <c r="AD157" i="15"/>
  <c r="AC157" i="15"/>
  <c r="AB157" i="15"/>
  <c r="AA157" i="15"/>
  <c r="Z157" i="15"/>
  <c r="Y157" i="15"/>
  <c r="X157" i="15"/>
  <c r="W157" i="15"/>
  <c r="V157" i="15"/>
  <c r="AO156" i="15"/>
  <c r="AN156" i="15"/>
  <c r="AM156" i="15"/>
  <c r="AL156" i="15"/>
  <c r="AK156" i="15"/>
  <c r="AJ156" i="15"/>
  <c r="AI156" i="15"/>
  <c r="AH156" i="15"/>
  <c r="AG156" i="15"/>
  <c r="AF156" i="15"/>
  <c r="AE156" i="15"/>
  <c r="AD156" i="15"/>
  <c r="AC156" i="15"/>
  <c r="AB156" i="15"/>
  <c r="AA156" i="15"/>
  <c r="Z156" i="15"/>
  <c r="Y156" i="15"/>
  <c r="X156" i="15"/>
  <c r="W156" i="15"/>
  <c r="V156" i="15"/>
  <c r="AO155" i="15"/>
  <c r="AN155" i="15"/>
  <c r="AM155" i="15"/>
  <c r="AL155" i="15"/>
  <c r="AK155" i="15"/>
  <c r="AJ155" i="15"/>
  <c r="AI155" i="15"/>
  <c r="AH155" i="15"/>
  <c r="AG155" i="15"/>
  <c r="AF155" i="15"/>
  <c r="AE155" i="15"/>
  <c r="AD155" i="15"/>
  <c r="AC155" i="15"/>
  <c r="AB155" i="15"/>
  <c r="AA155" i="15"/>
  <c r="Z155" i="15"/>
  <c r="Y155" i="15"/>
  <c r="X155" i="15"/>
  <c r="W155" i="15"/>
  <c r="V155" i="15"/>
  <c r="AO154" i="15"/>
  <c r="AN154" i="15"/>
  <c r="AM154" i="15"/>
  <c r="AL154" i="15"/>
  <c r="AK154" i="15"/>
  <c r="AJ154" i="15"/>
  <c r="AI154" i="15"/>
  <c r="AH154" i="15"/>
  <c r="AG154" i="15"/>
  <c r="AF154" i="15"/>
  <c r="AE154" i="15"/>
  <c r="AD154" i="15"/>
  <c r="AC154" i="15"/>
  <c r="AB154" i="15"/>
  <c r="AA154" i="15"/>
  <c r="Z154" i="15"/>
  <c r="Y154" i="15"/>
  <c r="X154" i="15"/>
  <c r="W154" i="15"/>
  <c r="V154" i="15"/>
  <c r="AO153" i="15"/>
  <c r="AN153" i="15"/>
  <c r="AM153" i="15"/>
  <c r="AL153" i="15"/>
  <c r="AK153" i="15"/>
  <c r="AJ153" i="15"/>
  <c r="AI153" i="15"/>
  <c r="AH153" i="15"/>
  <c r="AG153" i="15"/>
  <c r="AF153" i="15"/>
  <c r="AE153" i="15"/>
  <c r="AD153" i="15"/>
  <c r="AC153" i="15"/>
  <c r="AB153" i="15"/>
  <c r="AA153" i="15"/>
  <c r="Z153" i="15"/>
  <c r="Y153" i="15"/>
  <c r="X153" i="15"/>
  <c r="W153" i="15"/>
  <c r="V153" i="15"/>
  <c r="AO152" i="15"/>
  <c r="AN152" i="15"/>
  <c r="AM152" i="15"/>
  <c r="AL152" i="15"/>
  <c r="AK152" i="15"/>
  <c r="AJ152" i="15"/>
  <c r="AI152" i="15"/>
  <c r="AH152" i="15"/>
  <c r="AG152" i="15"/>
  <c r="AF152" i="15"/>
  <c r="AE152" i="15"/>
  <c r="AD152" i="15"/>
  <c r="AC152" i="15"/>
  <c r="AB152" i="15"/>
  <c r="AA152" i="15"/>
  <c r="Z152" i="15"/>
  <c r="Y152" i="15"/>
  <c r="X152" i="15"/>
  <c r="W152" i="15"/>
  <c r="V152" i="15"/>
  <c r="AO151" i="15"/>
  <c r="AN151" i="15"/>
  <c r="AM151" i="15"/>
  <c r="AL151" i="15"/>
  <c r="AK151" i="15"/>
  <c r="AJ151" i="15"/>
  <c r="AI151" i="15"/>
  <c r="AH151" i="15"/>
  <c r="AG151" i="15"/>
  <c r="AF151" i="15"/>
  <c r="AE151" i="15"/>
  <c r="AD151" i="15"/>
  <c r="AC151" i="15"/>
  <c r="AB151" i="15"/>
  <c r="AA151" i="15"/>
  <c r="Z151" i="15"/>
  <c r="Y151" i="15"/>
  <c r="X151" i="15"/>
  <c r="W151" i="15"/>
  <c r="V151" i="15"/>
  <c r="AO150" i="15"/>
  <c r="AN150" i="15"/>
  <c r="AM150" i="15"/>
  <c r="AL150" i="15"/>
  <c r="AK150" i="15"/>
  <c r="AJ150" i="15"/>
  <c r="AI150" i="15"/>
  <c r="AH150" i="15"/>
  <c r="AG150" i="15"/>
  <c r="AF150" i="15"/>
  <c r="AE150" i="15"/>
  <c r="AD150" i="15"/>
  <c r="AC150" i="15"/>
  <c r="AB150" i="15"/>
  <c r="AA150" i="15"/>
  <c r="Z150" i="15"/>
  <c r="Y150" i="15"/>
  <c r="X150" i="15"/>
  <c r="W150" i="15"/>
  <c r="V150" i="15"/>
  <c r="AO149" i="15"/>
  <c r="AN149" i="15"/>
  <c r="AM149" i="15"/>
  <c r="AL149" i="15"/>
  <c r="AK149" i="15"/>
  <c r="AJ149" i="15"/>
  <c r="AI149" i="15"/>
  <c r="AH149" i="15"/>
  <c r="AG149" i="15"/>
  <c r="AF149" i="15"/>
  <c r="AE149" i="15"/>
  <c r="AD149" i="15"/>
  <c r="AC149" i="15"/>
  <c r="AB149" i="15"/>
  <c r="AA149" i="15"/>
  <c r="Z149" i="15"/>
  <c r="Y149" i="15"/>
  <c r="X149" i="15"/>
  <c r="W149" i="15"/>
  <c r="V149" i="15"/>
  <c r="AO148" i="15"/>
  <c r="AN148" i="15"/>
  <c r="AM148" i="15"/>
  <c r="AL148" i="15"/>
  <c r="AK148" i="15"/>
  <c r="AJ148" i="15"/>
  <c r="AI148" i="15"/>
  <c r="AH148" i="15"/>
  <c r="AG148" i="15"/>
  <c r="AF148" i="15"/>
  <c r="AE148" i="15"/>
  <c r="AD148" i="15"/>
  <c r="AC148" i="15"/>
  <c r="AB148" i="15"/>
  <c r="AA148" i="15"/>
  <c r="Z148" i="15"/>
  <c r="Y148" i="15"/>
  <c r="X148" i="15"/>
  <c r="W148" i="15"/>
  <c r="V148" i="15"/>
  <c r="AO147" i="15"/>
  <c r="AN147" i="15"/>
  <c r="AM147" i="15"/>
  <c r="AL147" i="15"/>
  <c r="AK147" i="15"/>
  <c r="AJ147" i="15"/>
  <c r="AI147" i="15"/>
  <c r="AH147" i="15"/>
  <c r="AG147" i="15"/>
  <c r="AF147" i="15"/>
  <c r="AE147" i="15"/>
  <c r="AD147" i="15"/>
  <c r="AC147" i="15"/>
  <c r="AB147" i="15"/>
  <c r="AA147" i="15"/>
  <c r="Z147" i="15"/>
  <c r="Y147" i="15"/>
  <c r="X147" i="15"/>
  <c r="W147" i="15"/>
  <c r="V147" i="15"/>
  <c r="AO146" i="15"/>
  <c r="AN146" i="15"/>
  <c r="AM146" i="15"/>
  <c r="AL146" i="15"/>
  <c r="AK146" i="15"/>
  <c r="AJ146" i="15"/>
  <c r="AI146" i="15"/>
  <c r="AH146" i="15"/>
  <c r="AG146" i="15"/>
  <c r="AF146" i="15"/>
  <c r="AE146" i="15"/>
  <c r="AD146" i="15"/>
  <c r="AC146" i="15"/>
  <c r="AB146" i="15"/>
  <c r="AA146" i="15"/>
  <c r="Z146" i="15"/>
  <c r="Y146" i="15"/>
  <c r="X146" i="15"/>
  <c r="W146" i="15"/>
  <c r="V146" i="15"/>
  <c r="AO145" i="15"/>
  <c r="AN145" i="15"/>
  <c r="AM145" i="15"/>
  <c r="AL145" i="15"/>
  <c r="AK145" i="15"/>
  <c r="AJ145" i="15"/>
  <c r="AI145" i="15"/>
  <c r="AH145" i="15"/>
  <c r="AG145" i="15"/>
  <c r="AF145" i="15"/>
  <c r="AE145" i="15"/>
  <c r="AD145" i="15"/>
  <c r="AC145" i="15"/>
  <c r="AB145" i="15"/>
  <c r="AA145" i="15"/>
  <c r="Z145" i="15"/>
  <c r="Y145" i="15"/>
  <c r="X145" i="15"/>
  <c r="W145" i="15"/>
  <c r="V145" i="15"/>
  <c r="AO144" i="15"/>
  <c r="AN144" i="15"/>
  <c r="AM144" i="15"/>
  <c r="AL144" i="15"/>
  <c r="AK144" i="15"/>
  <c r="AJ144" i="15"/>
  <c r="AI144" i="15"/>
  <c r="AH144" i="15"/>
  <c r="AG144" i="15"/>
  <c r="AF144" i="15"/>
  <c r="AE144" i="15"/>
  <c r="AD144" i="15"/>
  <c r="AC144" i="15"/>
  <c r="AB144" i="15"/>
  <c r="AA144" i="15"/>
  <c r="Z144" i="15"/>
  <c r="Y144" i="15"/>
  <c r="X144" i="15"/>
  <c r="W144" i="15"/>
  <c r="V144" i="15"/>
  <c r="AO143" i="15"/>
  <c r="AN143" i="15"/>
  <c r="AM143" i="15"/>
  <c r="AL143" i="15"/>
  <c r="AK143" i="15"/>
  <c r="AJ143" i="15"/>
  <c r="AI143" i="15"/>
  <c r="AH143" i="15"/>
  <c r="AG143" i="15"/>
  <c r="AF143" i="15"/>
  <c r="AE143" i="15"/>
  <c r="AD143" i="15"/>
  <c r="AC143" i="15"/>
  <c r="AB143" i="15"/>
  <c r="AA143" i="15"/>
  <c r="Z143" i="15"/>
  <c r="Y143" i="15"/>
  <c r="X143" i="15"/>
  <c r="W143" i="15"/>
  <c r="V143" i="15"/>
  <c r="AO142" i="15"/>
  <c r="AN142" i="15"/>
  <c r="AM142" i="15"/>
  <c r="AL142" i="15"/>
  <c r="AK142" i="15"/>
  <c r="AJ142" i="15"/>
  <c r="AI142" i="15"/>
  <c r="AH142" i="15"/>
  <c r="AG142" i="15"/>
  <c r="AF142" i="15"/>
  <c r="AE142" i="15"/>
  <c r="AD142" i="15"/>
  <c r="AC142" i="15"/>
  <c r="AB142" i="15"/>
  <c r="AA142" i="15"/>
  <c r="Z142" i="15"/>
  <c r="Y142" i="15"/>
  <c r="X142" i="15"/>
  <c r="W142" i="15"/>
  <c r="V142" i="15"/>
  <c r="AO141" i="15"/>
  <c r="AN141" i="15"/>
  <c r="AM141" i="15"/>
  <c r="AL141" i="15"/>
  <c r="AK141" i="15"/>
  <c r="AJ141" i="15"/>
  <c r="AI141" i="15"/>
  <c r="AH141" i="15"/>
  <c r="AG141" i="15"/>
  <c r="AF141" i="15"/>
  <c r="AE141" i="15"/>
  <c r="AD141" i="15"/>
  <c r="AC141" i="15"/>
  <c r="AB141" i="15"/>
  <c r="AA141" i="15"/>
  <c r="Z141" i="15"/>
  <c r="Y141" i="15"/>
  <c r="X141" i="15"/>
  <c r="W141" i="15"/>
  <c r="V141" i="15"/>
  <c r="AO140" i="15"/>
  <c r="AN140" i="15"/>
  <c r="AM140" i="15"/>
  <c r="AL140" i="15"/>
  <c r="AK140" i="15"/>
  <c r="AJ140" i="15"/>
  <c r="AI140" i="15"/>
  <c r="AH140" i="15"/>
  <c r="AG140" i="15"/>
  <c r="AF140" i="15"/>
  <c r="AE140" i="15"/>
  <c r="AD140" i="15"/>
  <c r="AC140" i="15"/>
  <c r="AB140" i="15"/>
  <c r="AA140" i="15"/>
  <c r="Z140" i="15"/>
  <c r="Y140" i="15"/>
  <c r="X140" i="15"/>
  <c r="W140" i="15"/>
  <c r="V140" i="15"/>
  <c r="AO139" i="15"/>
  <c r="AN139" i="15"/>
  <c r="AM139" i="15"/>
  <c r="AL139" i="15"/>
  <c r="AK139" i="15"/>
  <c r="AJ139" i="15"/>
  <c r="AI139" i="15"/>
  <c r="AH139" i="15"/>
  <c r="AG139" i="15"/>
  <c r="AF139" i="15"/>
  <c r="AE139" i="15"/>
  <c r="AD139" i="15"/>
  <c r="AC139" i="15"/>
  <c r="AB139" i="15"/>
  <c r="AA139" i="15"/>
  <c r="Z139" i="15"/>
  <c r="Y139" i="15"/>
  <c r="X139" i="15"/>
  <c r="W139" i="15"/>
  <c r="V139" i="15"/>
  <c r="AO138" i="15"/>
  <c r="AN138" i="15"/>
  <c r="AM138" i="15"/>
  <c r="AL138" i="15"/>
  <c r="AK138" i="15"/>
  <c r="AJ138" i="15"/>
  <c r="AI138" i="15"/>
  <c r="AH138" i="15"/>
  <c r="AG138" i="15"/>
  <c r="AF138" i="15"/>
  <c r="AE138" i="15"/>
  <c r="AD138" i="15"/>
  <c r="AC138" i="15"/>
  <c r="AB138" i="15"/>
  <c r="AA138" i="15"/>
  <c r="Z138" i="15"/>
  <c r="Y138" i="15"/>
  <c r="X138" i="15"/>
  <c r="W138" i="15"/>
  <c r="V138" i="15"/>
  <c r="AO137" i="15"/>
  <c r="AN137" i="15"/>
  <c r="AM137" i="15"/>
  <c r="AL137" i="15"/>
  <c r="AK137" i="15"/>
  <c r="AJ137" i="15"/>
  <c r="AI137" i="15"/>
  <c r="AH137" i="15"/>
  <c r="AG137" i="15"/>
  <c r="AF137" i="15"/>
  <c r="AE137" i="15"/>
  <c r="AD137" i="15"/>
  <c r="AC137" i="15"/>
  <c r="AB137" i="15"/>
  <c r="AA137" i="15"/>
  <c r="Z137" i="15"/>
  <c r="Y137" i="15"/>
  <c r="X137" i="15"/>
  <c r="W137" i="15"/>
  <c r="V137" i="15"/>
  <c r="AO136" i="15"/>
  <c r="AN136" i="15"/>
  <c r="AM136" i="15"/>
  <c r="AL136" i="15"/>
  <c r="AK136" i="15"/>
  <c r="AJ136" i="15"/>
  <c r="AI136" i="15"/>
  <c r="AH136" i="15"/>
  <c r="AG136" i="15"/>
  <c r="AF136" i="15"/>
  <c r="AE136" i="15"/>
  <c r="AD136" i="15"/>
  <c r="AC136" i="15"/>
  <c r="AB136" i="15"/>
  <c r="AA136" i="15"/>
  <c r="Z136" i="15"/>
  <c r="Y136" i="15"/>
  <c r="X136" i="15"/>
  <c r="W136" i="15"/>
  <c r="V136" i="15"/>
  <c r="AO135" i="15"/>
  <c r="AN135" i="15"/>
  <c r="AM135" i="15"/>
  <c r="AL135" i="15"/>
  <c r="AK135" i="15"/>
  <c r="AJ135" i="15"/>
  <c r="AI135" i="15"/>
  <c r="AH135" i="15"/>
  <c r="AG135" i="15"/>
  <c r="AF135" i="15"/>
  <c r="AE135" i="15"/>
  <c r="AD135" i="15"/>
  <c r="AC135" i="15"/>
  <c r="AB135" i="15"/>
  <c r="AA135" i="15"/>
  <c r="Z135" i="15"/>
  <c r="Y135" i="15"/>
  <c r="X135" i="15"/>
  <c r="W135" i="15"/>
  <c r="V135" i="15"/>
  <c r="AO134" i="15"/>
  <c r="AN134" i="15"/>
  <c r="AM134" i="15"/>
  <c r="AL134" i="15"/>
  <c r="AK134" i="15"/>
  <c r="AJ134" i="15"/>
  <c r="AI134" i="15"/>
  <c r="AH134" i="15"/>
  <c r="AG134" i="15"/>
  <c r="AF134" i="15"/>
  <c r="AE134" i="15"/>
  <c r="AD134" i="15"/>
  <c r="AC134" i="15"/>
  <c r="AB134" i="15"/>
  <c r="AA134" i="15"/>
  <c r="Z134" i="15"/>
  <c r="Y134" i="15"/>
  <c r="X134" i="15"/>
  <c r="W134" i="15"/>
  <c r="V134" i="15"/>
  <c r="AO133" i="15"/>
  <c r="AN133" i="15"/>
  <c r="AM133" i="15"/>
  <c r="AL133" i="15"/>
  <c r="AK133" i="15"/>
  <c r="AJ133" i="15"/>
  <c r="AI133" i="15"/>
  <c r="AH133" i="15"/>
  <c r="AG133" i="15"/>
  <c r="AF133" i="15"/>
  <c r="AE133" i="15"/>
  <c r="AD133" i="15"/>
  <c r="AC133" i="15"/>
  <c r="AB133" i="15"/>
  <c r="AA133" i="15"/>
  <c r="Z133" i="15"/>
  <c r="Y133" i="15"/>
  <c r="X133" i="15"/>
  <c r="W133" i="15"/>
  <c r="V133" i="15"/>
  <c r="AO132" i="15"/>
  <c r="AN132" i="15"/>
  <c r="AM132" i="15"/>
  <c r="AL132" i="15"/>
  <c r="AK132" i="15"/>
  <c r="AJ132" i="15"/>
  <c r="AI132" i="15"/>
  <c r="AH132" i="15"/>
  <c r="AG132" i="15"/>
  <c r="AF132" i="15"/>
  <c r="AE132" i="15"/>
  <c r="AD132" i="15"/>
  <c r="AC132" i="15"/>
  <c r="AB132" i="15"/>
  <c r="AA132" i="15"/>
  <c r="Z132" i="15"/>
  <c r="Y132" i="15"/>
  <c r="X132" i="15"/>
  <c r="W132" i="15"/>
  <c r="V132" i="15"/>
  <c r="AO131" i="15"/>
  <c r="AN131" i="15"/>
  <c r="AM131" i="15"/>
  <c r="AL131" i="15"/>
  <c r="AK131" i="15"/>
  <c r="AJ131" i="15"/>
  <c r="AI131" i="15"/>
  <c r="AH131" i="15"/>
  <c r="AG131" i="15"/>
  <c r="AF131" i="15"/>
  <c r="AE131" i="15"/>
  <c r="AD131" i="15"/>
  <c r="AC131" i="15"/>
  <c r="AB131" i="15"/>
  <c r="AA131" i="15"/>
  <c r="Z131" i="15"/>
  <c r="Y131" i="15"/>
  <c r="X131" i="15"/>
  <c r="W131" i="15"/>
  <c r="V131" i="15"/>
  <c r="AO130" i="15"/>
  <c r="AN130" i="15"/>
  <c r="AM130" i="15"/>
  <c r="AL130" i="15"/>
  <c r="AK130" i="15"/>
  <c r="AJ130" i="15"/>
  <c r="AI130" i="15"/>
  <c r="AH130" i="15"/>
  <c r="AG130" i="15"/>
  <c r="AF130" i="15"/>
  <c r="AE130" i="15"/>
  <c r="AD130" i="15"/>
  <c r="AC130" i="15"/>
  <c r="AB130" i="15"/>
  <c r="AA130" i="15"/>
  <c r="Z130" i="15"/>
  <c r="Y130" i="15"/>
  <c r="X130" i="15"/>
  <c r="W130" i="15"/>
  <c r="V130" i="15"/>
  <c r="AO129" i="15"/>
  <c r="AN129" i="15"/>
  <c r="AM129" i="15"/>
  <c r="AL129" i="15"/>
  <c r="AK129" i="15"/>
  <c r="AJ129" i="15"/>
  <c r="AI129" i="15"/>
  <c r="AH129" i="15"/>
  <c r="AG129" i="15"/>
  <c r="AF129" i="15"/>
  <c r="AE129" i="15"/>
  <c r="AD129" i="15"/>
  <c r="AC129" i="15"/>
  <c r="AB129" i="15"/>
  <c r="AA129" i="15"/>
  <c r="Z129" i="15"/>
  <c r="Y129" i="15"/>
  <c r="X129" i="15"/>
  <c r="W129" i="15"/>
  <c r="V129" i="15"/>
  <c r="AO128" i="15"/>
  <c r="AN128" i="15"/>
  <c r="AM128" i="15"/>
  <c r="AL128" i="15"/>
  <c r="AK128" i="15"/>
  <c r="AJ128" i="15"/>
  <c r="AI128" i="15"/>
  <c r="AH128" i="15"/>
  <c r="AG128" i="15"/>
  <c r="AF128" i="15"/>
  <c r="AE128" i="15"/>
  <c r="AD128" i="15"/>
  <c r="AC128" i="15"/>
  <c r="AB128" i="15"/>
  <c r="AA128" i="15"/>
  <c r="Z128" i="15"/>
  <c r="Y128" i="15"/>
  <c r="X128" i="15"/>
  <c r="W128" i="15"/>
  <c r="V128" i="15"/>
  <c r="AO127" i="15"/>
  <c r="AN127" i="15"/>
  <c r="AM127" i="15"/>
  <c r="AL127" i="15"/>
  <c r="AK127" i="15"/>
  <c r="AJ127" i="15"/>
  <c r="AI127" i="15"/>
  <c r="AH127" i="15"/>
  <c r="AG127" i="15"/>
  <c r="AF127" i="15"/>
  <c r="AE127" i="15"/>
  <c r="AD127" i="15"/>
  <c r="AC127" i="15"/>
  <c r="AB127" i="15"/>
  <c r="AA127" i="15"/>
  <c r="Z127" i="15"/>
  <c r="Y127" i="15"/>
  <c r="X127" i="15"/>
  <c r="W127" i="15"/>
  <c r="V127" i="15"/>
  <c r="AO126" i="15"/>
  <c r="AN126" i="15"/>
  <c r="AM126" i="15"/>
  <c r="AL126" i="15"/>
  <c r="AK126" i="15"/>
  <c r="AJ126" i="15"/>
  <c r="AI126" i="15"/>
  <c r="AH126" i="15"/>
  <c r="AG126" i="15"/>
  <c r="AF126" i="15"/>
  <c r="AE126" i="15"/>
  <c r="AD126" i="15"/>
  <c r="AC126" i="15"/>
  <c r="AB126" i="15"/>
  <c r="AA126" i="15"/>
  <c r="Z126" i="15"/>
  <c r="Y126" i="15"/>
  <c r="X126" i="15"/>
  <c r="W126" i="15"/>
  <c r="V126" i="15"/>
  <c r="AO125" i="15"/>
  <c r="AN125" i="15"/>
  <c r="AM125" i="15"/>
  <c r="AL125" i="15"/>
  <c r="AK125" i="15"/>
  <c r="AJ125" i="15"/>
  <c r="AI125" i="15"/>
  <c r="AH125" i="15"/>
  <c r="AG125" i="15"/>
  <c r="AF125" i="15"/>
  <c r="AE125" i="15"/>
  <c r="AD125" i="15"/>
  <c r="AC125" i="15"/>
  <c r="AB125" i="15"/>
  <c r="AA125" i="15"/>
  <c r="Z125" i="15"/>
  <c r="Y125" i="15"/>
  <c r="X125" i="15"/>
  <c r="W125" i="15"/>
  <c r="V125" i="15"/>
  <c r="AO124" i="15"/>
  <c r="AN124" i="15"/>
  <c r="AM124" i="15"/>
  <c r="AL124" i="15"/>
  <c r="AK124" i="15"/>
  <c r="AJ124" i="15"/>
  <c r="AI124" i="15"/>
  <c r="AH124" i="15"/>
  <c r="AG124" i="15"/>
  <c r="AF124" i="15"/>
  <c r="AE124" i="15"/>
  <c r="AD124" i="15"/>
  <c r="AC124" i="15"/>
  <c r="AB124" i="15"/>
  <c r="AA124" i="15"/>
  <c r="Z124" i="15"/>
  <c r="Y124" i="15"/>
  <c r="X124" i="15"/>
  <c r="W124" i="15"/>
  <c r="V124" i="15"/>
  <c r="AO123" i="15"/>
  <c r="AN123" i="15"/>
  <c r="AM123" i="15"/>
  <c r="AL123" i="15"/>
  <c r="AK123" i="15"/>
  <c r="AJ123" i="15"/>
  <c r="AI123" i="15"/>
  <c r="AH123" i="15"/>
  <c r="AG123" i="15"/>
  <c r="AF123" i="15"/>
  <c r="AE123" i="15"/>
  <c r="AD123" i="15"/>
  <c r="AC123" i="15"/>
  <c r="AB123" i="15"/>
  <c r="AA123" i="15"/>
  <c r="Z123" i="15"/>
  <c r="Y123" i="15"/>
  <c r="X123" i="15"/>
  <c r="W123" i="15"/>
  <c r="V123" i="15"/>
  <c r="AO122" i="15"/>
  <c r="AN122" i="15"/>
  <c r="AM122" i="15"/>
  <c r="AL122" i="15"/>
  <c r="AK122" i="15"/>
  <c r="AJ122" i="15"/>
  <c r="AI122" i="15"/>
  <c r="AH122" i="15"/>
  <c r="AG122" i="15"/>
  <c r="AF122" i="15"/>
  <c r="AE122" i="15"/>
  <c r="AD122" i="15"/>
  <c r="AC122" i="15"/>
  <c r="AB122" i="15"/>
  <c r="AA122" i="15"/>
  <c r="Z122" i="15"/>
  <c r="Y122" i="15"/>
  <c r="X122" i="15"/>
  <c r="W122" i="15"/>
  <c r="V122" i="15"/>
  <c r="AO121" i="15"/>
  <c r="AN121" i="15"/>
  <c r="AM121" i="15"/>
  <c r="AL121" i="15"/>
  <c r="AK121" i="15"/>
  <c r="AJ121" i="15"/>
  <c r="AI121" i="15"/>
  <c r="AH121" i="15"/>
  <c r="AG121" i="15"/>
  <c r="AF121" i="15"/>
  <c r="AE121" i="15"/>
  <c r="AD121" i="15"/>
  <c r="AC121" i="15"/>
  <c r="AB121" i="15"/>
  <c r="AA121" i="15"/>
  <c r="Z121" i="15"/>
  <c r="Y121" i="15"/>
  <c r="X121" i="15"/>
  <c r="W121" i="15"/>
  <c r="V121" i="15"/>
  <c r="AO120" i="15"/>
  <c r="AN120" i="15"/>
  <c r="AM120" i="15"/>
  <c r="AL120" i="15"/>
  <c r="AK120" i="15"/>
  <c r="AJ120" i="15"/>
  <c r="AI120" i="15"/>
  <c r="AH120" i="15"/>
  <c r="AG120" i="15"/>
  <c r="AF120" i="15"/>
  <c r="AE120" i="15"/>
  <c r="AD120" i="15"/>
  <c r="AC120" i="15"/>
  <c r="AB120" i="15"/>
  <c r="AA120" i="15"/>
  <c r="Z120" i="15"/>
  <c r="Y120" i="15"/>
  <c r="X120" i="15"/>
  <c r="W120" i="15"/>
  <c r="V120" i="15"/>
  <c r="AO119" i="15"/>
  <c r="AN119" i="15"/>
  <c r="AM119" i="15"/>
  <c r="AL119" i="15"/>
  <c r="AK119" i="15"/>
  <c r="AJ119" i="15"/>
  <c r="AI119" i="15"/>
  <c r="AH119" i="15"/>
  <c r="AG119" i="15"/>
  <c r="AF119" i="15"/>
  <c r="AE119" i="15"/>
  <c r="AD119" i="15"/>
  <c r="AC119" i="15"/>
  <c r="AB119" i="15"/>
  <c r="AA119" i="15"/>
  <c r="Z119" i="15"/>
  <c r="Y119" i="15"/>
  <c r="X119" i="15"/>
  <c r="W119" i="15"/>
  <c r="V119" i="15"/>
  <c r="AO118" i="15"/>
  <c r="AN118" i="15"/>
  <c r="AM118" i="15"/>
  <c r="AL118" i="15"/>
  <c r="AK118" i="15"/>
  <c r="AJ118" i="15"/>
  <c r="AI118" i="15"/>
  <c r="AH118" i="15"/>
  <c r="AG118" i="15"/>
  <c r="AF118" i="15"/>
  <c r="AE118" i="15"/>
  <c r="AD118" i="15"/>
  <c r="AC118" i="15"/>
  <c r="AB118" i="15"/>
  <c r="AA118" i="15"/>
  <c r="Z118" i="15"/>
  <c r="Y118" i="15"/>
  <c r="X118" i="15"/>
  <c r="W118" i="15"/>
  <c r="V118" i="15"/>
  <c r="AO117" i="15"/>
  <c r="AN117" i="15"/>
  <c r="AM117" i="15"/>
  <c r="AL117" i="15"/>
  <c r="AK117" i="15"/>
  <c r="AJ117" i="15"/>
  <c r="AI117" i="15"/>
  <c r="AH117" i="15"/>
  <c r="AG117" i="15"/>
  <c r="AF117" i="15"/>
  <c r="AE117" i="15"/>
  <c r="AD117" i="15"/>
  <c r="AC117" i="15"/>
  <c r="AB117" i="15"/>
  <c r="AA117" i="15"/>
  <c r="Z117" i="15"/>
  <c r="Y117" i="15"/>
  <c r="X117" i="15"/>
  <c r="W117" i="15"/>
  <c r="V117" i="15"/>
  <c r="AO116" i="15"/>
  <c r="AN116" i="15"/>
  <c r="AM116" i="15"/>
  <c r="AL116" i="15"/>
  <c r="AK116" i="15"/>
  <c r="AJ116" i="15"/>
  <c r="AI116" i="15"/>
  <c r="AH116" i="15"/>
  <c r="AG116" i="15"/>
  <c r="AF116" i="15"/>
  <c r="AE116" i="15"/>
  <c r="AD116" i="15"/>
  <c r="AC116" i="15"/>
  <c r="AB116" i="15"/>
  <c r="AA116" i="15"/>
  <c r="Z116" i="15"/>
  <c r="Y116" i="15"/>
  <c r="X116" i="15"/>
  <c r="W116" i="15"/>
  <c r="V116" i="15"/>
  <c r="AO115" i="15"/>
  <c r="AN115" i="15"/>
  <c r="AM115" i="15"/>
  <c r="AL115" i="15"/>
  <c r="AK115" i="15"/>
  <c r="AJ115" i="15"/>
  <c r="AI115" i="15"/>
  <c r="AH115" i="15"/>
  <c r="AG115" i="15"/>
  <c r="AF115" i="15"/>
  <c r="AE115" i="15"/>
  <c r="AD115" i="15"/>
  <c r="AC115" i="15"/>
  <c r="AB115" i="15"/>
  <c r="AA115" i="15"/>
  <c r="Z115" i="15"/>
  <c r="Y115" i="15"/>
  <c r="X115" i="15"/>
  <c r="W115" i="15"/>
  <c r="V115" i="15"/>
  <c r="AO114" i="15"/>
  <c r="AN114" i="15"/>
  <c r="AM114" i="15"/>
  <c r="AL114" i="15"/>
  <c r="AK114" i="15"/>
  <c r="AJ114" i="15"/>
  <c r="AI114" i="15"/>
  <c r="AH114" i="15"/>
  <c r="AG114" i="15"/>
  <c r="AF114" i="15"/>
  <c r="AE114" i="15"/>
  <c r="AD114" i="15"/>
  <c r="AC114" i="15"/>
  <c r="AB114" i="15"/>
  <c r="AA114" i="15"/>
  <c r="Z114" i="15"/>
  <c r="Y114" i="15"/>
  <c r="X114" i="15"/>
  <c r="W114" i="15"/>
  <c r="V114" i="15"/>
  <c r="AO113" i="15"/>
  <c r="AN113" i="15"/>
  <c r="AM113" i="15"/>
  <c r="AL113" i="15"/>
  <c r="AK113" i="15"/>
  <c r="AJ113" i="15"/>
  <c r="AI113" i="15"/>
  <c r="AH113" i="15"/>
  <c r="AG113" i="15"/>
  <c r="AF113" i="15"/>
  <c r="AE113" i="15"/>
  <c r="AD113" i="15"/>
  <c r="AC113" i="15"/>
  <c r="AB113" i="15"/>
  <c r="AA113" i="15"/>
  <c r="Z113" i="15"/>
  <c r="Y113" i="15"/>
  <c r="X113" i="15"/>
  <c r="W113" i="15"/>
  <c r="V113" i="15"/>
  <c r="AO112" i="15"/>
  <c r="AN112" i="15"/>
  <c r="AM112" i="15"/>
  <c r="AL112" i="15"/>
  <c r="AK112" i="15"/>
  <c r="AJ112" i="15"/>
  <c r="AI112" i="15"/>
  <c r="AH112" i="15"/>
  <c r="AG112" i="15"/>
  <c r="AF112" i="15"/>
  <c r="AE112" i="15"/>
  <c r="AD112" i="15"/>
  <c r="AC112" i="15"/>
  <c r="AB112" i="15"/>
  <c r="AA112" i="15"/>
  <c r="Z112" i="15"/>
  <c r="Y112" i="15"/>
  <c r="X112" i="15"/>
  <c r="W112" i="15"/>
  <c r="V112" i="15"/>
  <c r="AO111" i="15"/>
  <c r="AN111" i="15"/>
  <c r="AM111" i="15"/>
  <c r="AL111" i="15"/>
  <c r="AK111" i="15"/>
  <c r="AJ111" i="15"/>
  <c r="AI111" i="15"/>
  <c r="AH111" i="15"/>
  <c r="AG111" i="15"/>
  <c r="AF111" i="15"/>
  <c r="AE111" i="15"/>
  <c r="AD111" i="15"/>
  <c r="AC111" i="15"/>
  <c r="AB111" i="15"/>
  <c r="AA111" i="15"/>
  <c r="Z111" i="15"/>
  <c r="Y111" i="15"/>
  <c r="X111" i="15"/>
  <c r="W111" i="15"/>
  <c r="V111" i="15"/>
  <c r="AO110" i="15"/>
  <c r="AN110" i="15"/>
  <c r="AM110" i="15"/>
  <c r="AL110" i="15"/>
  <c r="AK110" i="15"/>
  <c r="AJ110" i="15"/>
  <c r="AI110" i="15"/>
  <c r="AH110" i="15"/>
  <c r="AG110" i="15"/>
  <c r="AF110" i="15"/>
  <c r="AE110" i="15"/>
  <c r="AD110" i="15"/>
  <c r="AC110" i="15"/>
  <c r="AB110" i="15"/>
  <c r="AA110" i="15"/>
  <c r="Z110" i="15"/>
  <c r="Y110" i="15"/>
  <c r="X110" i="15"/>
  <c r="W110" i="15"/>
  <c r="V110" i="15"/>
  <c r="AO109" i="15"/>
  <c r="AN109" i="15"/>
  <c r="AM109" i="15"/>
  <c r="AL109" i="15"/>
  <c r="AK109" i="15"/>
  <c r="AJ109" i="15"/>
  <c r="AI109" i="15"/>
  <c r="AH109" i="15"/>
  <c r="AG109" i="15"/>
  <c r="AF109" i="15"/>
  <c r="AE109" i="15"/>
  <c r="AD109" i="15"/>
  <c r="AC109" i="15"/>
  <c r="AB109" i="15"/>
  <c r="AA109" i="15"/>
  <c r="Z109" i="15"/>
  <c r="Y109" i="15"/>
  <c r="X109" i="15"/>
  <c r="W109" i="15"/>
  <c r="V109" i="15"/>
  <c r="AO108" i="15"/>
  <c r="AN108" i="15"/>
  <c r="AM108" i="15"/>
  <c r="AL108" i="15"/>
  <c r="AK108" i="15"/>
  <c r="AJ108" i="15"/>
  <c r="AI108" i="15"/>
  <c r="AH108" i="15"/>
  <c r="AG108" i="15"/>
  <c r="AF108" i="15"/>
  <c r="AE108" i="15"/>
  <c r="AD108" i="15"/>
  <c r="AC108" i="15"/>
  <c r="AB108" i="15"/>
  <c r="AA108" i="15"/>
  <c r="Z108" i="15"/>
  <c r="Y108" i="15"/>
  <c r="X108" i="15"/>
  <c r="W108" i="15"/>
  <c r="V108" i="15"/>
  <c r="AO107" i="15"/>
  <c r="AN107" i="15"/>
  <c r="AM107" i="15"/>
  <c r="AL107" i="15"/>
  <c r="AK107" i="15"/>
  <c r="AJ107" i="15"/>
  <c r="AI107" i="15"/>
  <c r="AH107" i="15"/>
  <c r="AG107" i="15"/>
  <c r="AF107" i="15"/>
  <c r="AE107" i="15"/>
  <c r="AD107" i="15"/>
  <c r="AC107" i="15"/>
  <c r="AB107" i="15"/>
  <c r="AA107" i="15"/>
  <c r="Z107" i="15"/>
  <c r="Y107" i="15"/>
  <c r="X107" i="15"/>
  <c r="W107" i="15"/>
  <c r="V107" i="15"/>
  <c r="AO106" i="15"/>
  <c r="AN106" i="15"/>
  <c r="AM106" i="15"/>
  <c r="AL106" i="15"/>
  <c r="AK106" i="15"/>
  <c r="AJ106" i="15"/>
  <c r="AI106" i="15"/>
  <c r="AH106" i="15"/>
  <c r="AG106" i="15"/>
  <c r="AF106" i="15"/>
  <c r="AE106" i="15"/>
  <c r="AD106" i="15"/>
  <c r="AC106" i="15"/>
  <c r="AB106" i="15"/>
  <c r="AA106" i="15"/>
  <c r="Z106" i="15"/>
  <c r="Y106" i="15"/>
  <c r="X106" i="15"/>
  <c r="W106" i="15"/>
  <c r="V106" i="15"/>
  <c r="AO105" i="15"/>
  <c r="AN105" i="15"/>
  <c r="AM105" i="15"/>
  <c r="AL105" i="15"/>
  <c r="AK105" i="15"/>
  <c r="AJ105" i="15"/>
  <c r="AI105" i="15"/>
  <c r="AH105" i="15"/>
  <c r="AG105" i="15"/>
  <c r="AF105" i="15"/>
  <c r="AE105" i="15"/>
  <c r="AD105" i="15"/>
  <c r="AC105" i="15"/>
  <c r="AB105" i="15"/>
  <c r="AA105" i="15"/>
  <c r="Z105" i="15"/>
  <c r="Y105" i="15"/>
  <c r="X105" i="15"/>
  <c r="W105" i="15"/>
  <c r="V105" i="15"/>
  <c r="AO104" i="15"/>
  <c r="AN104" i="15"/>
  <c r="AM104" i="15"/>
  <c r="AL104" i="15"/>
  <c r="AK104" i="15"/>
  <c r="AJ104" i="15"/>
  <c r="AI104" i="15"/>
  <c r="AH104" i="15"/>
  <c r="AG104" i="15"/>
  <c r="AF104" i="15"/>
  <c r="AE104" i="15"/>
  <c r="AD104" i="15"/>
  <c r="AC104" i="15"/>
  <c r="AB104" i="15"/>
  <c r="AA104" i="15"/>
  <c r="Z104" i="15"/>
  <c r="Y104" i="15"/>
  <c r="X104" i="15"/>
  <c r="W104" i="15"/>
  <c r="V104" i="15"/>
  <c r="AO103" i="15"/>
  <c r="AN103" i="15"/>
  <c r="AM103" i="15"/>
  <c r="AL103" i="15"/>
  <c r="AK103" i="15"/>
  <c r="AJ103" i="15"/>
  <c r="AI103" i="15"/>
  <c r="AH103" i="15"/>
  <c r="AG103" i="15"/>
  <c r="AF103" i="15"/>
  <c r="AE103" i="15"/>
  <c r="AD103" i="15"/>
  <c r="AC103" i="15"/>
  <c r="AB103" i="15"/>
  <c r="AA103" i="15"/>
  <c r="Z103" i="15"/>
  <c r="Y103" i="15"/>
  <c r="X103" i="15"/>
  <c r="W103" i="15"/>
  <c r="V103" i="15"/>
  <c r="AO102" i="15"/>
  <c r="AN102" i="15"/>
  <c r="AM102" i="15"/>
  <c r="AL102" i="15"/>
  <c r="AK102" i="15"/>
  <c r="AJ102" i="15"/>
  <c r="AI102" i="15"/>
  <c r="AH102" i="15"/>
  <c r="AG102" i="15"/>
  <c r="AF102" i="15"/>
  <c r="AE102" i="15"/>
  <c r="AD102" i="15"/>
  <c r="AC102" i="15"/>
  <c r="AB102" i="15"/>
  <c r="AA102" i="15"/>
  <c r="Z102" i="15"/>
  <c r="Y102" i="15"/>
  <c r="X102" i="15"/>
  <c r="W102" i="15"/>
  <c r="V102" i="15"/>
  <c r="AO101" i="15"/>
  <c r="AN101" i="15"/>
  <c r="AM101" i="15"/>
  <c r="AL101" i="15"/>
  <c r="AK101" i="15"/>
  <c r="AJ101" i="15"/>
  <c r="AI101" i="15"/>
  <c r="AH101" i="15"/>
  <c r="AG101" i="15"/>
  <c r="AF101" i="15"/>
  <c r="AE101" i="15"/>
  <c r="AD101" i="15"/>
  <c r="AC101" i="15"/>
  <c r="AB101" i="15"/>
  <c r="AA101" i="15"/>
  <c r="Z101" i="15"/>
  <c r="Y101" i="15"/>
  <c r="X101" i="15"/>
  <c r="W101" i="15"/>
  <c r="V101" i="15"/>
  <c r="AO100" i="15"/>
  <c r="AN100" i="15"/>
  <c r="AM100" i="15"/>
  <c r="AL100" i="15"/>
  <c r="AK100" i="15"/>
  <c r="AJ100" i="15"/>
  <c r="AI100" i="15"/>
  <c r="AH100" i="15"/>
  <c r="AG100" i="15"/>
  <c r="AF100" i="15"/>
  <c r="AE100" i="15"/>
  <c r="AD100" i="15"/>
  <c r="AC100" i="15"/>
  <c r="AB100" i="15"/>
  <c r="AA100" i="15"/>
  <c r="Z100" i="15"/>
  <c r="Y100" i="15"/>
  <c r="X100" i="15"/>
  <c r="W100" i="15"/>
  <c r="V100" i="15"/>
  <c r="AB93" i="15"/>
  <c r="W93" i="15"/>
  <c r="AC90" i="15"/>
  <c r="Y89" i="15"/>
  <c r="Z82" i="15"/>
  <c r="Y82" i="15"/>
  <c r="X82" i="15"/>
  <c r="W82" i="15"/>
  <c r="V82" i="15"/>
  <c r="Z81" i="15"/>
  <c r="Y81" i="15"/>
  <c r="X81" i="15"/>
  <c r="W81" i="15"/>
  <c r="V81" i="15"/>
  <c r="Z80" i="15"/>
  <c r="Y80" i="15"/>
  <c r="X80" i="15"/>
  <c r="W80" i="15"/>
  <c r="V80" i="15"/>
  <c r="Z79" i="15"/>
  <c r="Y79" i="15"/>
  <c r="X79" i="15"/>
  <c r="W79" i="15"/>
  <c r="V79" i="15"/>
  <c r="Z78" i="15"/>
  <c r="Y78" i="15"/>
  <c r="X78" i="15"/>
  <c r="W78" i="15"/>
  <c r="V78" i="15"/>
  <c r="Z77" i="15"/>
  <c r="Y77" i="15"/>
  <c r="X77" i="15"/>
  <c r="W77" i="15"/>
  <c r="V77" i="15"/>
  <c r="Z76" i="15"/>
  <c r="Y76" i="15"/>
  <c r="X76" i="15"/>
  <c r="W76" i="15"/>
  <c r="V76" i="15"/>
  <c r="Z75" i="15"/>
  <c r="Y75" i="15"/>
  <c r="X75" i="15"/>
  <c r="W75" i="15"/>
  <c r="V75" i="15"/>
  <c r="Z74" i="15"/>
  <c r="Y74" i="15"/>
  <c r="X74" i="15"/>
  <c r="W74" i="15"/>
  <c r="V74" i="15"/>
  <c r="Z73" i="15"/>
  <c r="Y73" i="15"/>
  <c r="X73" i="15"/>
  <c r="W73" i="15"/>
  <c r="V73" i="15"/>
  <c r="Z68" i="15"/>
  <c r="Y68" i="15"/>
  <c r="X68" i="15"/>
  <c r="W68" i="15"/>
  <c r="V68" i="15"/>
  <c r="Z67" i="15"/>
  <c r="Y67" i="15"/>
  <c r="X67" i="15"/>
  <c r="W67" i="15"/>
  <c r="V67" i="15"/>
  <c r="Z66" i="15"/>
  <c r="Y66" i="15"/>
  <c r="X66" i="15"/>
  <c r="W66" i="15"/>
  <c r="V66" i="15"/>
  <c r="Z65" i="15"/>
  <c r="Y65" i="15"/>
  <c r="X65" i="15"/>
  <c r="W65" i="15"/>
  <c r="V65" i="15"/>
  <c r="Z64" i="15"/>
  <c r="Y64" i="15"/>
  <c r="X64" i="15"/>
  <c r="W64" i="15"/>
  <c r="V64" i="15"/>
  <c r="Z63" i="15"/>
  <c r="Y63" i="15"/>
  <c r="X63" i="15"/>
  <c r="W63" i="15"/>
  <c r="V63" i="15"/>
  <c r="Z62" i="15"/>
  <c r="Y62" i="15"/>
  <c r="X62" i="15"/>
  <c r="W62" i="15"/>
  <c r="V62" i="15"/>
  <c r="Z61" i="15"/>
  <c r="Y61" i="15"/>
  <c r="X61" i="15"/>
  <c r="W61" i="15"/>
  <c r="V61" i="15"/>
  <c r="Z60" i="15"/>
  <c r="Y60" i="15"/>
  <c r="X60" i="15"/>
  <c r="W60" i="15"/>
  <c r="V60" i="15"/>
  <c r="Z59" i="15"/>
  <c r="Y59" i="15"/>
  <c r="X59" i="15"/>
  <c r="W59" i="15"/>
  <c r="V59" i="15"/>
  <c r="AQ58" i="15"/>
  <c r="Z58" i="15"/>
  <c r="Y58" i="15"/>
  <c r="X58" i="15"/>
  <c r="W58" i="15"/>
  <c r="V58" i="15"/>
  <c r="Z57" i="15"/>
  <c r="Y57" i="15"/>
  <c r="X57" i="15"/>
  <c r="W57" i="15"/>
  <c r="V57" i="15"/>
  <c r="Z56" i="15"/>
  <c r="Y56" i="15"/>
  <c r="X56" i="15"/>
  <c r="W56" i="15"/>
  <c r="V56" i="15"/>
  <c r="AP44" i="15"/>
  <c r="B59" i="15" s="1"/>
  <c r="AP43" i="15"/>
  <c r="B58" i="15" s="1"/>
  <c r="AP42" i="15"/>
  <c r="B57" i="15" s="1"/>
  <c r="X42" i="15"/>
  <c r="AP41" i="15"/>
  <c r="B56" i="15" s="1"/>
  <c r="X41" i="15"/>
  <c r="AP40" i="15"/>
  <c r="B55" i="15" s="1"/>
  <c r="X40" i="15"/>
  <c r="B40" i="15"/>
  <c r="X39" i="15"/>
  <c r="X38" i="15"/>
  <c r="X37" i="15"/>
  <c r="X36" i="15"/>
  <c r="X35" i="15"/>
  <c r="Q35" i="15"/>
  <c r="P35" i="15"/>
  <c r="B35" i="15"/>
  <c r="X34" i="15"/>
  <c r="J34" i="15"/>
  <c r="X33" i="15"/>
  <c r="X32" i="15"/>
  <c r="AG31" i="15"/>
  <c r="X31" i="15"/>
  <c r="AC30" i="15"/>
  <c r="O99" i="15" s="1"/>
  <c r="X30" i="15"/>
  <c r="X29" i="15"/>
  <c r="B29" i="15"/>
  <c r="AQ27" i="15" s="1"/>
  <c r="X28" i="15"/>
  <c r="B27" i="15"/>
  <c r="P25" i="15"/>
  <c r="I24" i="15" s="1"/>
  <c r="G24" i="15"/>
  <c r="E24" i="15"/>
  <c r="C24" i="15"/>
  <c r="AB23" i="15"/>
  <c r="AA23" i="15"/>
  <c r="Z23" i="15"/>
  <c r="Y23" i="15"/>
  <c r="I23" i="15"/>
  <c r="G23" i="15"/>
  <c r="E23" i="15"/>
  <c r="C23" i="15"/>
  <c r="AB22" i="15"/>
  <c r="AA22" i="15"/>
  <c r="Z22" i="15"/>
  <c r="Y22" i="15"/>
  <c r="I22" i="15"/>
  <c r="G22" i="15"/>
  <c r="E22" i="15"/>
  <c r="C22" i="15"/>
  <c r="I21" i="15"/>
  <c r="G21" i="15"/>
  <c r="E21" i="15"/>
  <c r="C21" i="15"/>
  <c r="AQ20" i="15"/>
  <c r="AI20" i="15"/>
  <c r="I20" i="15"/>
  <c r="AQ19" i="15"/>
  <c r="AI19" i="15"/>
  <c r="AQ18" i="15"/>
  <c r="B47" i="15" s="1"/>
  <c r="AQ34" i="15" s="1"/>
  <c r="AI18" i="15"/>
  <c r="I18" i="15"/>
  <c r="AI17" i="15"/>
  <c r="AI16" i="15"/>
  <c r="AI15" i="15"/>
  <c r="AJ15" i="15" s="1"/>
  <c r="AQ14" i="15"/>
  <c r="AI14" i="15"/>
  <c r="I14" i="15"/>
  <c r="AQ13" i="15"/>
  <c r="AI13" i="15"/>
  <c r="AQ12" i="15"/>
  <c r="B44" i="15" s="1"/>
  <c r="AQ31" i="15" s="1"/>
  <c r="AI12" i="15"/>
  <c r="AI11" i="15"/>
  <c r="AB11" i="15"/>
  <c r="AA11" i="15"/>
  <c r="Z11" i="15"/>
  <c r="Y11" i="15"/>
  <c r="AI10" i="15"/>
  <c r="AB10" i="15"/>
  <c r="AA10" i="15"/>
  <c r="Z10" i="15"/>
  <c r="Y10" i="15"/>
  <c r="AI9" i="15"/>
  <c r="AJ9" i="15" s="1"/>
  <c r="AB9" i="15"/>
  <c r="AA9" i="15"/>
  <c r="Z9" i="15"/>
  <c r="AC9" i="15" s="1"/>
  <c r="Y9" i="15"/>
  <c r="AQ8" i="15"/>
  <c r="B43" i="15" s="1"/>
  <c r="AQ30" i="15" s="1"/>
  <c r="AB8" i="15"/>
  <c r="AA8" i="15"/>
  <c r="Z8" i="15"/>
  <c r="Y8" i="15"/>
  <c r="AQ7" i="15"/>
  <c r="B42" i="15" s="1"/>
  <c r="AQ29" i="15" s="1"/>
  <c r="AQ6" i="15"/>
  <c r="B41" i="15" s="1"/>
  <c r="AQ28" i="15" s="1"/>
  <c r="AO179" i="13"/>
  <c r="AN179" i="13"/>
  <c r="AM179" i="13"/>
  <c r="AL179" i="13"/>
  <c r="AK179" i="13"/>
  <c r="AJ179" i="13"/>
  <c r="AI179" i="13"/>
  <c r="AH179" i="13"/>
  <c r="AG179" i="13"/>
  <c r="AF179" i="13"/>
  <c r="AE179" i="13"/>
  <c r="AD179" i="13"/>
  <c r="AC179" i="13"/>
  <c r="AB179" i="13"/>
  <c r="AA179" i="13"/>
  <c r="Z179" i="13"/>
  <c r="Y179" i="13"/>
  <c r="X179" i="13"/>
  <c r="W179" i="13"/>
  <c r="V179" i="13"/>
  <c r="AO178" i="13"/>
  <c r="AN178" i="13"/>
  <c r="AM178" i="13"/>
  <c r="AL178" i="13"/>
  <c r="AK178" i="13"/>
  <c r="AJ178" i="13"/>
  <c r="AI178" i="13"/>
  <c r="AH178" i="13"/>
  <c r="AG178" i="13"/>
  <c r="AF178" i="13"/>
  <c r="AE178" i="13"/>
  <c r="AD178" i="13"/>
  <c r="AC178" i="13"/>
  <c r="AB178" i="13"/>
  <c r="AA178" i="13"/>
  <c r="Z178" i="13"/>
  <c r="Y178" i="13"/>
  <c r="X178" i="13"/>
  <c r="W178" i="13"/>
  <c r="V178" i="13"/>
  <c r="AO177" i="13"/>
  <c r="AN177" i="13"/>
  <c r="AM177" i="13"/>
  <c r="AL177" i="13"/>
  <c r="AK177" i="13"/>
  <c r="AJ177" i="13"/>
  <c r="AI177" i="13"/>
  <c r="AH177" i="13"/>
  <c r="AG177" i="13"/>
  <c r="AF177" i="13"/>
  <c r="AE177" i="13"/>
  <c r="AD177" i="13"/>
  <c r="AC177" i="13"/>
  <c r="AB177" i="13"/>
  <c r="AA177" i="13"/>
  <c r="Z177" i="13"/>
  <c r="Y177" i="13"/>
  <c r="X177" i="13"/>
  <c r="W177" i="13"/>
  <c r="V177" i="13"/>
  <c r="AO176" i="13"/>
  <c r="AN176" i="13"/>
  <c r="AM176" i="13"/>
  <c r="AL176" i="13"/>
  <c r="AK176" i="13"/>
  <c r="AJ176" i="13"/>
  <c r="AI176" i="13"/>
  <c r="AH176" i="13"/>
  <c r="AG176" i="13"/>
  <c r="AF176" i="13"/>
  <c r="AE176" i="13"/>
  <c r="AD176" i="13"/>
  <c r="AC176" i="13"/>
  <c r="AB176" i="13"/>
  <c r="AA176" i="13"/>
  <c r="Z176" i="13"/>
  <c r="Y176" i="13"/>
  <c r="X176" i="13"/>
  <c r="W176" i="13"/>
  <c r="V176" i="13"/>
  <c r="AO175" i="13"/>
  <c r="AN175" i="13"/>
  <c r="AM175" i="13"/>
  <c r="AL175" i="13"/>
  <c r="AK175" i="13"/>
  <c r="AJ175" i="13"/>
  <c r="AI175" i="13"/>
  <c r="AH175" i="13"/>
  <c r="AG175" i="13"/>
  <c r="AF175" i="13"/>
  <c r="AE175" i="13"/>
  <c r="AD175" i="13"/>
  <c r="AC175" i="13"/>
  <c r="AB175" i="13"/>
  <c r="AA175" i="13"/>
  <c r="Z175" i="13"/>
  <c r="Y175" i="13"/>
  <c r="X175" i="13"/>
  <c r="W175" i="13"/>
  <c r="V175" i="13"/>
  <c r="AO174" i="13"/>
  <c r="AN174" i="13"/>
  <c r="AM174" i="13"/>
  <c r="AL174" i="13"/>
  <c r="AK174" i="13"/>
  <c r="AJ174" i="13"/>
  <c r="AI174" i="13"/>
  <c r="AH174" i="13"/>
  <c r="AG174" i="13"/>
  <c r="AF174" i="13"/>
  <c r="AE174" i="13"/>
  <c r="AD174" i="13"/>
  <c r="AC174" i="13"/>
  <c r="AB174" i="13"/>
  <c r="AA174" i="13"/>
  <c r="Z174" i="13"/>
  <c r="Y174" i="13"/>
  <c r="X174" i="13"/>
  <c r="W174" i="13"/>
  <c r="V174" i="13"/>
  <c r="AO173" i="13"/>
  <c r="AN173" i="13"/>
  <c r="AM173" i="13"/>
  <c r="AL173" i="13"/>
  <c r="AK173" i="13"/>
  <c r="AJ173" i="13"/>
  <c r="AI173" i="13"/>
  <c r="AH173" i="13"/>
  <c r="AG173" i="13"/>
  <c r="AF173" i="13"/>
  <c r="AE173" i="13"/>
  <c r="AD173" i="13"/>
  <c r="AC173" i="13"/>
  <c r="AB173" i="13"/>
  <c r="AA173" i="13"/>
  <c r="Z173" i="13"/>
  <c r="Y173" i="13"/>
  <c r="X173" i="13"/>
  <c r="W173" i="13"/>
  <c r="V173" i="13"/>
  <c r="AO172" i="13"/>
  <c r="AN172" i="13"/>
  <c r="AM172" i="13"/>
  <c r="AL172" i="13"/>
  <c r="AK172" i="13"/>
  <c r="AJ172" i="13"/>
  <c r="AI172" i="13"/>
  <c r="AH172" i="13"/>
  <c r="AG172" i="13"/>
  <c r="AF172" i="13"/>
  <c r="AE172" i="13"/>
  <c r="AD172" i="13"/>
  <c r="AC172" i="13"/>
  <c r="AB172" i="13"/>
  <c r="AA172" i="13"/>
  <c r="Z172" i="13"/>
  <c r="Y172" i="13"/>
  <c r="X172" i="13"/>
  <c r="W172" i="13"/>
  <c r="V172" i="13"/>
  <c r="AO171" i="13"/>
  <c r="AN171" i="13"/>
  <c r="AM171" i="13"/>
  <c r="AL171" i="13"/>
  <c r="AK171" i="13"/>
  <c r="AJ171" i="13"/>
  <c r="AI171" i="13"/>
  <c r="AH171" i="13"/>
  <c r="AG171" i="13"/>
  <c r="AF171" i="13"/>
  <c r="AE171" i="13"/>
  <c r="AD171" i="13"/>
  <c r="AC171" i="13"/>
  <c r="AB171" i="13"/>
  <c r="AA171" i="13"/>
  <c r="Z171" i="13"/>
  <c r="Y171" i="13"/>
  <c r="X171" i="13"/>
  <c r="W171" i="13"/>
  <c r="V171" i="13"/>
  <c r="AO170" i="13"/>
  <c r="AN170" i="13"/>
  <c r="AM170" i="13"/>
  <c r="AL170" i="13"/>
  <c r="AK170" i="13"/>
  <c r="AJ170" i="13"/>
  <c r="AI170" i="13"/>
  <c r="AH170" i="13"/>
  <c r="AG170" i="13"/>
  <c r="AF170" i="13"/>
  <c r="AE170" i="13"/>
  <c r="AD170" i="13"/>
  <c r="AC170" i="13"/>
  <c r="AB170" i="13"/>
  <c r="AA170" i="13"/>
  <c r="Z170" i="13"/>
  <c r="Y170" i="13"/>
  <c r="X170" i="13"/>
  <c r="W170" i="13"/>
  <c r="V170" i="13"/>
  <c r="AO169" i="13"/>
  <c r="AN169" i="13"/>
  <c r="AM169" i="13"/>
  <c r="AL169" i="13"/>
  <c r="AK169" i="13"/>
  <c r="AJ169" i="13"/>
  <c r="AI169" i="13"/>
  <c r="AH169" i="13"/>
  <c r="AG169" i="13"/>
  <c r="AF169" i="13"/>
  <c r="AE169" i="13"/>
  <c r="AD169" i="13"/>
  <c r="AC169" i="13"/>
  <c r="AB169" i="13"/>
  <c r="AA169" i="13"/>
  <c r="Z169" i="13"/>
  <c r="Y169" i="13"/>
  <c r="X169" i="13"/>
  <c r="W169" i="13"/>
  <c r="V169" i="13"/>
  <c r="AO168" i="13"/>
  <c r="AN168" i="13"/>
  <c r="AM168" i="13"/>
  <c r="AL168" i="13"/>
  <c r="X95" i="13" s="1"/>
  <c r="AK168" i="13"/>
  <c r="AJ168" i="13"/>
  <c r="AI168" i="13"/>
  <c r="AH168" i="13"/>
  <c r="AG168" i="13"/>
  <c r="AF168" i="13"/>
  <c r="AE168" i="13"/>
  <c r="AD168" i="13"/>
  <c r="AD95" i="13" s="1"/>
  <c r="AC168" i="13"/>
  <c r="AC95" i="13" s="1"/>
  <c r="AB168" i="13"/>
  <c r="AA168" i="13"/>
  <c r="Z168" i="13"/>
  <c r="Z95" i="13" s="1"/>
  <c r="Y168" i="13"/>
  <c r="Y95" i="13" s="1"/>
  <c r="X168" i="13"/>
  <c r="W168" i="13"/>
  <c r="W95" i="13" s="1"/>
  <c r="V168" i="13"/>
  <c r="V95" i="13" s="1"/>
  <c r="AO167" i="13"/>
  <c r="AN167" i="13"/>
  <c r="AM167" i="13"/>
  <c r="AL167" i="13"/>
  <c r="X94" i="13" s="1"/>
  <c r="AK167" i="13"/>
  <c r="AJ167" i="13"/>
  <c r="AI167" i="13"/>
  <c r="AH167" i="13"/>
  <c r="AG167" i="13"/>
  <c r="AF167" i="13"/>
  <c r="AE167" i="13"/>
  <c r="AD167" i="13"/>
  <c r="AD94" i="13" s="1"/>
  <c r="AC167" i="13"/>
  <c r="AB167" i="13"/>
  <c r="AB94" i="13" s="1"/>
  <c r="AA167" i="13"/>
  <c r="AA94" i="13" s="1"/>
  <c r="Z167" i="13"/>
  <c r="Z94" i="13" s="1"/>
  <c r="Y167" i="13"/>
  <c r="Y94" i="13" s="1"/>
  <c r="X167" i="13"/>
  <c r="W167" i="13"/>
  <c r="W94" i="13" s="1"/>
  <c r="V167" i="13"/>
  <c r="V94" i="13" s="1"/>
  <c r="AO166" i="13"/>
  <c r="AN166" i="13"/>
  <c r="AM166" i="13"/>
  <c r="AL166" i="13"/>
  <c r="X93" i="13" s="1"/>
  <c r="AK166" i="13"/>
  <c r="AJ166" i="13"/>
  <c r="AI166" i="13"/>
  <c r="AH166" i="13"/>
  <c r="AG166" i="13"/>
  <c r="AF166" i="13"/>
  <c r="AE166" i="13"/>
  <c r="AD166" i="13"/>
  <c r="AD93" i="13" s="1"/>
  <c r="AC166" i="13"/>
  <c r="AC93" i="13" s="1"/>
  <c r="AB166" i="13"/>
  <c r="AB93" i="13" s="1"/>
  <c r="AA166" i="13"/>
  <c r="AA93" i="13" s="1"/>
  <c r="Z166" i="13"/>
  <c r="Z93" i="13" s="1"/>
  <c r="Y166" i="13"/>
  <c r="Y93" i="13" s="1"/>
  <c r="X166" i="13"/>
  <c r="W166" i="13"/>
  <c r="W93" i="13" s="1"/>
  <c r="V166" i="13"/>
  <c r="V93" i="13" s="1"/>
  <c r="AO165" i="13"/>
  <c r="AN165" i="13"/>
  <c r="AM165" i="13"/>
  <c r="AL165" i="13"/>
  <c r="X92" i="13" s="1"/>
  <c r="AK165" i="13"/>
  <c r="AJ165" i="13"/>
  <c r="AI165" i="13"/>
  <c r="AH165" i="13"/>
  <c r="AG165" i="13"/>
  <c r="AF165" i="13"/>
  <c r="AE165" i="13"/>
  <c r="AD165" i="13"/>
  <c r="AD92" i="13" s="1"/>
  <c r="AC165" i="13"/>
  <c r="AC92" i="13" s="1"/>
  <c r="AB165" i="13"/>
  <c r="AB92" i="13" s="1"/>
  <c r="AA165" i="13"/>
  <c r="AA92" i="13" s="1"/>
  <c r="Z165" i="13"/>
  <c r="Z92" i="13" s="1"/>
  <c r="Y165" i="13"/>
  <c r="Y92" i="13" s="1"/>
  <c r="X165" i="13"/>
  <c r="W165" i="13"/>
  <c r="W92" i="13" s="1"/>
  <c r="V165" i="13"/>
  <c r="AO164" i="13"/>
  <c r="AN164" i="13"/>
  <c r="AM164" i="13"/>
  <c r="AL164" i="13"/>
  <c r="X91" i="13" s="1"/>
  <c r="AK164" i="13"/>
  <c r="AJ164" i="13"/>
  <c r="AI164" i="13"/>
  <c r="AH164" i="13"/>
  <c r="AG164" i="13"/>
  <c r="AF164" i="13"/>
  <c r="AE164" i="13"/>
  <c r="AD164" i="13"/>
  <c r="AD91" i="13" s="1"/>
  <c r="AC164" i="13"/>
  <c r="AB164" i="13"/>
  <c r="AB91" i="13" s="1"/>
  <c r="AA164" i="13"/>
  <c r="AA91" i="13" s="1"/>
  <c r="Z164" i="13"/>
  <c r="Z91" i="13" s="1"/>
  <c r="Y164" i="13"/>
  <c r="Y91" i="13" s="1"/>
  <c r="X164" i="13"/>
  <c r="W164" i="13"/>
  <c r="W91" i="13" s="1"/>
  <c r="V164" i="13"/>
  <c r="V91" i="13" s="1"/>
  <c r="AO163" i="13"/>
  <c r="AN163" i="13"/>
  <c r="AM163" i="13"/>
  <c r="AL163" i="13"/>
  <c r="X90" i="13" s="1"/>
  <c r="AK163" i="13"/>
  <c r="AJ163" i="13"/>
  <c r="AI163" i="13"/>
  <c r="AH163" i="13"/>
  <c r="AG163" i="13"/>
  <c r="AF163" i="13"/>
  <c r="AE163" i="13"/>
  <c r="AD163" i="13"/>
  <c r="AD90" i="13" s="1"/>
  <c r="AC163" i="13"/>
  <c r="AC90" i="13" s="1"/>
  <c r="AB163" i="13"/>
  <c r="AB90" i="13" s="1"/>
  <c r="AA163" i="13"/>
  <c r="AA90" i="13" s="1"/>
  <c r="Z163" i="13"/>
  <c r="Y163" i="13"/>
  <c r="Y90" i="13" s="1"/>
  <c r="X163" i="13"/>
  <c r="W163" i="13"/>
  <c r="W90" i="13" s="1"/>
  <c r="V163" i="13"/>
  <c r="V90" i="13" s="1"/>
  <c r="AO162" i="13"/>
  <c r="AN162" i="13"/>
  <c r="AM162" i="13"/>
  <c r="AL162" i="13"/>
  <c r="X89" i="13" s="1"/>
  <c r="AK162" i="13"/>
  <c r="AJ162" i="13"/>
  <c r="AI162" i="13"/>
  <c r="AH162" i="13"/>
  <c r="AG162" i="13"/>
  <c r="AF162" i="13"/>
  <c r="AE162" i="13"/>
  <c r="AD162" i="13"/>
  <c r="AD89" i="13" s="1"/>
  <c r="AC162" i="13"/>
  <c r="AC89" i="13" s="1"/>
  <c r="AB162" i="13"/>
  <c r="AB89" i="13" s="1"/>
  <c r="AA162" i="13"/>
  <c r="AA89" i="13" s="1"/>
  <c r="Z162" i="13"/>
  <c r="Z89" i="13" s="1"/>
  <c r="Y162" i="13"/>
  <c r="Y89" i="13" s="1"/>
  <c r="X162" i="13"/>
  <c r="W162" i="13"/>
  <c r="W89" i="13" s="1"/>
  <c r="V162" i="13"/>
  <c r="V89" i="13" s="1"/>
  <c r="AO161" i="13"/>
  <c r="AN161" i="13"/>
  <c r="AM161" i="13"/>
  <c r="AL161" i="13"/>
  <c r="X88" i="13" s="1"/>
  <c r="AK161" i="13"/>
  <c r="AJ161" i="13"/>
  <c r="AI161" i="13"/>
  <c r="AH161" i="13"/>
  <c r="AG161" i="13"/>
  <c r="AF161" i="13"/>
  <c r="AE161" i="13"/>
  <c r="AD161" i="13"/>
  <c r="AD88" i="13" s="1"/>
  <c r="AC161" i="13"/>
  <c r="AC88" i="13" s="1"/>
  <c r="AB161" i="13"/>
  <c r="AB88" i="13" s="1"/>
  <c r="AA161" i="13"/>
  <c r="AA88" i="13" s="1"/>
  <c r="Z161" i="13"/>
  <c r="Z88" i="13" s="1"/>
  <c r="Y161" i="13"/>
  <c r="Y88" i="13" s="1"/>
  <c r="X161" i="13"/>
  <c r="W161" i="13"/>
  <c r="W88" i="13" s="1"/>
  <c r="V161" i="13"/>
  <c r="V88" i="13" s="1"/>
  <c r="AO160" i="13"/>
  <c r="AN160" i="13"/>
  <c r="AM160" i="13"/>
  <c r="AL160" i="13"/>
  <c r="X87" i="13" s="1"/>
  <c r="AK160" i="13"/>
  <c r="AJ160" i="13"/>
  <c r="AI160" i="13"/>
  <c r="AH160" i="13"/>
  <c r="AG160" i="13"/>
  <c r="AF160" i="13"/>
  <c r="AE160" i="13"/>
  <c r="AD160" i="13"/>
  <c r="AD87" i="13" s="1"/>
  <c r="AC160" i="13"/>
  <c r="AC87" i="13" s="1"/>
  <c r="AB160" i="13"/>
  <c r="AB87" i="13" s="1"/>
  <c r="AA160" i="13"/>
  <c r="AA87" i="13" s="1"/>
  <c r="Z160" i="13"/>
  <c r="Z87" i="13" s="1"/>
  <c r="Y160" i="13"/>
  <c r="Y87" i="13" s="1"/>
  <c r="X160" i="13"/>
  <c r="W160" i="13"/>
  <c r="W87" i="13" s="1"/>
  <c r="V160" i="13"/>
  <c r="V87" i="13" s="1"/>
  <c r="AO159" i="13"/>
  <c r="AN159" i="13"/>
  <c r="AM159" i="13"/>
  <c r="AL159" i="13"/>
  <c r="AK159" i="13"/>
  <c r="AJ159" i="13"/>
  <c r="AI159" i="13"/>
  <c r="AH159" i="13"/>
  <c r="AG159" i="13"/>
  <c r="AF159" i="13"/>
  <c r="AE159" i="13"/>
  <c r="AD159" i="13"/>
  <c r="AC159" i="13"/>
  <c r="AB159" i="13"/>
  <c r="AA159" i="13"/>
  <c r="Z159" i="13"/>
  <c r="Y159" i="13"/>
  <c r="X159" i="13"/>
  <c r="W159" i="13"/>
  <c r="V159" i="13"/>
  <c r="AO158" i="13"/>
  <c r="AN158" i="13"/>
  <c r="AM158" i="13"/>
  <c r="AL158" i="13"/>
  <c r="AK158" i="13"/>
  <c r="AJ158" i="13"/>
  <c r="AI158" i="13"/>
  <c r="AH158" i="13"/>
  <c r="AG158" i="13"/>
  <c r="AF158" i="13"/>
  <c r="AE158" i="13"/>
  <c r="AD158" i="13"/>
  <c r="AC158" i="13"/>
  <c r="AB158" i="13"/>
  <c r="AA158" i="13"/>
  <c r="Z158" i="13"/>
  <c r="Y158" i="13"/>
  <c r="X158" i="13"/>
  <c r="W158" i="13"/>
  <c r="V158" i="13"/>
  <c r="AO157" i="13"/>
  <c r="AN157" i="13"/>
  <c r="AM157" i="13"/>
  <c r="AL157" i="13"/>
  <c r="AK157" i="13"/>
  <c r="AJ157" i="13"/>
  <c r="AI157" i="13"/>
  <c r="AH157" i="13"/>
  <c r="AG157" i="13"/>
  <c r="AF157" i="13"/>
  <c r="AE157" i="13"/>
  <c r="AD157" i="13"/>
  <c r="AC157" i="13"/>
  <c r="AB157" i="13"/>
  <c r="AA157" i="13"/>
  <c r="Z157" i="13"/>
  <c r="Y157" i="13"/>
  <c r="X157" i="13"/>
  <c r="W157" i="13"/>
  <c r="V157" i="13"/>
  <c r="AO156" i="13"/>
  <c r="AN156" i="13"/>
  <c r="AM156" i="13"/>
  <c r="AL156" i="13"/>
  <c r="AK156" i="13"/>
  <c r="AJ156" i="13"/>
  <c r="AI156" i="13"/>
  <c r="AH156" i="13"/>
  <c r="AG156" i="13"/>
  <c r="AF156" i="13"/>
  <c r="AE156" i="13"/>
  <c r="AD156" i="13"/>
  <c r="AC156" i="13"/>
  <c r="AB156" i="13"/>
  <c r="AA156" i="13"/>
  <c r="Z156" i="13"/>
  <c r="Y156" i="13"/>
  <c r="X156" i="13"/>
  <c r="W156" i="13"/>
  <c r="V156" i="13"/>
  <c r="AO155" i="13"/>
  <c r="AN155" i="13"/>
  <c r="AM155" i="13"/>
  <c r="AL155" i="13"/>
  <c r="AK155" i="13"/>
  <c r="AJ155" i="13"/>
  <c r="AI155" i="13"/>
  <c r="AH155" i="13"/>
  <c r="AG155" i="13"/>
  <c r="AF155" i="13"/>
  <c r="AE155" i="13"/>
  <c r="AD155" i="13"/>
  <c r="AC155" i="13"/>
  <c r="AB155" i="13"/>
  <c r="AA155" i="13"/>
  <c r="Z155" i="13"/>
  <c r="Y155" i="13"/>
  <c r="X155" i="13"/>
  <c r="W155" i="13"/>
  <c r="V155" i="13"/>
  <c r="AO154" i="13"/>
  <c r="AN154" i="13"/>
  <c r="AM154" i="13"/>
  <c r="AL154" i="13"/>
  <c r="AK154" i="13"/>
  <c r="AJ154" i="13"/>
  <c r="AI154" i="13"/>
  <c r="AH154" i="13"/>
  <c r="AG154" i="13"/>
  <c r="AF154" i="13"/>
  <c r="AE154" i="13"/>
  <c r="AD154" i="13"/>
  <c r="AC154" i="13"/>
  <c r="AB154" i="13"/>
  <c r="AA154" i="13"/>
  <c r="Z154" i="13"/>
  <c r="Y154" i="13"/>
  <c r="X154" i="13"/>
  <c r="W154" i="13"/>
  <c r="V154" i="13"/>
  <c r="AO153" i="13"/>
  <c r="AN153" i="13"/>
  <c r="AM153" i="13"/>
  <c r="AL153" i="13"/>
  <c r="AK153" i="13"/>
  <c r="AJ153" i="13"/>
  <c r="AI153" i="13"/>
  <c r="AH153" i="13"/>
  <c r="AG153" i="13"/>
  <c r="AF153" i="13"/>
  <c r="AE153" i="13"/>
  <c r="AD153" i="13"/>
  <c r="AC153" i="13"/>
  <c r="AB153" i="13"/>
  <c r="AA153" i="13"/>
  <c r="Z153" i="13"/>
  <c r="Y153" i="13"/>
  <c r="X153" i="13"/>
  <c r="W153" i="13"/>
  <c r="V153" i="13"/>
  <c r="AO152" i="13"/>
  <c r="AN152" i="13"/>
  <c r="AM152" i="13"/>
  <c r="AL152" i="13"/>
  <c r="AK152" i="13"/>
  <c r="AJ152" i="13"/>
  <c r="AI152" i="13"/>
  <c r="AH152" i="13"/>
  <c r="AG152" i="13"/>
  <c r="AF152" i="13"/>
  <c r="AE152" i="13"/>
  <c r="AD152" i="13"/>
  <c r="AC152" i="13"/>
  <c r="AB152" i="13"/>
  <c r="AA152" i="13"/>
  <c r="Z152" i="13"/>
  <c r="Y152" i="13"/>
  <c r="X152" i="13"/>
  <c r="W152" i="13"/>
  <c r="V152" i="13"/>
  <c r="AO151" i="13"/>
  <c r="AN151" i="13"/>
  <c r="AM151" i="13"/>
  <c r="AL151" i="13"/>
  <c r="AK151" i="13"/>
  <c r="AJ151" i="13"/>
  <c r="AI151" i="13"/>
  <c r="AH151" i="13"/>
  <c r="AG151" i="13"/>
  <c r="AF151" i="13"/>
  <c r="AE151" i="13"/>
  <c r="AD151" i="13"/>
  <c r="AC151" i="13"/>
  <c r="AB151" i="13"/>
  <c r="AA151" i="13"/>
  <c r="Z151" i="13"/>
  <c r="Y151" i="13"/>
  <c r="X151" i="13"/>
  <c r="W151" i="13"/>
  <c r="V151" i="13"/>
  <c r="AO150" i="13"/>
  <c r="AN150" i="13"/>
  <c r="AM150" i="13"/>
  <c r="AL150" i="13"/>
  <c r="AK150" i="13"/>
  <c r="AJ150" i="13"/>
  <c r="AI150" i="13"/>
  <c r="AH150" i="13"/>
  <c r="AG150" i="13"/>
  <c r="AF150" i="13"/>
  <c r="AE150" i="13"/>
  <c r="AD150" i="13"/>
  <c r="AC150" i="13"/>
  <c r="AB150" i="13"/>
  <c r="AA150" i="13"/>
  <c r="Z150" i="13"/>
  <c r="Y150" i="13"/>
  <c r="X150" i="13"/>
  <c r="W150" i="13"/>
  <c r="V150" i="13"/>
  <c r="AO149" i="13"/>
  <c r="AN149" i="13"/>
  <c r="AM149" i="13"/>
  <c r="AL149" i="13"/>
  <c r="AK149" i="13"/>
  <c r="AJ149" i="13"/>
  <c r="AI149" i="13"/>
  <c r="AH149" i="13"/>
  <c r="AG149" i="13"/>
  <c r="AF149" i="13"/>
  <c r="AE149" i="13"/>
  <c r="AD149" i="13"/>
  <c r="AC149" i="13"/>
  <c r="AB149" i="13"/>
  <c r="AA149" i="13"/>
  <c r="Z149" i="13"/>
  <c r="Y149" i="13"/>
  <c r="X149" i="13"/>
  <c r="W149" i="13"/>
  <c r="V149" i="13"/>
  <c r="AO148" i="13"/>
  <c r="AN148" i="13"/>
  <c r="AM148" i="13"/>
  <c r="AL148" i="13"/>
  <c r="AK148" i="13"/>
  <c r="AJ148" i="13"/>
  <c r="AI148" i="13"/>
  <c r="AH148" i="13"/>
  <c r="AG148" i="13"/>
  <c r="AF148" i="13"/>
  <c r="AE148" i="13"/>
  <c r="AD148" i="13"/>
  <c r="AC148" i="13"/>
  <c r="AB148" i="13"/>
  <c r="AA148" i="13"/>
  <c r="Z148" i="13"/>
  <c r="Y148" i="13"/>
  <c r="X148" i="13"/>
  <c r="W148" i="13"/>
  <c r="V148" i="13"/>
  <c r="AO147" i="13"/>
  <c r="AN147" i="13"/>
  <c r="AM147" i="13"/>
  <c r="AL147" i="13"/>
  <c r="AK147" i="13"/>
  <c r="AJ147" i="13"/>
  <c r="AI147" i="13"/>
  <c r="AH147" i="13"/>
  <c r="AG147" i="13"/>
  <c r="AF147" i="13"/>
  <c r="AE147" i="13"/>
  <c r="AD147" i="13"/>
  <c r="AC147" i="13"/>
  <c r="AB147" i="13"/>
  <c r="AA147" i="13"/>
  <c r="Z147" i="13"/>
  <c r="Y147" i="13"/>
  <c r="X147" i="13"/>
  <c r="W147" i="13"/>
  <c r="V147" i="13"/>
  <c r="AO146" i="13"/>
  <c r="AN146" i="13"/>
  <c r="AM146" i="13"/>
  <c r="AL146" i="13"/>
  <c r="AK146" i="13"/>
  <c r="AJ146" i="13"/>
  <c r="AI146" i="13"/>
  <c r="AH146" i="13"/>
  <c r="AG146" i="13"/>
  <c r="AF146" i="13"/>
  <c r="AE146" i="13"/>
  <c r="AD146" i="13"/>
  <c r="AC146" i="13"/>
  <c r="AB146" i="13"/>
  <c r="AA146" i="13"/>
  <c r="Z146" i="13"/>
  <c r="Y146" i="13"/>
  <c r="X146" i="13"/>
  <c r="W146" i="13"/>
  <c r="V146" i="13"/>
  <c r="AO145" i="13"/>
  <c r="AN145" i="13"/>
  <c r="AM145" i="13"/>
  <c r="AL145" i="13"/>
  <c r="AK145" i="13"/>
  <c r="AJ145" i="13"/>
  <c r="AI145" i="13"/>
  <c r="AH145" i="13"/>
  <c r="AG145" i="13"/>
  <c r="AF145" i="13"/>
  <c r="AE145" i="13"/>
  <c r="AD145" i="13"/>
  <c r="AC145" i="13"/>
  <c r="AB145" i="13"/>
  <c r="AA145" i="13"/>
  <c r="Z145" i="13"/>
  <c r="Y145" i="13"/>
  <c r="X145" i="13"/>
  <c r="W145" i="13"/>
  <c r="V145" i="13"/>
  <c r="AO144" i="13"/>
  <c r="AN144" i="13"/>
  <c r="AM144" i="13"/>
  <c r="AL144" i="13"/>
  <c r="AK144" i="13"/>
  <c r="AJ144" i="13"/>
  <c r="AI144" i="13"/>
  <c r="AH144" i="13"/>
  <c r="AG144" i="13"/>
  <c r="AF144" i="13"/>
  <c r="AE144" i="13"/>
  <c r="AD144" i="13"/>
  <c r="AC144" i="13"/>
  <c r="AB144" i="13"/>
  <c r="AA144" i="13"/>
  <c r="Z144" i="13"/>
  <c r="Y144" i="13"/>
  <c r="X144" i="13"/>
  <c r="W144" i="13"/>
  <c r="V144" i="13"/>
  <c r="AO143" i="13"/>
  <c r="AN143" i="13"/>
  <c r="AM143" i="13"/>
  <c r="AL143" i="13"/>
  <c r="AK143" i="13"/>
  <c r="AJ143" i="13"/>
  <c r="AI143" i="13"/>
  <c r="AH143" i="13"/>
  <c r="AG143" i="13"/>
  <c r="AF143" i="13"/>
  <c r="AE143" i="13"/>
  <c r="AD143" i="13"/>
  <c r="AC143" i="13"/>
  <c r="AB143" i="13"/>
  <c r="AA143" i="13"/>
  <c r="Z143" i="13"/>
  <c r="Y143" i="13"/>
  <c r="X143" i="13"/>
  <c r="W143" i="13"/>
  <c r="V143" i="13"/>
  <c r="AO142" i="13"/>
  <c r="AN142" i="13"/>
  <c r="AM142" i="13"/>
  <c r="AL142" i="13"/>
  <c r="AK142" i="13"/>
  <c r="AJ142" i="13"/>
  <c r="AI142" i="13"/>
  <c r="AH142" i="13"/>
  <c r="AG142" i="13"/>
  <c r="AF142" i="13"/>
  <c r="AE142" i="13"/>
  <c r="AD142" i="13"/>
  <c r="AC142" i="13"/>
  <c r="AB142" i="13"/>
  <c r="AA142" i="13"/>
  <c r="Z142" i="13"/>
  <c r="Y142" i="13"/>
  <c r="X142" i="13"/>
  <c r="W142" i="13"/>
  <c r="V142" i="13"/>
  <c r="AO141" i="13"/>
  <c r="AN141" i="13"/>
  <c r="AM141" i="13"/>
  <c r="AL141" i="13"/>
  <c r="AK141" i="13"/>
  <c r="AJ141" i="13"/>
  <c r="AI141" i="13"/>
  <c r="AH141" i="13"/>
  <c r="AG141" i="13"/>
  <c r="AF141" i="13"/>
  <c r="AE141" i="13"/>
  <c r="AD141" i="13"/>
  <c r="AC141" i="13"/>
  <c r="AB141" i="13"/>
  <c r="AA141" i="13"/>
  <c r="Z141" i="13"/>
  <c r="Y141" i="13"/>
  <c r="X141" i="13"/>
  <c r="W141" i="13"/>
  <c r="V141" i="13"/>
  <c r="AO140" i="13"/>
  <c r="AN140" i="13"/>
  <c r="AM140" i="13"/>
  <c r="AL140" i="13"/>
  <c r="AK140" i="13"/>
  <c r="AJ140" i="13"/>
  <c r="AI140" i="13"/>
  <c r="AH140" i="13"/>
  <c r="AG140" i="13"/>
  <c r="AF140" i="13"/>
  <c r="AE140" i="13"/>
  <c r="AD140" i="13"/>
  <c r="AC140" i="13"/>
  <c r="AB140" i="13"/>
  <c r="AA140" i="13"/>
  <c r="Z140" i="13"/>
  <c r="Y140" i="13"/>
  <c r="X140" i="13"/>
  <c r="W140" i="13"/>
  <c r="V140" i="13"/>
  <c r="AO139" i="13"/>
  <c r="AN139" i="13"/>
  <c r="AM139" i="13"/>
  <c r="AL139" i="13"/>
  <c r="AK139" i="13"/>
  <c r="AJ139" i="13"/>
  <c r="AI139" i="13"/>
  <c r="AH139" i="13"/>
  <c r="AG139" i="13"/>
  <c r="AF139" i="13"/>
  <c r="AE139" i="13"/>
  <c r="AD139" i="13"/>
  <c r="AC139" i="13"/>
  <c r="AB139" i="13"/>
  <c r="AA139" i="13"/>
  <c r="Z139" i="13"/>
  <c r="Y139" i="13"/>
  <c r="X139" i="13"/>
  <c r="W139" i="13"/>
  <c r="V139" i="13"/>
  <c r="AO138" i="13"/>
  <c r="AN138" i="13"/>
  <c r="AM138" i="13"/>
  <c r="AL138" i="13"/>
  <c r="AK138" i="13"/>
  <c r="AJ138" i="13"/>
  <c r="AI138" i="13"/>
  <c r="AH138" i="13"/>
  <c r="AG138" i="13"/>
  <c r="AF138" i="13"/>
  <c r="AE138" i="13"/>
  <c r="AD138" i="13"/>
  <c r="AC138" i="13"/>
  <c r="AB138" i="13"/>
  <c r="AA138" i="13"/>
  <c r="Z138" i="13"/>
  <c r="Y138" i="13"/>
  <c r="X138" i="13"/>
  <c r="W138" i="13"/>
  <c r="V138" i="13"/>
  <c r="AO137" i="13"/>
  <c r="AN137" i="13"/>
  <c r="AM137" i="13"/>
  <c r="AL137" i="13"/>
  <c r="AK137" i="13"/>
  <c r="AJ137" i="13"/>
  <c r="AI137" i="13"/>
  <c r="AH137" i="13"/>
  <c r="AG137" i="13"/>
  <c r="AF137" i="13"/>
  <c r="AE137" i="13"/>
  <c r="AD137" i="13"/>
  <c r="AC137" i="13"/>
  <c r="AB137" i="13"/>
  <c r="AA137" i="13"/>
  <c r="Z137" i="13"/>
  <c r="Y137" i="13"/>
  <c r="X137" i="13"/>
  <c r="W137" i="13"/>
  <c r="V137" i="13"/>
  <c r="AO136" i="13"/>
  <c r="AN136" i="13"/>
  <c r="AM136" i="13"/>
  <c r="AL136" i="13"/>
  <c r="AK136" i="13"/>
  <c r="AJ136" i="13"/>
  <c r="AI136" i="13"/>
  <c r="AH136" i="13"/>
  <c r="AG136" i="13"/>
  <c r="AF136" i="13"/>
  <c r="AE136" i="13"/>
  <c r="AD136" i="13"/>
  <c r="AC136" i="13"/>
  <c r="AB136" i="13"/>
  <c r="AA136" i="13"/>
  <c r="Z136" i="13"/>
  <c r="Y136" i="13"/>
  <c r="X136" i="13"/>
  <c r="W136" i="13"/>
  <c r="V136" i="13"/>
  <c r="AO135" i="13"/>
  <c r="AN135" i="13"/>
  <c r="AM135" i="13"/>
  <c r="AL135" i="13"/>
  <c r="AK135" i="13"/>
  <c r="AJ135" i="13"/>
  <c r="AI135" i="13"/>
  <c r="AH135" i="13"/>
  <c r="AG135" i="13"/>
  <c r="AF135" i="13"/>
  <c r="AE135" i="13"/>
  <c r="AD135" i="13"/>
  <c r="AC135" i="13"/>
  <c r="AB135" i="13"/>
  <c r="AA135" i="13"/>
  <c r="Z135" i="13"/>
  <c r="Y135" i="13"/>
  <c r="X135" i="13"/>
  <c r="W135" i="13"/>
  <c r="V135" i="13"/>
  <c r="AO134" i="13"/>
  <c r="AN134" i="13"/>
  <c r="AM134" i="13"/>
  <c r="AL134" i="13"/>
  <c r="AK134" i="13"/>
  <c r="AJ134" i="13"/>
  <c r="AI134" i="13"/>
  <c r="AH134" i="13"/>
  <c r="AG134" i="13"/>
  <c r="AF134" i="13"/>
  <c r="AE134" i="13"/>
  <c r="AD134" i="13"/>
  <c r="AC134" i="13"/>
  <c r="AB134" i="13"/>
  <c r="AA134" i="13"/>
  <c r="Z134" i="13"/>
  <c r="Y134" i="13"/>
  <c r="X134" i="13"/>
  <c r="W134" i="13"/>
  <c r="V134" i="13"/>
  <c r="AO133" i="13"/>
  <c r="AN133" i="13"/>
  <c r="AM133" i="13"/>
  <c r="AL133" i="13"/>
  <c r="AK133" i="13"/>
  <c r="AJ133" i="13"/>
  <c r="AI133" i="13"/>
  <c r="AH133" i="13"/>
  <c r="AG133" i="13"/>
  <c r="AF133" i="13"/>
  <c r="AE133" i="13"/>
  <c r="AD133" i="13"/>
  <c r="AC133" i="13"/>
  <c r="AB133" i="13"/>
  <c r="AA133" i="13"/>
  <c r="Z133" i="13"/>
  <c r="Y133" i="13"/>
  <c r="X133" i="13"/>
  <c r="W133" i="13"/>
  <c r="V133" i="13"/>
  <c r="AO132" i="13"/>
  <c r="AN132" i="13"/>
  <c r="AM132" i="13"/>
  <c r="AL132" i="13"/>
  <c r="AK132" i="13"/>
  <c r="AJ132" i="13"/>
  <c r="AI132" i="13"/>
  <c r="AH132" i="13"/>
  <c r="AG132" i="13"/>
  <c r="AF132" i="13"/>
  <c r="AE132" i="13"/>
  <c r="AD132" i="13"/>
  <c r="AC132" i="13"/>
  <c r="AB132" i="13"/>
  <c r="AA132" i="13"/>
  <c r="Z132" i="13"/>
  <c r="Y132" i="13"/>
  <c r="X132" i="13"/>
  <c r="W132" i="13"/>
  <c r="V132" i="13"/>
  <c r="AO131" i="13"/>
  <c r="AN131" i="13"/>
  <c r="AM131" i="13"/>
  <c r="AL131" i="13"/>
  <c r="AK131" i="13"/>
  <c r="AJ131" i="13"/>
  <c r="AI131" i="13"/>
  <c r="AH131" i="13"/>
  <c r="AG131" i="13"/>
  <c r="AF131" i="13"/>
  <c r="AE131" i="13"/>
  <c r="AD131" i="13"/>
  <c r="AC131" i="13"/>
  <c r="AB131" i="13"/>
  <c r="AA131" i="13"/>
  <c r="Z131" i="13"/>
  <c r="Y131" i="13"/>
  <c r="X131" i="13"/>
  <c r="W131" i="13"/>
  <c r="V131" i="13"/>
  <c r="AO130" i="13"/>
  <c r="AN130" i="13"/>
  <c r="AM130" i="13"/>
  <c r="AL130" i="13"/>
  <c r="AK130" i="13"/>
  <c r="AJ130" i="13"/>
  <c r="AI130" i="13"/>
  <c r="AH130" i="13"/>
  <c r="AG130" i="13"/>
  <c r="AF130" i="13"/>
  <c r="AE130" i="13"/>
  <c r="AD130" i="13"/>
  <c r="AC130" i="13"/>
  <c r="AB130" i="13"/>
  <c r="AA130" i="13"/>
  <c r="Z130" i="13"/>
  <c r="Y130" i="13"/>
  <c r="X130" i="13"/>
  <c r="W130" i="13"/>
  <c r="V130" i="13"/>
  <c r="AO129" i="13"/>
  <c r="AN129" i="13"/>
  <c r="AM129" i="13"/>
  <c r="AL129" i="13"/>
  <c r="AK129" i="13"/>
  <c r="AJ129" i="13"/>
  <c r="AI129" i="13"/>
  <c r="AH129" i="13"/>
  <c r="AG129" i="13"/>
  <c r="AF129" i="13"/>
  <c r="AE129" i="13"/>
  <c r="AD129" i="13"/>
  <c r="AC129" i="13"/>
  <c r="AB129" i="13"/>
  <c r="AA129" i="13"/>
  <c r="Z129" i="13"/>
  <c r="Y129" i="13"/>
  <c r="X129" i="13"/>
  <c r="W129" i="13"/>
  <c r="V129" i="13"/>
  <c r="AO128" i="13"/>
  <c r="AN128" i="13"/>
  <c r="AM128" i="13"/>
  <c r="AL128" i="13"/>
  <c r="AK128" i="13"/>
  <c r="AJ128" i="13"/>
  <c r="AI128" i="13"/>
  <c r="AH128" i="13"/>
  <c r="AG128" i="13"/>
  <c r="AF128" i="13"/>
  <c r="AE128" i="13"/>
  <c r="AD128" i="13"/>
  <c r="AC128" i="13"/>
  <c r="AB128" i="13"/>
  <c r="AA128" i="13"/>
  <c r="Z128" i="13"/>
  <c r="Y128" i="13"/>
  <c r="X128" i="13"/>
  <c r="W128" i="13"/>
  <c r="V128" i="13"/>
  <c r="AO127" i="13"/>
  <c r="AN127" i="13"/>
  <c r="AM127" i="13"/>
  <c r="AL127" i="13"/>
  <c r="AK127" i="13"/>
  <c r="AJ127" i="13"/>
  <c r="AI127" i="13"/>
  <c r="AH127" i="13"/>
  <c r="AG127" i="13"/>
  <c r="AF127" i="13"/>
  <c r="AE127" i="13"/>
  <c r="AD127" i="13"/>
  <c r="AC127" i="13"/>
  <c r="AB127" i="13"/>
  <c r="AA127" i="13"/>
  <c r="Z127" i="13"/>
  <c r="Y127" i="13"/>
  <c r="X127" i="13"/>
  <c r="W127" i="13"/>
  <c r="V127" i="13"/>
  <c r="AO126" i="13"/>
  <c r="AN126" i="13"/>
  <c r="AM126" i="13"/>
  <c r="AL126" i="13"/>
  <c r="AK126" i="13"/>
  <c r="AJ126" i="13"/>
  <c r="AI126" i="13"/>
  <c r="AH126" i="13"/>
  <c r="AG126" i="13"/>
  <c r="AF126" i="13"/>
  <c r="AE126" i="13"/>
  <c r="AD126" i="13"/>
  <c r="AC126" i="13"/>
  <c r="AB126" i="13"/>
  <c r="AA126" i="13"/>
  <c r="Z126" i="13"/>
  <c r="Y126" i="13"/>
  <c r="X126" i="13"/>
  <c r="W126" i="13"/>
  <c r="V126" i="13"/>
  <c r="AO125" i="13"/>
  <c r="AN125" i="13"/>
  <c r="AM125" i="13"/>
  <c r="AL125" i="13"/>
  <c r="AK125" i="13"/>
  <c r="AJ125" i="13"/>
  <c r="AI125" i="13"/>
  <c r="AH125" i="13"/>
  <c r="AG125" i="13"/>
  <c r="AF125" i="13"/>
  <c r="AE125" i="13"/>
  <c r="AD125" i="13"/>
  <c r="AC125" i="13"/>
  <c r="AB125" i="13"/>
  <c r="AA125" i="13"/>
  <c r="Z125" i="13"/>
  <c r="Y125" i="13"/>
  <c r="X125" i="13"/>
  <c r="W125" i="13"/>
  <c r="V125" i="13"/>
  <c r="AO124" i="13"/>
  <c r="AN124" i="13"/>
  <c r="AM124" i="13"/>
  <c r="AL124" i="13"/>
  <c r="AK124" i="13"/>
  <c r="AJ124" i="13"/>
  <c r="AI124" i="13"/>
  <c r="AH124" i="13"/>
  <c r="AG124" i="13"/>
  <c r="AF124" i="13"/>
  <c r="AE124" i="13"/>
  <c r="AD124" i="13"/>
  <c r="AC124" i="13"/>
  <c r="AB124" i="13"/>
  <c r="AA124" i="13"/>
  <c r="Z124" i="13"/>
  <c r="Y124" i="13"/>
  <c r="X124" i="13"/>
  <c r="W124" i="13"/>
  <c r="V124" i="13"/>
  <c r="AO123" i="13"/>
  <c r="AN123" i="13"/>
  <c r="AM123" i="13"/>
  <c r="AL123" i="13"/>
  <c r="AK123" i="13"/>
  <c r="AJ123" i="13"/>
  <c r="AI123" i="13"/>
  <c r="AH123" i="13"/>
  <c r="AG123" i="13"/>
  <c r="AF123" i="13"/>
  <c r="AE123" i="13"/>
  <c r="AD123" i="13"/>
  <c r="AC123" i="13"/>
  <c r="AB123" i="13"/>
  <c r="AA123" i="13"/>
  <c r="Z123" i="13"/>
  <c r="Y123" i="13"/>
  <c r="X123" i="13"/>
  <c r="W123" i="13"/>
  <c r="V123" i="13"/>
  <c r="AO122" i="13"/>
  <c r="AN122" i="13"/>
  <c r="AM122" i="13"/>
  <c r="AL122" i="13"/>
  <c r="AK122" i="13"/>
  <c r="AJ122" i="13"/>
  <c r="AI122" i="13"/>
  <c r="AH122" i="13"/>
  <c r="AG122" i="13"/>
  <c r="AF122" i="13"/>
  <c r="AE122" i="13"/>
  <c r="AD122" i="13"/>
  <c r="AC122" i="13"/>
  <c r="AB122" i="13"/>
  <c r="AA122" i="13"/>
  <c r="Z122" i="13"/>
  <c r="Y122" i="13"/>
  <c r="X122" i="13"/>
  <c r="W122" i="13"/>
  <c r="V122" i="13"/>
  <c r="AO121" i="13"/>
  <c r="AN121" i="13"/>
  <c r="AM121" i="13"/>
  <c r="AL121" i="13"/>
  <c r="AK121" i="13"/>
  <c r="AJ121" i="13"/>
  <c r="AI121" i="13"/>
  <c r="AH121" i="13"/>
  <c r="AG121" i="13"/>
  <c r="AF121" i="13"/>
  <c r="AE121" i="13"/>
  <c r="AD121" i="13"/>
  <c r="AC121" i="13"/>
  <c r="AB121" i="13"/>
  <c r="AA121" i="13"/>
  <c r="Z121" i="13"/>
  <c r="Y121" i="13"/>
  <c r="X121" i="13"/>
  <c r="W121" i="13"/>
  <c r="V121" i="13"/>
  <c r="AO120" i="13"/>
  <c r="AN120" i="13"/>
  <c r="AM120" i="13"/>
  <c r="AL120" i="13"/>
  <c r="AK120" i="13"/>
  <c r="AJ120" i="13"/>
  <c r="AI120" i="13"/>
  <c r="AH120" i="13"/>
  <c r="AG120" i="13"/>
  <c r="AF120" i="13"/>
  <c r="AE120" i="13"/>
  <c r="AD120" i="13"/>
  <c r="AC120" i="13"/>
  <c r="AB120" i="13"/>
  <c r="AA120" i="13"/>
  <c r="Z120" i="13"/>
  <c r="Y120" i="13"/>
  <c r="X120" i="13"/>
  <c r="W120" i="13"/>
  <c r="V120" i="13"/>
  <c r="AO119" i="13"/>
  <c r="AN119" i="13"/>
  <c r="AM119" i="13"/>
  <c r="AL119" i="13"/>
  <c r="AK119" i="13"/>
  <c r="AJ119" i="13"/>
  <c r="AI119" i="13"/>
  <c r="AH119" i="13"/>
  <c r="AG119" i="13"/>
  <c r="AF119" i="13"/>
  <c r="AE119" i="13"/>
  <c r="AD119" i="13"/>
  <c r="AC119" i="13"/>
  <c r="AB119" i="13"/>
  <c r="AA119" i="13"/>
  <c r="Z119" i="13"/>
  <c r="Y119" i="13"/>
  <c r="X119" i="13"/>
  <c r="W119" i="13"/>
  <c r="V119" i="13"/>
  <c r="AO118" i="13"/>
  <c r="AN118" i="13"/>
  <c r="AM118" i="13"/>
  <c r="AL118" i="13"/>
  <c r="AK118" i="13"/>
  <c r="AJ118" i="13"/>
  <c r="AI118" i="13"/>
  <c r="AH118" i="13"/>
  <c r="AG118" i="13"/>
  <c r="AF118" i="13"/>
  <c r="AE118" i="13"/>
  <c r="AD118" i="13"/>
  <c r="AC118" i="13"/>
  <c r="AB118" i="13"/>
  <c r="AA118" i="13"/>
  <c r="Z118" i="13"/>
  <c r="Y118" i="13"/>
  <c r="X118" i="13"/>
  <c r="W118" i="13"/>
  <c r="V118" i="13"/>
  <c r="AO117" i="13"/>
  <c r="AN117" i="13"/>
  <c r="AM117" i="13"/>
  <c r="AL117" i="13"/>
  <c r="AK117" i="13"/>
  <c r="AJ117" i="13"/>
  <c r="AI117" i="13"/>
  <c r="AH117" i="13"/>
  <c r="AG117" i="13"/>
  <c r="AF117" i="13"/>
  <c r="AE117" i="13"/>
  <c r="AD117" i="13"/>
  <c r="AC117" i="13"/>
  <c r="AB117" i="13"/>
  <c r="AA117" i="13"/>
  <c r="Z117" i="13"/>
  <c r="Y117" i="13"/>
  <c r="X117" i="13"/>
  <c r="W117" i="13"/>
  <c r="V117" i="13"/>
  <c r="AO116" i="13"/>
  <c r="AN116" i="13"/>
  <c r="AM116" i="13"/>
  <c r="AL116" i="13"/>
  <c r="AK116" i="13"/>
  <c r="AJ116" i="13"/>
  <c r="AI116" i="13"/>
  <c r="AH116" i="13"/>
  <c r="AG116" i="13"/>
  <c r="AF116" i="13"/>
  <c r="AE116" i="13"/>
  <c r="AD116" i="13"/>
  <c r="AC116" i="13"/>
  <c r="AB116" i="13"/>
  <c r="AA116" i="13"/>
  <c r="Z116" i="13"/>
  <c r="Y116" i="13"/>
  <c r="X116" i="13"/>
  <c r="W116" i="13"/>
  <c r="V116" i="13"/>
  <c r="AO115" i="13"/>
  <c r="AN115" i="13"/>
  <c r="AM115" i="13"/>
  <c r="AL115" i="13"/>
  <c r="AK115" i="13"/>
  <c r="AJ115" i="13"/>
  <c r="AI115" i="13"/>
  <c r="AH115" i="13"/>
  <c r="AG115" i="13"/>
  <c r="AF115" i="13"/>
  <c r="AE115" i="13"/>
  <c r="AD115" i="13"/>
  <c r="AC115" i="13"/>
  <c r="AB115" i="13"/>
  <c r="AA115" i="13"/>
  <c r="Z115" i="13"/>
  <c r="Y115" i="13"/>
  <c r="X115" i="13"/>
  <c r="W115" i="13"/>
  <c r="V115" i="13"/>
  <c r="AO114" i="13"/>
  <c r="AN114" i="13"/>
  <c r="AM114" i="13"/>
  <c r="AL114" i="13"/>
  <c r="AK114" i="13"/>
  <c r="AJ114" i="13"/>
  <c r="AI114" i="13"/>
  <c r="AH114" i="13"/>
  <c r="AG114" i="13"/>
  <c r="AF114" i="13"/>
  <c r="AE114" i="13"/>
  <c r="AD114" i="13"/>
  <c r="AC114" i="13"/>
  <c r="AB114" i="13"/>
  <c r="AA114" i="13"/>
  <c r="Z114" i="13"/>
  <c r="Y114" i="13"/>
  <c r="X114" i="13"/>
  <c r="W114" i="13"/>
  <c r="V114" i="13"/>
  <c r="AO113" i="13"/>
  <c r="AN113" i="13"/>
  <c r="AM113" i="13"/>
  <c r="AL113" i="13"/>
  <c r="AK113" i="13"/>
  <c r="AJ113" i="13"/>
  <c r="AI113" i="13"/>
  <c r="AH113" i="13"/>
  <c r="AG113" i="13"/>
  <c r="AF113" i="13"/>
  <c r="AE113" i="13"/>
  <c r="AD113" i="13"/>
  <c r="AC113" i="13"/>
  <c r="AB113" i="13"/>
  <c r="AA113" i="13"/>
  <c r="Z113" i="13"/>
  <c r="Y113" i="13"/>
  <c r="X113" i="13"/>
  <c r="W113" i="13"/>
  <c r="V113" i="13"/>
  <c r="AO112" i="13"/>
  <c r="AN112" i="13"/>
  <c r="AM112" i="13"/>
  <c r="AL112" i="13"/>
  <c r="AK112" i="13"/>
  <c r="AJ112" i="13"/>
  <c r="AI112" i="13"/>
  <c r="AH112" i="13"/>
  <c r="AG112" i="13"/>
  <c r="AF112" i="13"/>
  <c r="AE112" i="13"/>
  <c r="AD112" i="13"/>
  <c r="AC112" i="13"/>
  <c r="AB112" i="13"/>
  <c r="AA112" i="13"/>
  <c r="Z112" i="13"/>
  <c r="Y112" i="13"/>
  <c r="X112" i="13"/>
  <c r="W112" i="13"/>
  <c r="V112" i="13"/>
  <c r="AO111" i="13"/>
  <c r="AN111" i="13"/>
  <c r="AM111" i="13"/>
  <c r="AL111" i="13"/>
  <c r="AK111" i="13"/>
  <c r="AJ111" i="13"/>
  <c r="AI111" i="13"/>
  <c r="AH111" i="13"/>
  <c r="AG111" i="13"/>
  <c r="AF111" i="13"/>
  <c r="AE111" i="13"/>
  <c r="AD111" i="13"/>
  <c r="AC111" i="13"/>
  <c r="AB111" i="13"/>
  <c r="AA111" i="13"/>
  <c r="Z111" i="13"/>
  <c r="Y111" i="13"/>
  <c r="X111" i="13"/>
  <c r="W111" i="13"/>
  <c r="V111" i="13"/>
  <c r="AO110" i="13"/>
  <c r="AN110" i="13"/>
  <c r="AM110" i="13"/>
  <c r="AL110" i="13"/>
  <c r="AK110" i="13"/>
  <c r="AJ110" i="13"/>
  <c r="AI110" i="13"/>
  <c r="AH110" i="13"/>
  <c r="AG110" i="13"/>
  <c r="AF110" i="13"/>
  <c r="AE110" i="13"/>
  <c r="AD110" i="13"/>
  <c r="AC110" i="13"/>
  <c r="AB110" i="13"/>
  <c r="AA110" i="13"/>
  <c r="Z110" i="13"/>
  <c r="Y110" i="13"/>
  <c r="X110" i="13"/>
  <c r="W110" i="13"/>
  <c r="V110" i="13"/>
  <c r="AO109" i="13"/>
  <c r="AN109" i="13"/>
  <c r="AM109" i="13"/>
  <c r="AL109" i="13"/>
  <c r="AK109" i="13"/>
  <c r="AJ109" i="13"/>
  <c r="AI109" i="13"/>
  <c r="AH109" i="13"/>
  <c r="AG109" i="13"/>
  <c r="AF109" i="13"/>
  <c r="AE109" i="13"/>
  <c r="AD109" i="13"/>
  <c r="AC109" i="13"/>
  <c r="AB109" i="13"/>
  <c r="AA109" i="13"/>
  <c r="Z109" i="13"/>
  <c r="Y109" i="13"/>
  <c r="X109" i="13"/>
  <c r="W109" i="13"/>
  <c r="V109" i="13"/>
  <c r="AO108" i="13"/>
  <c r="AN108" i="13"/>
  <c r="AM108" i="13"/>
  <c r="AL108" i="13"/>
  <c r="AK108" i="13"/>
  <c r="AJ108" i="13"/>
  <c r="AI108" i="13"/>
  <c r="AH108" i="13"/>
  <c r="AG108" i="13"/>
  <c r="AF108" i="13"/>
  <c r="AE108" i="13"/>
  <c r="AD108" i="13"/>
  <c r="AC108" i="13"/>
  <c r="AB108" i="13"/>
  <c r="AA108" i="13"/>
  <c r="Z108" i="13"/>
  <c r="Y108" i="13"/>
  <c r="X108" i="13"/>
  <c r="W108" i="13"/>
  <c r="V108" i="13"/>
  <c r="AO107" i="13"/>
  <c r="AN107" i="13"/>
  <c r="AM107" i="13"/>
  <c r="AL107" i="13"/>
  <c r="AK107" i="13"/>
  <c r="AJ107" i="13"/>
  <c r="AI107" i="13"/>
  <c r="AH107" i="13"/>
  <c r="AG107" i="13"/>
  <c r="AF107" i="13"/>
  <c r="AE107" i="13"/>
  <c r="AD107" i="13"/>
  <c r="AC107" i="13"/>
  <c r="AB107" i="13"/>
  <c r="AA107" i="13"/>
  <c r="Z107" i="13"/>
  <c r="Y107" i="13"/>
  <c r="X107" i="13"/>
  <c r="W107" i="13"/>
  <c r="V107" i="13"/>
  <c r="AO106" i="13"/>
  <c r="AN106" i="13"/>
  <c r="AM106" i="13"/>
  <c r="AL106" i="13"/>
  <c r="AK106" i="13"/>
  <c r="AJ106" i="13"/>
  <c r="AI106" i="13"/>
  <c r="AH106" i="13"/>
  <c r="AG106" i="13"/>
  <c r="AF106" i="13"/>
  <c r="AE106" i="13"/>
  <c r="AD106" i="13"/>
  <c r="AC106" i="13"/>
  <c r="AB106" i="13"/>
  <c r="AA106" i="13"/>
  <c r="Z106" i="13"/>
  <c r="Y106" i="13"/>
  <c r="X106" i="13"/>
  <c r="W106" i="13"/>
  <c r="V106" i="13"/>
  <c r="AO105" i="13"/>
  <c r="AN105" i="13"/>
  <c r="AM105" i="13"/>
  <c r="AL105" i="13"/>
  <c r="AK105" i="13"/>
  <c r="AJ105" i="13"/>
  <c r="AI105" i="13"/>
  <c r="AH105" i="13"/>
  <c r="AG105" i="13"/>
  <c r="AF105" i="13"/>
  <c r="AE105" i="13"/>
  <c r="AD105" i="13"/>
  <c r="AC105" i="13"/>
  <c r="AB105" i="13"/>
  <c r="AA105" i="13"/>
  <c r="Z105" i="13"/>
  <c r="Y105" i="13"/>
  <c r="X105" i="13"/>
  <c r="W105" i="13"/>
  <c r="V105" i="13"/>
  <c r="AO104" i="13"/>
  <c r="AN104" i="13"/>
  <c r="AM104" i="13"/>
  <c r="AL104" i="13"/>
  <c r="AK104" i="13"/>
  <c r="AJ104" i="13"/>
  <c r="AI104" i="13"/>
  <c r="AH104" i="13"/>
  <c r="AG104" i="13"/>
  <c r="AF104" i="13"/>
  <c r="AE104" i="13"/>
  <c r="AD104" i="13"/>
  <c r="AC104" i="13"/>
  <c r="AB104" i="13"/>
  <c r="AA104" i="13"/>
  <c r="Z104" i="13"/>
  <c r="Y104" i="13"/>
  <c r="X104" i="13"/>
  <c r="W104" i="13"/>
  <c r="V104" i="13"/>
  <c r="AO103" i="13"/>
  <c r="AN103" i="13"/>
  <c r="AM103" i="13"/>
  <c r="AL103" i="13"/>
  <c r="AK103" i="13"/>
  <c r="AJ103" i="13"/>
  <c r="AI103" i="13"/>
  <c r="AH103" i="13"/>
  <c r="AG103" i="13"/>
  <c r="AF103" i="13"/>
  <c r="AE103" i="13"/>
  <c r="AD103" i="13"/>
  <c r="AC103" i="13"/>
  <c r="AB103" i="13"/>
  <c r="AA103" i="13"/>
  <c r="Z103" i="13"/>
  <c r="Y103" i="13"/>
  <c r="X103" i="13"/>
  <c r="W103" i="13"/>
  <c r="V103" i="13"/>
  <c r="AO102" i="13"/>
  <c r="AN102" i="13"/>
  <c r="AM102" i="13"/>
  <c r="AL102" i="13"/>
  <c r="AK102" i="13"/>
  <c r="AJ102" i="13"/>
  <c r="AI102" i="13"/>
  <c r="AH102" i="13"/>
  <c r="AG102" i="13"/>
  <c r="AF102" i="13"/>
  <c r="AE102" i="13"/>
  <c r="AD102" i="13"/>
  <c r="AC102" i="13"/>
  <c r="AB102" i="13"/>
  <c r="AA102" i="13"/>
  <c r="Z102" i="13"/>
  <c r="Y102" i="13"/>
  <c r="X102" i="13"/>
  <c r="W102" i="13"/>
  <c r="V102" i="13"/>
  <c r="AO101" i="13"/>
  <c r="AN101" i="13"/>
  <c r="AM101" i="13"/>
  <c r="AL101" i="13"/>
  <c r="AK101" i="13"/>
  <c r="AJ101" i="13"/>
  <c r="AI101" i="13"/>
  <c r="AH101" i="13"/>
  <c r="AG101" i="13"/>
  <c r="AF101" i="13"/>
  <c r="AE101" i="13"/>
  <c r="AD101" i="13"/>
  <c r="AC101" i="13"/>
  <c r="AB101" i="13"/>
  <c r="AA101" i="13"/>
  <c r="Z101" i="13"/>
  <c r="Y101" i="13"/>
  <c r="X101" i="13"/>
  <c r="W101" i="13"/>
  <c r="V101" i="13"/>
  <c r="AO100" i="13"/>
  <c r="AN100" i="13"/>
  <c r="AM100" i="13"/>
  <c r="AL100" i="13"/>
  <c r="AK100" i="13"/>
  <c r="AJ100" i="13"/>
  <c r="AI100" i="13"/>
  <c r="AH100" i="13"/>
  <c r="AG100" i="13"/>
  <c r="AF100" i="13"/>
  <c r="AE100" i="13"/>
  <c r="AD100" i="13"/>
  <c r="AC100" i="13"/>
  <c r="AB100" i="13"/>
  <c r="AA100" i="13"/>
  <c r="Z100" i="13"/>
  <c r="Y100" i="13"/>
  <c r="X100" i="13"/>
  <c r="W100" i="13"/>
  <c r="V100" i="13"/>
  <c r="AB95" i="13"/>
  <c r="AA95" i="13"/>
  <c r="AC94" i="13"/>
  <c r="V92" i="13"/>
  <c r="AC91" i="13"/>
  <c r="Z90" i="13"/>
  <c r="Z82" i="13"/>
  <c r="Y82" i="13"/>
  <c r="X82" i="13"/>
  <c r="W82" i="13"/>
  <c r="V82" i="13"/>
  <c r="Z81" i="13"/>
  <c r="Y81" i="13"/>
  <c r="X81" i="13"/>
  <c r="W81" i="13"/>
  <c r="V81" i="13"/>
  <c r="Z80" i="13"/>
  <c r="Y80" i="13"/>
  <c r="X80" i="13"/>
  <c r="W80" i="13"/>
  <c r="V80" i="13"/>
  <c r="Z79" i="13"/>
  <c r="Y79" i="13"/>
  <c r="X79" i="13"/>
  <c r="W79" i="13"/>
  <c r="V79" i="13"/>
  <c r="Z78" i="13"/>
  <c r="Y78" i="13"/>
  <c r="X78" i="13"/>
  <c r="W78" i="13"/>
  <c r="V78" i="13"/>
  <c r="Z77" i="13"/>
  <c r="Y77" i="13"/>
  <c r="X77" i="13"/>
  <c r="W77" i="13"/>
  <c r="V77" i="13"/>
  <c r="Z76" i="13"/>
  <c r="Y76" i="13"/>
  <c r="X76" i="13"/>
  <c r="W76" i="13"/>
  <c r="V76" i="13"/>
  <c r="Z75" i="13"/>
  <c r="Y75" i="13"/>
  <c r="X75" i="13"/>
  <c r="W75" i="13"/>
  <c r="V75" i="13"/>
  <c r="Z74" i="13"/>
  <c r="Y74" i="13"/>
  <c r="X74" i="13"/>
  <c r="W74" i="13"/>
  <c r="V74" i="13"/>
  <c r="Z73" i="13"/>
  <c r="Y73" i="13"/>
  <c r="X73" i="13"/>
  <c r="W73" i="13"/>
  <c r="V73" i="13"/>
  <c r="Z68" i="13"/>
  <c r="Y68" i="13"/>
  <c r="X68" i="13"/>
  <c r="W68" i="13"/>
  <c r="V68" i="13"/>
  <c r="Z67" i="13"/>
  <c r="Y67" i="13"/>
  <c r="X67" i="13"/>
  <c r="W67" i="13"/>
  <c r="V67" i="13"/>
  <c r="Z66" i="13"/>
  <c r="Y66" i="13"/>
  <c r="X66" i="13"/>
  <c r="W66" i="13"/>
  <c r="V66" i="13"/>
  <c r="Z65" i="13"/>
  <c r="Y65" i="13"/>
  <c r="X65" i="13"/>
  <c r="W65" i="13"/>
  <c r="V65" i="13"/>
  <c r="Z64" i="13"/>
  <c r="Y64" i="13"/>
  <c r="X64" i="13"/>
  <c r="W64" i="13"/>
  <c r="V64" i="13"/>
  <c r="Z63" i="13"/>
  <c r="Y63" i="13"/>
  <c r="X63" i="13"/>
  <c r="W63" i="13"/>
  <c r="V63" i="13"/>
  <c r="Z62" i="13"/>
  <c r="Y62" i="13"/>
  <c r="X62" i="13"/>
  <c r="W62" i="13"/>
  <c r="V62" i="13"/>
  <c r="Z61" i="13"/>
  <c r="Y61" i="13"/>
  <c r="X61" i="13"/>
  <c r="W61" i="13"/>
  <c r="V61" i="13"/>
  <c r="Z60" i="13"/>
  <c r="Y60" i="13"/>
  <c r="X60" i="13"/>
  <c r="W60" i="13"/>
  <c r="V60" i="13"/>
  <c r="Z59" i="13"/>
  <c r="Y59" i="13"/>
  <c r="X59" i="13"/>
  <c r="W59" i="13"/>
  <c r="V59" i="13"/>
  <c r="AQ58" i="13"/>
  <c r="Z58" i="13"/>
  <c r="Y58" i="13"/>
  <c r="X58" i="13"/>
  <c r="W58" i="13"/>
  <c r="V58" i="13"/>
  <c r="Z57" i="13"/>
  <c r="Y57" i="13"/>
  <c r="X57" i="13"/>
  <c r="W57" i="13"/>
  <c r="V57" i="13"/>
  <c r="Z56" i="13"/>
  <c r="Y56" i="13"/>
  <c r="X56" i="13"/>
  <c r="W56" i="13"/>
  <c r="V56" i="13"/>
  <c r="AP44" i="13"/>
  <c r="B59" i="13" s="1"/>
  <c r="AP43" i="13"/>
  <c r="B58" i="13" s="1"/>
  <c r="AP42" i="13"/>
  <c r="B57" i="13" s="1"/>
  <c r="X42" i="13"/>
  <c r="AP41" i="13"/>
  <c r="B56" i="13" s="1"/>
  <c r="X41" i="13"/>
  <c r="AP40" i="13"/>
  <c r="B55" i="13" s="1"/>
  <c r="X40" i="13"/>
  <c r="B40" i="13"/>
  <c r="X39" i="13"/>
  <c r="X38" i="13"/>
  <c r="X37" i="13"/>
  <c r="X36" i="13"/>
  <c r="X35" i="13"/>
  <c r="Q35" i="13"/>
  <c r="P35" i="13"/>
  <c r="E18" i="13" s="1"/>
  <c r="AL15" i="13" s="1"/>
  <c r="B35" i="13"/>
  <c r="X34" i="13"/>
  <c r="J34" i="13"/>
  <c r="J35" i="13" s="1"/>
  <c r="E36" i="13" s="1"/>
  <c r="X33" i="13"/>
  <c r="X32" i="13"/>
  <c r="AG31" i="13"/>
  <c r="X31" i="13"/>
  <c r="AC30" i="13"/>
  <c r="O99" i="13" s="1"/>
  <c r="X30" i="13"/>
  <c r="X29" i="13"/>
  <c r="B29" i="13"/>
  <c r="AQ27" i="13" s="1"/>
  <c r="X28" i="13"/>
  <c r="B27" i="13"/>
  <c r="P25" i="13"/>
  <c r="I24" i="13" s="1"/>
  <c r="G24" i="13"/>
  <c r="E24" i="13"/>
  <c r="C24" i="13"/>
  <c r="AB23" i="13"/>
  <c r="AA23" i="13"/>
  <c r="Z23" i="13"/>
  <c r="Y23" i="13"/>
  <c r="I23" i="13"/>
  <c r="G23" i="13"/>
  <c r="E23" i="13"/>
  <c r="C23" i="13"/>
  <c r="AB22" i="13"/>
  <c r="AA22" i="13"/>
  <c r="Z22" i="13"/>
  <c r="Y22" i="13"/>
  <c r="I22" i="13"/>
  <c r="G22" i="13"/>
  <c r="E22" i="13"/>
  <c r="C22" i="13"/>
  <c r="I21" i="13"/>
  <c r="G21" i="13"/>
  <c r="E21" i="13"/>
  <c r="C21" i="13"/>
  <c r="AQ20" i="13"/>
  <c r="B49" i="13" s="1"/>
  <c r="AQ36" i="13" s="1"/>
  <c r="AI20" i="13"/>
  <c r="I20" i="13"/>
  <c r="AQ19" i="13"/>
  <c r="AI19" i="13"/>
  <c r="AQ18" i="13"/>
  <c r="B47" i="13" s="1"/>
  <c r="AQ34" i="13" s="1"/>
  <c r="AI18" i="13"/>
  <c r="I18" i="13"/>
  <c r="AI17" i="13"/>
  <c r="AI16" i="13"/>
  <c r="AI15" i="13"/>
  <c r="AQ14" i="13"/>
  <c r="AI14" i="13"/>
  <c r="I14" i="13"/>
  <c r="AQ13" i="13"/>
  <c r="B45" i="13" s="1"/>
  <c r="AQ32" i="13" s="1"/>
  <c r="AI13" i="13"/>
  <c r="AQ12" i="13"/>
  <c r="B44" i="13" s="1"/>
  <c r="AQ31" i="13" s="1"/>
  <c r="AI12" i="13"/>
  <c r="AI11" i="13"/>
  <c r="AB11" i="13"/>
  <c r="AA11" i="13"/>
  <c r="Z11" i="13"/>
  <c r="Y11" i="13"/>
  <c r="AI10" i="13"/>
  <c r="AB10" i="13"/>
  <c r="AA10" i="13"/>
  <c r="Z10" i="13"/>
  <c r="Y10" i="13"/>
  <c r="AI9" i="13"/>
  <c r="AJ9" i="13" s="1"/>
  <c r="AB9" i="13"/>
  <c r="AA9" i="13"/>
  <c r="Z9" i="13"/>
  <c r="Y9" i="13"/>
  <c r="AQ8" i="13"/>
  <c r="B43" i="13" s="1"/>
  <c r="AQ30" i="13" s="1"/>
  <c r="AB8" i="13"/>
  <c r="AA8" i="13"/>
  <c r="Z8" i="13"/>
  <c r="Y8" i="13"/>
  <c r="AQ7" i="13"/>
  <c r="B42" i="13" s="1"/>
  <c r="AQ6" i="13"/>
  <c r="B41" i="13" s="1"/>
  <c r="AQ28" i="13" s="1"/>
  <c r="AO179" i="12"/>
  <c r="AN179" i="12"/>
  <c r="AM179" i="12"/>
  <c r="AL179" i="12"/>
  <c r="AK179" i="12"/>
  <c r="AJ179" i="12"/>
  <c r="AI179" i="12"/>
  <c r="AH179" i="12"/>
  <c r="AG179" i="12"/>
  <c r="AF179" i="12"/>
  <c r="AE179" i="12"/>
  <c r="AD179" i="12"/>
  <c r="AC179" i="12"/>
  <c r="AB179" i="12"/>
  <c r="AA179" i="12"/>
  <c r="Z179" i="12"/>
  <c r="Y179" i="12"/>
  <c r="X179" i="12"/>
  <c r="W179" i="12"/>
  <c r="V179" i="12"/>
  <c r="AO178" i="12"/>
  <c r="AN178" i="12"/>
  <c r="AM178" i="12"/>
  <c r="AL178" i="12"/>
  <c r="AK178" i="12"/>
  <c r="AJ178" i="12"/>
  <c r="AI178" i="12"/>
  <c r="AH178" i="12"/>
  <c r="AG178" i="12"/>
  <c r="AF178" i="12"/>
  <c r="AE178" i="12"/>
  <c r="AD178" i="12"/>
  <c r="AC178" i="12"/>
  <c r="AB178" i="12"/>
  <c r="AA178" i="12"/>
  <c r="Z178" i="12"/>
  <c r="Y178" i="12"/>
  <c r="X178" i="12"/>
  <c r="W178" i="12"/>
  <c r="V178" i="12"/>
  <c r="AO177" i="12"/>
  <c r="AN177" i="12"/>
  <c r="AM177" i="12"/>
  <c r="AL177" i="12"/>
  <c r="AK177" i="12"/>
  <c r="AJ177" i="12"/>
  <c r="AI177" i="12"/>
  <c r="AH177" i="12"/>
  <c r="AG177" i="12"/>
  <c r="AF177" i="12"/>
  <c r="AE177" i="12"/>
  <c r="AD177" i="12"/>
  <c r="AC177" i="12"/>
  <c r="AB177" i="12"/>
  <c r="AA177" i="12"/>
  <c r="Z177" i="12"/>
  <c r="Y177" i="12"/>
  <c r="X177" i="12"/>
  <c r="W177" i="12"/>
  <c r="V177" i="12"/>
  <c r="AO176" i="12"/>
  <c r="AN176" i="12"/>
  <c r="AM176" i="12"/>
  <c r="AL176" i="12"/>
  <c r="AK176" i="12"/>
  <c r="AJ176" i="12"/>
  <c r="AI176" i="12"/>
  <c r="AH176" i="12"/>
  <c r="AG176" i="12"/>
  <c r="AF176" i="12"/>
  <c r="AE176" i="12"/>
  <c r="AD176" i="12"/>
  <c r="AC176" i="12"/>
  <c r="AB176" i="12"/>
  <c r="AA176" i="12"/>
  <c r="Z176" i="12"/>
  <c r="Y176" i="12"/>
  <c r="X176" i="12"/>
  <c r="W176" i="12"/>
  <c r="V176" i="12"/>
  <c r="AO175" i="12"/>
  <c r="AN175" i="12"/>
  <c r="AM175" i="12"/>
  <c r="AL175" i="12"/>
  <c r="AK175" i="12"/>
  <c r="AJ175" i="12"/>
  <c r="AI175" i="12"/>
  <c r="AH175" i="12"/>
  <c r="AG175" i="12"/>
  <c r="AF175" i="12"/>
  <c r="AE175" i="12"/>
  <c r="AD175" i="12"/>
  <c r="AC175" i="12"/>
  <c r="AB175" i="12"/>
  <c r="AA175" i="12"/>
  <c r="Z175" i="12"/>
  <c r="Y175" i="12"/>
  <c r="X175" i="12"/>
  <c r="W175" i="12"/>
  <c r="V175" i="12"/>
  <c r="AO174" i="12"/>
  <c r="AN174" i="12"/>
  <c r="AM174" i="12"/>
  <c r="AL174" i="12"/>
  <c r="AK174" i="12"/>
  <c r="AJ174" i="12"/>
  <c r="AI174" i="12"/>
  <c r="AH174" i="12"/>
  <c r="AG174" i="12"/>
  <c r="AF174" i="12"/>
  <c r="AE174" i="12"/>
  <c r="AD174" i="12"/>
  <c r="AC174" i="12"/>
  <c r="AB174" i="12"/>
  <c r="AA174" i="12"/>
  <c r="Z174" i="12"/>
  <c r="Y174" i="12"/>
  <c r="X174" i="12"/>
  <c r="W174" i="12"/>
  <c r="V174" i="12"/>
  <c r="AO173" i="12"/>
  <c r="AN173" i="12"/>
  <c r="AM173" i="12"/>
  <c r="AL173" i="12"/>
  <c r="AK173" i="12"/>
  <c r="AJ173" i="12"/>
  <c r="AI173" i="12"/>
  <c r="AH173" i="12"/>
  <c r="AG173" i="12"/>
  <c r="AF173" i="12"/>
  <c r="AE173" i="12"/>
  <c r="AD173" i="12"/>
  <c r="AC173" i="12"/>
  <c r="AB173" i="12"/>
  <c r="AA173" i="12"/>
  <c r="Z173" i="12"/>
  <c r="Y173" i="12"/>
  <c r="X173" i="12"/>
  <c r="W173" i="12"/>
  <c r="V173" i="12"/>
  <c r="AO172" i="12"/>
  <c r="AN172" i="12"/>
  <c r="AM172" i="12"/>
  <c r="AL172" i="12"/>
  <c r="AK172" i="12"/>
  <c r="AJ172" i="12"/>
  <c r="AI172" i="12"/>
  <c r="AH172" i="12"/>
  <c r="AG172" i="12"/>
  <c r="AF172" i="12"/>
  <c r="AE172" i="12"/>
  <c r="AD172" i="12"/>
  <c r="AC172" i="12"/>
  <c r="AB172" i="12"/>
  <c r="AA172" i="12"/>
  <c r="Z172" i="12"/>
  <c r="Y172" i="12"/>
  <c r="X172" i="12"/>
  <c r="W172" i="12"/>
  <c r="V172" i="12"/>
  <c r="AO171" i="12"/>
  <c r="AN171" i="12"/>
  <c r="AM171" i="12"/>
  <c r="AL171" i="12"/>
  <c r="AK171" i="12"/>
  <c r="AJ171" i="12"/>
  <c r="AI171" i="12"/>
  <c r="AH171" i="12"/>
  <c r="AG171" i="12"/>
  <c r="AF171" i="12"/>
  <c r="AE171" i="12"/>
  <c r="AD171" i="12"/>
  <c r="AC171" i="12"/>
  <c r="AB171" i="12"/>
  <c r="AA171" i="12"/>
  <c r="Z171" i="12"/>
  <c r="Y171" i="12"/>
  <c r="X171" i="12"/>
  <c r="W171" i="12"/>
  <c r="V171" i="12"/>
  <c r="AO170" i="12"/>
  <c r="AN170" i="12"/>
  <c r="AM170" i="12"/>
  <c r="AL170" i="12"/>
  <c r="AK170" i="12"/>
  <c r="AJ170" i="12"/>
  <c r="AI170" i="12"/>
  <c r="AH170" i="12"/>
  <c r="AG170" i="12"/>
  <c r="AF170" i="12"/>
  <c r="AE170" i="12"/>
  <c r="AD170" i="12"/>
  <c r="AC170" i="12"/>
  <c r="AB170" i="12"/>
  <c r="AA170" i="12"/>
  <c r="Z170" i="12"/>
  <c r="Y170" i="12"/>
  <c r="X170" i="12"/>
  <c r="W170" i="12"/>
  <c r="V170" i="12"/>
  <c r="AO169" i="12"/>
  <c r="AN169" i="12"/>
  <c r="AM169" i="12"/>
  <c r="AL169" i="12"/>
  <c r="AK169" i="12"/>
  <c r="AJ169" i="12"/>
  <c r="AI169" i="12"/>
  <c r="AH169" i="12"/>
  <c r="AG169" i="12"/>
  <c r="AF169" i="12"/>
  <c r="AE169" i="12"/>
  <c r="AD169" i="12"/>
  <c r="AC169" i="12"/>
  <c r="AB169" i="12"/>
  <c r="AA169" i="12"/>
  <c r="Z169" i="12"/>
  <c r="Y169" i="12"/>
  <c r="X169" i="12"/>
  <c r="W169" i="12"/>
  <c r="V169" i="12"/>
  <c r="AO168" i="12"/>
  <c r="AN168" i="12"/>
  <c r="AM168" i="12"/>
  <c r="AL168" i="12"/>
  <c r="X95" i="12" s="1"/>
  <c r="AK168" i="12"/>
  <c r="AJ168" i="12"/>
  <c r="AI168" i="12"/>
  <c r="AH168" i="12"/>
  <c r="AG168" i="12"/>
  <c r="AF168" i="12"/>
  <c r="AE168" i="12"/>
  <c r="AD168" i="12"/>
  <c r="AD95" i="12" s="1"/>
  <c r="AC168" i="12"/>
  <c r="AB168" i="12"/>
  <c r="AA168" i="12"/>
  <c r="Z168" i="12"/>
  <c r="Z95" i="12" s="1"/>
  <c r="Y168" i="12"/>
  <c r="Y95" i="12" s="1"/>
  <c r="X168" i="12"/>
  <c r="W168" i="12"/>
  <c r="W95" i="12" s="1"/>
  <c r="V168" i="12"/>
  <c r="V95" i="12" s="1"/>
  <c r="AO167" i="12"/>
  <c r="AN167" i="12"/>
  <c r="AM167" i="12"/>
  <c r="AL167" i="12"/>
  <c r="X94" i="12" s="1"/>
  <c r="AK167" i="12"/>
  <c r="AJ167" i="12"/>
  <c r="AI167" i="12"/>
  <c r="AH167" i="12"/>
  <c r="AG167" i="12"/>
  <c r="AF167" i="12"/>
  <c r="AE167" i="12"/>
  <c r="AD167" i="12"/>
  <c r="AD94" i="12" s="1"/>
  <c r="AC167" i="12"/>
  <c r="AC94" i="12" s="1"/>
  <c r="AB167" i="12"/>
  <c r="AB94" i="12" s="1"/>
  <c r="AA167" i="12"/>
  <c r="AA94" i="12" s="1"/>
  <c r="Z167" i="12"/>
  <c r="Z94" i="12" s="1"/>
  <c r="Y167" i="12"/>
  <c r="Y94" i="12" s="1"/>
  <c r="X167" i="12"/>
  <c r="W167" i="12"/>
  <c r="W94" i="12" s="1"/>
  <c r="V167" i="12"/>
  <c r="V94" i="12" s="1"/>
  <c r="AO166" i="12"/>
  <c r="AN166" i="12"/>
  <c r="AM166" i="12"/>
  <c r="AL166" i="12"/>
  <c r="X93" i="12" s="1"/>
  <c r="AK166" i="12"/>
  <c r="AJ166" i="12"/>
  <c r="AI166" i="12"/>
  <c r="AH166" i="12"/>
  <c r="AG166" i="12"/>
  <c r="AF166" i="12"/>
  <c r="AE166" i="12"/>
  <c r="AD166" i="12"/>
  <c r="AD93" i="12" s="1"/>
  <c r="AC166" i="12"/>
  <c r="AB166" i="12"/>
  <c r="AB93" i="12" s="1"/>
  <c r="AA166" i="12"/>
  <c r="AA93" i="12" s="1"/>
  <c r="Z166" i="12"/>
  <c r="Z93" i="12" s="1"/>
  <c r="Y166" i="12"/>
  <c r="Y93" i="12" s="1"/>
  <c r="X166" i="12"/>
  <c r="W166" i="12"/>
  <c r="W93" i="12" s="1"/>
  <c r="V166" i="12"/>
  <c r="V93" i="12" s="1"/>
  <c r="AO165" i="12"/>
  <c r="AN165" i="12"/>
  <c r="AM165" i="12"/>
  <c r="AL165" i="12"/>
  <c r="X92" i="12" s="1"/>
  <c r="AK165" i="12"/>
  <c r="AJ165" i="12"/>
  <c r="AI165" i="12"/>
  <c r="AH165" i="12"/>
  <c r="AG165" i="12"/>
  <c r="AF165" i="12"/>
  <c r="AE165" i="12"/>
  <c r="AD165" i="12"/>
  <c r="AD92" i="12" s="1"/>
  <c r="AC165" i="12"/>
  <c r="AC92" i="12" s="1"/>
  <c r="AB165" i="12"/>
  <c r="AB92" i="12" s="1"/>
  <c r="AA165" i="12"/>
  <c r="AA92" i="12" s="1"/>
  <c r="Z165" i="12"/>
  <c r="Z92" i="12" s="1"/>
  <c r="Y165" i="12"/>
  <c r="Y92" i="12" s="1"/>
  <c r="X165" i="12"/>
  <c r="W165" i="12"/>
  <c r="V165" i="12"/>
  <c r="V92" i="12" s="1"/>
  <c r="AO164" i="12"/>
  <c r="AN164" i="12"/>
  <c r="AM164" i="12"/>
  <c r="AL164" i="12"/>
  <c r="X91" i="12" s="1"/>
  <c r="AK164" i="12"/>
  <c r="AJ164" i="12"/>
  <c r="AI164" i="12"/>
  <c r="AH164" i="12"/>
  <c r="AG164" i="12"/>
  <c r="AF164" i="12"/>
  <c r="AE164" i="12"/>
  <c r="AD164" i="12"/>
  <c r="AD91" i="12" s="1"/>
  <c r="AC164" i="12"/>
  <c r="AC91" i="12" s="1"/>
  <c r="AB164" i="12"/>
  <c r="AB91" i="12" s="1"/>
  <c r="AA164" i="12"/>
  <c r="AA91" i="12" s="1"/>
  <c r="Z164" i="12"/>
  <c r="Z91" i="12" s="1"/>
  <c r="Y164" i="12"/>
  <c r="Y91" i="12" s="1"/>
  <c r="X164" i="12"/>
  <c r="W164" i="12"/>
  <c r="V164" i="12"/>
  <c r="V91" i="12" s="1"/>
  <c r="AO163" i="12"/>
  <c r="AN163" i="12"/>
  <c r="AM163" i="12"/>
  <c r="AL163" i="12"/>
  <c r="X90" i="12" s="1"/>
  <c r="AK163" i="12"/>
  <c r="AJ163" i="12"/>
  <c r="AI163" i="12"/>
  <c r="AH163" i="12"/>
  <c r="AG163" i="12"/>
  <c r="AF163" i="12"/>
  <c r="AE163" i="12"/>
  <c r="AD163" i="12"/>
  <c r="AD90" i="12" s="1"/>
  <c r="AC163" i="12"/>
  <c r="AC90" i="12" s="1"/>
  <c r="AB163" i="12"/>
  <c r="AB90" i="12" s="1"/>
  <c r="AA163" i="12"/>
  <c r="AA90" i="12" s="1"/>
  <c r="Z163" i="12"/>
  <c r="Z90" i="12" s="1"/>
  <c r="Y163" i="12"/>
  <c r="Y90" i="12" s="1"/>
  <c r="X163" i="12"/>
  <c r="W163" i="12"/>
  <c r="W90" i="12" s="1"/>
  <c r="V163" i="12"/>
  <c r="V90" i="12" s="1"/>
  <c r="AO162" i="12"/>
  <c r="AN162" i="12"/>
  <c r="AM162" i="12"/>
  <c r="AL162" i="12"/>
  <c r="X89" i="12" s="1"/>
  <c r="AK162" i="12"/>
  <c r="AJ162" i="12"/>
  <c r="AI162" i="12"/>
  <c r="AH162" i="12"/>
  <c r="AG162" i="12"/>
  <c r="AF162" i="12"/>
  <c r="AE162" i="12"/>
  <c r="AD162" i="12"/>
  <c r="AD89" i="12" s="1"/>
  <c r="AC162" i="12"/>
  <c r="AC89" i="12" s="1"/>
  <c r="AB162" i="12"/>
  <c r="AB89" i="12" s="1"/>
  <c r="AA162" i="12"/>
  <c r="AA89" i="12" s="1"/>
  <c r="Z162" i="12"/>
  <c r="Z89" i="12" s="1"/>
  <c r="Y162" i="12"/>
  <c r="Y89" i="12" s="1"/>
  <c r="X162" i="12"/>
  <c r="W162" i="12"/>
  <c r="W89" i="12" s="1"/>
  <c r="V162" i="12"/>
  <c r="V89" i="12" s="1"/>
  <c r="AO161" i="12"/>
  <c r="AN161" i="12"/>
  <c r="AM161" i="12"/>
  <c r="AL161" i="12"/>
  <c r="X88" i="12" s="1"/>
  <c r="AK161" i="12"/>
  <c r="AJ161" i="12"/>
  <c r="AI161" i="12"/>
  <c r="AH161" i="12"/>
  <c r="AG161" i="12"/>
  <c r="AF161" i="12"/>
  <c r="AE161" i="12"/>
  <c r="AD161" i="12"/>
  <c r="AD88" i="12" s="1"/>
  <c r="AC161" i="12"/>
  <c r="AC88" i="12" s="1"/>
  <c r="AB161" i="12"/>
  <c r="AB88" i="12" s="1"/>
  <c r="AA161" i="12"/>
  <c r="AA88" i="12" s="1"/>
  <c r="Z161" i="12"/>
  <c r="Z88" i="12" s="1"/>
  <c r="Y161" i="12"/>
  <c r="Y88" i="12" s="1"/>
  <c r="X161" i="12"/>
  <c r="W161" i="12"/>
  <c r="W88" i="12" s="1"/>
  <c r="V161" i="12"/>
  <c r="V88" i="12" s="1"/>
  <c r="AO160" i="12"/>
  <c r="AN160" i="12"/>
  <c r="AM160" i="12"/>
  <c r="AL160" i="12"/>
  <c r="X87" i="12" s="1"/>
  <c r="AK160" i="12"/>
  <c r="AJ160" i="12"/>
  <c r="AI160" i="12"/>
  <c r="AH160" i="12"/>
  <c r="AG160" i="12"/>
  <c r="AF160" i="12"/>
  <c r="AE160" i="12"/>
  <c r="AD160" i="12"/>
  <c r="AD87" i="12" s="1"/>
  <c r="AC160" i="12"/>
  <c r="AC87" i="12" s="1"/>
  <c r="AB160" i="12"/>
  <c r="AB87" i="12" s="1"/>
  <c r="AA160" i="12"/>
  <c r="AA87" i="12" s="1"/>
  <c r="Z160" i="12"/>
  <c r="Z87" i="12" s="1"/>
  <c r="Y160" i="12"/>
  <c r="Y87" i="12" s="1"/>
  <c r="X160" i="12"/>
  <c r="W160" i="12"/>
  <c r="W87" i="12" s="1"/>
  <c r="V160" i="12"/>
  <c r="V87" i="12" s="1"/>
  <c r="AO159" i="12"/>
  <c r="AN159" i="12"/>
  <c r="AM159" i="12"/>
  <c r="AL159" i="12"/>
  <c r="AK159" i="12"/>
  <c r="AJ159" i="12"/>
  <c r="AI159" i="12"/>
  <c r="AH159" i="12"/>
  <c r="AG159" i="12"/>
  <c r="AF159" i="12"/>
  <c r="AE159" i="12"/>
  <c r="AD159" i="12"/>
  <c r="AC159" i="12"/>
  <c r="AB159" i="12"/>
  <c r="AA159" i="12"/>
  <c r="Z159" i="12"/>
  <c r="Y159" i="12"/>
  <c r="X159" i="12"/>
  <c r="W159" i="12"/>
  <c r="V159" i="12"/>
  <c r="AO158" i="12"/>
  <c r="AN158" i="12"/>
  <c r="AM158" i="12"/>
  <c r="AL158" i="12"/>
  <c r="AK158" i="12"/>
  <c r="AJ158" i="12"/>
  <c r="AI158" i="12"/>
  <c r="AH158" i="12"/>
  <c r="AG158" i="12"/>
  <c r="AF158" i="12"/>
  <c r="AE158" i="12"/>
  <c r="AD158" i="12"/>
  <c r="AC158" i="12"/>
  <c r="AB158" i="12"/>
  <c r="AA158" i="12"/>
  <c r="Z158" i="12"/>
  <c r="Y158" i="12"/>
  <c r="X158" i="12"/>
  <c r="W158" i="12"/>
  <c r="V158" i="12"/>
  <c r="AO157" i="12"/>
  <c r="AN157" i="12"/>
  <c r="AM157" i="12"/>
  <c r="AL157" i="12"/>
  <c r="AK157" i="12"/>
  <c r="AJ157" i="12"/>
  <c r="AI157" i="12"/>
  <c r="AH157" i="12"/>
  <c r="AG157" i="12"/>
  <c r="AF157" i="12"/>
  <c r="AE157" i="12"/>
  <c r="AD157" i="12"/>
  <c r="AC157" i="12"/>
  <c r="AB157" i="12"/>
  <c r="AA157" i="12"/>
  <c r="Z157" i="12"/>
  <c r="Y157" i="12"/>
  <c r="X157" i="12"/>
  <c r="W157" i="12"/>
  <c r="V157" i="12"/>
  <c r="AO156" i="12"/>
  <c r="AN156" i="12"/>
  <c r="AM156" i="12"/>
  <c r="AL156" i="12"/>
  <c r="AK156" i="12"/>
  <c r="AJ156" i="12"/>
  <c r="AI156" i="12"/>
  <c r="AH156" i="12"/>
  <c r="AG156" i="12"/>
  <c r="AF156" i="12"/>
  <c r="AE156" i="12"/>
  <c r="AD156" i="12"/>
  <c r="AC156" i="12"/>
  <c r="AB156" i="12"/>
  <c r="AA156" i="12"/>
  <c r="Z156" i="12"/>
  <c r="Y156" i="12"/>
  <c r="X156" i="12"/>
  <c r="W156" i="12"/>
  <c r="V156" i="12"/>
  <c r="AO155" i="12"/>
  <c r="AN155" i="12"/>
  <c r="AM155" i="12"/>
  <c r="AL155" i="12"/>
  <c r="AK155" i="12"/>
  <c r="AJ155" i="12"/>
  <c r="AI155" i="12"/>
  <c r="AH155" i="12"/>
  <c r="AG155" i="12"/>
  <c r="AF155" i="12"/>
  <c r="AE155" i="12"/>
  <c r="AD155" i="12"/>
  <c r="AC155" i="12"/>
  <c r="AB155" i="12"/>
  <c r="AA155" i="12"/>
  <c r="Z155" i="12"/>
  <c r="Y155" i="12"/>
  <c r="X155" i="12"/>
  <c r="W155" i="12"/>
  <c r="V155" i="12"/>
  <c r="AO154" i="12"/>
  <c r="AN154" i="12"/>
  <c r="AM154" i="12"/>
  <c r="AL154" i="12"/>
  <c r="AK154" i="12"/>
  <c r="AJ154" i="12"/>
  <c r="AI154" i="12"/>
  <c r="AH154" i="12"/>
  <c r="AG154" i="12"/>
  <c r="AF154" i="12"/>
  <c r="AE154" i="12"/>
  <c r="AD154" i="12"/>
  <c r="AC154" i="12"/>
  <c r="AB154" i="12"/>
  <c r="AA154" i="12"/>
  <c r="Z154" i="12"/>
  <c r="Y154" i="12"/>
  <c r="X154" i="12"/>
  <c r="W154" i="12"/>
  <c r="V154" i="12"/>
  <c r="AO153" i="12"/>
  <c r="AN153" i="12"/>
  <c r="AM153" i="12"/>
  <c r="AL153" i="12"/>
  <c r="AK153" i="12"/>
  <c r="AJ153" i="12"/>
  <c r="AI153" i="12"/>
  <c r="AH153" i="12"/>
  <c r="AG153" i="12"/>
  <c r="AF153" i="12"/>
  <c r="AE153" i="12"/>
  <c r="AD153" i="12"/>
  <c r="AC153" i="12"/>
  <c r="AB153" i="12"/>
  <c r="AA153" i="12"/>
  <c r="Z153" i="12"/>
  <c r="Y153" i="12"/>
  <c r="X153" i="12"/>
  <c r="W153" i="12"/>
  <c r="V153" i="12"/>
  <c r="AO152" i="12"/>
  <c r="AN152" i="12"/>
  <c r="AM152" i="12"/>
  <c r="AL152" i="12"/>
  <c r="AK152" i="12"/>
  <c r="AJ152" i="12"/>
  <c r="AI152" i="12"/>
  <c r="AH152" i="12"/>
  <c r="AG152" i="12"/>
  <c r="AF152" i="12"/>
  <c r="AE152" i="12"/>
  <c r="AD152" i="12"/>
  <c r="AC152" i="12"/>
  <c r="AB152" i="12"/>
  <c r="AA152" i="12"/>
  <c r="Z152" i="12"/>
  <c r="Y152" i="12"/>
  <c r="X152" i="12"/>
  <c r="W152" i="12"/>
  <c r="V152" i="12"/>
  <c r="AO151" i="12"/>
  <c r="AN151" i="12"/>
  <c r="AM151" i="12"/>
  <c r="AL151" i="12"/>
  <c r="AK151" i="12"/>
  <c r="AJ151" i="12"/>
  <c r="AI151" i="12"/>
  <c r="AH151" i="12"/>
  <c r="AG151" i="12"/>
  <c r="AF151" i="12"/>
  <c r="AE151" i="12"/>
  <c r="AD151" i="12"/>
  <c r="AC151" i="12"/>
  <c r="AB151" i="12"/>
  <c r="AA151" i="12"/>
  <c r="Z151" i="12"/>
  <c r="Y151" i="12"/>
  <c r="X151" i="12"/>
  <c r="W151" i="12"/>
  <c r="V151" i="12"/>
  <c r="AO150" i="12"/>
  <c r="AN150" i="12"/>
  <c r="AM150" i="12"/>
  <c r="AL150" i="12"/>
  <c r="AK150" i="12"/>
  <c r="AJ150" i="12"/>
  <c r="AI150" i="12"/>
  <c r="AH150" i="12"/>
  <c r="AG150" i="12"/>
  <c r="AF150" i="12"/>
  <c r="AE150" i="12"/>
  <c r="AD150" i="12"/>
  <c r="AC150" i="12"/>
  <c r="AB150" i="12"/>
  <c r="AA150" i="12"/>
  <c r="Z150" i="12"/>
  <c r="Y150" i="12"/>
  <c r="X150" i="12"/>
  <c r="W150" i="12"/>
  <c r="V150" i="12"/>
  <c r="AO149" i="12"/>
  <c r="AN149" i="12"/>
  <c r="AM149" i="12"/>
  <c r="AL149" i="12"/>
  <c r="AK149" i="12"/>
  <c r="AJ149" i="12"/>
  <c r="AI149" i="12"/>
  <c r="AH149" i="12"/>
  <c r="AG149" i="12"/>
  <c r="AF149" i="12"/>
  <c r="AE149" i="12"/>
  <c r="AD149" i="12"/>
  <c r="AC149" i="12"/>
  <c r="AB149" i="12"/>
  <c r="AA149" i="12"/>
  <c r="Z149" i="12"/>
  <c r="Y149" i="12"/>
  <c r="X149" i="12"/>
  <c r="W149" i="12"/>
  <c r="V149" i="12"/>
  <c r="AO148" i="12"/>
  <c r="AN148" i="12"/>
  <c r="AM148" i="12"/>
  <c r="AL148" i="12"/>
  <c r="AK148" i="12"/>
  <c r="AJ148" i="12"/>
  <c r="AI148" i="12"/>
  <c r="AH148" i="12"/>
  <c r="AG148" i="12"/>
  <c r="AF148" i="12"/>
  <c r="AE148" i="12"/>
  <c r="AD148" i="12"/>
  <c r="AC148" i="12"/>
  <c r="AB148" i="12"/>
  <c r="AA148" i="12"/>
  <c r="Z148" i="12"/>
  <c r="Y148" i="12"/>
  <c r="X148" i="12"/>
  <c r="W148" i="12"/>
  <c r="V148" i="12"/>
  <c r="AO147" i="12"/>
  <c r="AN147" i="12"/>
  <c r="AM147" i="12"/>
  <c r="AL147" i="12"/>
  <c r="AK147" i="12"/>
  <c r="AJ147" i="12"/>
  <c r="AI147" i="12"/>
  <c r="AH147" i="12"/>
  <c r="AG147" i="12"/>
  <c r="AF147" i="12"/>
  <c r="AE147" i="12"/>
  <c r="AD147" i="12"/>
  <c r="AC147" i="12"/>
  <c r="AB147" i="12"/>
  <c r="AA147" i="12"/>
  <c r="Z147" i="12"/>
  <c r="Y147" i="12"/>
  <c r="X147" i="12"/>
  <c r="W147" i="12"/>
  <c r="V147" i="12"/>
  <c r="AO146" i="12"/>
  <c r="AN146" i="12"/>
  <c r="AM146" i="12"/>
  <c r="AL146" i="12"/>
  <c r="AK146" i="12"/>
  <c r="AJ146" i="12"/>
  <c r="AI146" i="12"/>
  <c r="AH146" i="12"/>
  <c r="AG146" i="12"/>
  <c r="AF146" i="12"/>
  <c r="AE146" i="12"/>
  <c r="AD146" i="12"/>
  <c r="AC146" i="12"/>
  <c r="AB146" i="12"/>
  <c r="AA146" i="12"/>
  <c r="Z146" i="12"/>
  <c r="Y146" i="12"/>
  <c r="X146" i="12"/>
  <c r="W146" i="12"/>
  <c r="V146" i="12"/>
  <c r="AO145" i="12"/>
  <c r="AN145" i="12"/>
  <c r="AM145" i="12"/>
  <c r="AL145" i="12"/>
  <c r="AK145" i="12"/>
  <c r="AJ145" i="12"/>
  <c r="AI145" i="12"/>
  <c r="AH145" i="12"/>
  <c r="AG145" i="12"/>
  <c r="AF145" i="12"/>
  <c r="AE145" i="12"/>
  <c r="AD145" i="12"/>
  <c r="AC145" i="12"/>
  <c r="AB145" i="12"/>
  <c r="AA145" i="12"/>
  <c r="Z145" i="12"/>
  <c r="Y145" i="12"/>
  <c r="X145" i="12"/>
  <c r="W145" i="12"/>
  <c r="V145" i="12"/>
  <c r="AO144" i="12"/>
  <c r="AN144" i="12"/>
  <c r="AM144" i="12"/>
  <c r="AL144" i="12"/>
  <c r="AK144" i="12"/>
  <c r="AJ144" i="12"/>
  <c r="AI144" i="12"/>
  <c r="AH144" i="12"/>
  <c r="AG144" i="12"/>
  <c r="AF144" i="12"/>
  <c r="AE144" i="12"/>
  <c r="AD144" i="12"/>
  <c r="AC144" i="12"/>
  <c r="AB144" i="12"/>
  <c r="AA144" i="12"/>
  <c r="Z144" i="12"/>
  <c r="Y144" i="12"/>
  <c r="X144" i="12"/>
  <c r="W144" i="12"/>
  <c r="V144" i="12"/>
  <c r="AO143" i="12"/>
  <c r="AN143" i="12"/>
  <c r="AM143" i="12"/>
  <c r="AL143" i="12"/>
  <c r="AK143" i="12"/>
  <c r="AJ143" i="12"/>
  <c r="AI143" i="12"/>
  <c r="AH143" i="12"/>
  <c r="AG143" i="12"/>
  <c r="AF143" i="12"/>
  <c r="AE143" i="12"/>
  <c r="AD143" i="12"/>
  <c r="AC143" i="12"/>
  <c r="AB143" i="12"/>
  <c r="AA143" i="12"/>
  <c r="Z143" i="12"/>
  <c r="Y143" i="12"/>
  <c r="X143" i="12"/>
  <c r="W143" i="12"/>
  <c r="V143" i="12"/>
  <c r="AO142" i="12"/>
  <c r="AN142" i="12"/>
  <c r="AM142" i="12"/>
  <c r="AL142" i="12"/>
  <c r="AK142" i="12"/>
  <c r="AJ142" i="12"/>
  <c r="AI142" i="12"/>
  <c r="AH142" i="12"/>
  <c r="AG142" i="12"/>
  <c r="AF142" i="12"/>
  <c r="AE142" i="12"/>
  <c r="AD142" i="12"/>
  <c r="AC142" i="12"/>
  <c r="AB142" i="12"/>
  <c r="AA142" i="12"/>
  <c r="Z142" i="12"/>
  <c r="Y142" i="12"/>
  <c r="X142" i="12"/>
  <c r="W142" i="12"/>
  <c r="V142" i="12"/>
  <c r="AO141" i="12"/>
  <c r="AN141" i="12"/>
  <c r="AM141" i="12"/>
  <c r="AL141" i="12"/>
  <c r="AK141" i="12"/>
  <c r="AJ141" i="12"/>
  <c r="AI141" i="12"/>
  <c r="AH141" i="12"/>
  <c r="AG141" i="12"/>
  <c r="AF141" i="12"/>
  <c r="AE141" i="12"/>
  <c r="AD141" i="12"/>
  <c r="AC141" i="12"/>
  <c r="AB141" i="12"/>
  <c r="AA141" i="12"/>
  <c r="Z141" i="12"/>
  <c r="Y141" i="12"/>
  <c r="X141" i="12"/>
  <c r="W141" i="12"/>
  <c r="V141" i="12"/>
  <c r="AO140" i="12"/>
  <c r="AN140" i="12"/>
  <c r="AM140" i="12"/>
  <c r="AL140" i="12"/>
  <c r="AK140" i="12"/>
  <c r="AJ140" i="12"/>
  <c r="AI140" i="12"/>
  <c r="AH140" i="12"/>
  <c r="AG140" i="12"/>
  <c r="AF140" i="12"/>
  <c r="AE140" i="12"/>
  <c r="AD140" i="12"/>
  <c r="AC140" i="12"/>
  <c r="AB140" i="12"/>
  <c r="AA140" i="12"/>
  <c r="Z140" i="12"/>
  <c r="Y140" i="12"/>
  <c r="X140" i="12"/>
  <c r="W140" i="12"/>
  <c r="V140" i="12"/>
  <c r="AO139" i="12"/>
  <c r="AN139" i="12"/>
  <c r="AM139" i="12"/>
  <c r="AL139" i="12"/>
  <c r="AK139" i="12"/>
  <c r="AJ139" i="12"/>
  <c r="AI139" i="12"/>
  <c r="AH139" i="12"/>
  <c r="AG139" i="12"/>
  <c r="AF139" i="12"/>
  <c r="AE139" i="12"/>
  <c r="AD139" i="12"/>
  <c r="AC139" i="12"/>
  <c r="AB139" i="12"/>
  <c r="AA139" i="12"/>
  <c r="Z139" i="12"/>
  <c r="Y139" i="12"/>
  <c r="X139" i="12"/>
  <c r="W139" i="12"/>
  <c r="V139" i="12"/>
  <c r="AO138" i="12"/>
  <c r="AN138" i="12"/>
  <c r="AM138" i="12"/>
  <c r="AL138" i="12"/>
  <c r="AK138" i="12"/>
  <c r="AJ138" i="12"/>
  <c r="AI138" i="12"/>
  <c r="AH138" i="12"/>
  <c r="AG138" i="12"/>
  <c r="AF138" i="12"/>
  <c r="AE138" i="12"/>
  <c r="AD138" i="12"/>
  <c r="AC138" i="12"/>
  <c r="AB138" i="12"/>
  <c r="AA138" i="12"/>
  <c r="Z138" i="12"/>
  <c r="Y138" i="12"/>
  <c r="X138" i="12"/>
  <c r="W138" i="12"/>
  <c r="V138" i="12"/>
  <c r="AO137" i="12"/>
  <c r="AN137" i="12"/>
  <c r="AM137" i="12"/>
  <c r="AL137" i="12"/>
  <c r="AK137" i="12"/>
  <c r="AJ137" i="12"/>
  <c r="AI137" i="12"/>
  <c r="AH137" i="12"/>
  <c r="AG137" i="12"/>
  <c r="AF137" i="12"/>
  <c r="AE137" i="12"/>
  <c r="AD137" i="12"/>
  <c r="AC137" i="12"/>
  <c r="AB137" i="12"/>
  <c r="AA137" i="12"/>
  <c r="Z137" i="12"/>
  <c r="Y137" i="12"/>
  <c r="X137" i="12"/>
  <c r="W137" i="12"/>
  <c r="V137" i="12"/>
  <c r="AO136" i="12"/>
  <c r="AN136" i="12"/>
  <c r="AM136" i="12"/>
  <c r="AL136" i="12"/>
  <c r="AK136" i="12"/>
  <c r="AJ136" i="12"/>
  <c r="AI136" i="12"/>
  <c r="AH136" i="12"/>
  <c r="AG136" i="12"/>
  <c r="AF136" i="12"/>
  <c r="AE136" i="12"/>
  <c r="AD136" i="12"/>
  <c r="AC136" i="12"/>
  <c r="AB136" i="12"/>
  <c r="AA136" i="12"/>
  <c r="Z136" i="12"/>
  <c r="Y136" i="12"/>
  <c r="X136" i="12"/>
  <c r="W136" i="12"/>
  <c r="V136" i="12"/>
  <c r="AO135" i="12"/>
  <c r="AN135" i="12"/>
  <c r="AM135" i="12"/>
  <c r="AL135" i="12"/>
  <c r="AK135" i="12"/>
  <c r="AJ135" i="12"/>
  <c r="AI135" i="12"/>
  <c r="AH135" i="12"/>
  <c r="AG135" i="12"/>
  <c r="AF135" i="12"/>
  <c r="AE135" i="12"/>
  <c r="AD135" i="12"/>
  <c r="AC135" i="12"/>
  <c r="AB135" i="12"/>
  <c r="AA135" i="12"/>
  <c r="Z135" i="12"/>
  <c r="Y135" i="12"/>
  <c r="X135" i="12"/>
  <c r="W135" i="12"/>
  <c r="V135" i="12"/>
  <c r="AO134" i="12"/>
  <c r="AN134" i="12"/>
  <c r="AM134" i="12"/>
  <c r="AL134" i="12"/>
  <c r="AK134" i="12"/>
  <c r="AJ134" i="12"/>
  <c r="AI134" i="12"/>
  <c r="AH134" i="12"/>
  <c r="AG134" i="12"/>
  <c r="AF134" i="12"/>
  <c r="AE134" i="12"/>
  <c r="AD134" i="12"/>
  <c r="AC134" i="12"/>
  <c r="AB134" i="12"/>
  <c r="AA134" i="12"/>
  <c r="Z134" i="12"/>
  <c r="Y134" i="12"/>
  <c r="X134" i="12"/>
  <c r="W134" i="12"/>
  <c r="V134" i="12"/>
  <c r="AO133" i="12"/>
  <c r="AN133" i="12"/>
  <c r="AM133" i="12"/>
  <c r="AL133" i="12"/>
  <c r="AK133" i="12"/>
  <c r="AJ133" i="12"/>
  <c r="AI133" i="12"/>
  <c r="AH133" i="12"/>
  <c r="AG133" i="12"/>
  <c r="AF133" i="12"/>
  <c r="AE133" i="12"/>
  <c r="AD133" i="12"/>
  <c r="AC133" i="12"/>
  <c r="AB133" i="12"/>
  <c r="AA133" i="12"/>
  <c r="Z133" i="12"/>
  <c r="Y133" i="12"/>
  <c r="X133" i="12"/>
  <c r="W133" i="12"/>
  <c r="V133" i="12"/>
  <c r="AO132" i="12"/>
  <c r="AN132" i="12"/>
  <c r="AM132" i="12"/>
  <c r="AL132" i="12"/>
  <c r="AK132" i="12"/>
  <c r="AJ132" i="12"/>
  <c r="AI132" i="12"/>
  <c r="AH132" i="12"/>
  <c r="AG132" i="12"/>
  <c r="AF132" i="12"/>
  <c r="AE132" i="12"/>
  <c r="AD132" i="12"/>
  <c r="AC132" i="12"/>
  <c r="AB132" i="12"/>
  <c r="AA132" i="12"/>
  <c r="Z132" i="12"/>
  <c r="Y132" i="12"/>
  <c r="X132" i="12"/>
  <c r="W132" i="12"/>
  <c r="V132" i="12"/>
  <c r="AO131" i="12"/>
  <c r="AN131" i="12"/>
  <c r="AM131" i="12"/>
  <c r="AL131" i="12"/>
  <c r="AK131" i="12"/>
  <c r="AJ131" i="12"/>
  <c r="AI131" i="12"/>
  <c r="AH131" i="12"/>
  <c r="AG131" i="12"/>
  <c r="AF131" i="12"/>
  <c r="AE131" i="12"/>
  <c r="AD131" i="12"/>
  <c r="AC131" i="12"/>
  <c r="AB131" i="12"/>
  <c r="AA131" i="12"/>
  <c r="Z131" i="12"/>
  <c r="Y131" i="12"/>
  <c r="X131" i="12"/>
  <c r="W131" i="12"/>
  <c r="V131" i="12"/>
  <c r="AO130" i="12"/>
  <c r="AN130" i="12"/>
  <c r="AM130" i="12"/>
  <c r="AL130" i="12"/>
  <c r="AK130" i="12"/>
  <c r="AJ130" i="12"/>
  <c r="AI130" i="12"/>
  <c r="AH130" i="12"/>
  <c r="AG130" i="12"/>
  <c r="AF130" i="12"/>
  <c r="AE130" i="12"/>
  <c r="AD130" i="12"/>
  <c r="AC130" i="12"/>
  <c r="AB130" i="12"/>
  <c r="AA130" i="12"/>
  <c r="Z130" i="12"/>
  <c r="Y130" i="12"/>
  <c r="X130" i="12"/>
  <c r="W130" i="12"/>
  <c r="V130" i="12"/>
  <c r="AO129" i="12"/>
  <c r="AN129" i="12"/>
  <c r="AM129" i="12"/>
  <c r="AL129" i="12"/>
  <c r="AK129" i="12"/>
  <c r="AJ129" i="12"/>
  <c r="AI129" i="12"/>
  <c r="AH129" i="12"/>
  <c r="AG129" i="12"/>
  <c r="AF129" i="12"/>
  <c r="AE129" i="12"/>
  <c r="AD129" i="12"/>
  <c r="AC129" i="12"/>
  <c r="AB129" i="12"/>
  <c r="AA129" i="12"/>
  <c r="Z129" i="12"/>
  <c r="Y129" i="12"/>
  <c r="X129" i="12"/>
  <c r="W129" i="12"/>
  <c r="V129" i="12"/>
  <c r="AO128" i="12"/>
  <c r="AN128" i="12"/>
  <c r="AM128" i="12"/>
  <c r="AL128" i="12"/>
  <c r="AK128" i="12"/>
  <c r="AJ128" i="12"/>
  <c r="AI128" i="12"/>
  <c r="AH128" i="12"/>
  <c r="AG128" i="12"/>
  <c r="AF128" i="12"/>
  <c r="AE128" i="12"/>
  <c r="AD128" i="12"/>
  <c r="AC128" i="12"/>
  <c r="AB128" i="12"/>
  <c r="AA128" i="12"/>
  <c r="Z128" i="12"/>
  <c r="Y128" i="12"/>
  <c r="X128" i="12"/>
  <c r="W128" i="12"/>
  <c r="V128" i="12"/>
  <c r="AO127" i="12"/>
  <c r="AN127" i="12"/>
  <c r="AM127" i="12"/>
  <c r="AL127" i="12"/>
  <c r="AK127" i="12"/>
  <c r="AJ127" i="12"/>
  <c r="AI127" i="12"/>
  <c r="AH127" i="12"/>
  <c r="AG127" i="12"/>
  <c r="AF127" i="12"/>
  <c r="AE127" i="12"/>
  <c r="AD127" i="12"/>
  <c r="AC127" i="12"/>
  <c r="AB127" i="12"/>
  <c r="AA127" i="12"/>
  <c r="Z127" i="12"/>
  <c r="Y127" i="12"/>
  <c r="X127" i="12"/>
  <c r="W127" i="12"/>
  <c r="V127" i="12"/>
  <c r="AO126" i="12"/>
  <c r="AN126" i="12"/>
  <c r="AM126" i="12"/>
  <c r="AL126" i="12"/>
  <c r="AK126" i="12"/>
  <c r="AJ126" i="12"/>
  <c r="AI126" i="12"/>
  <c r="AH126" i="12"/>
  <c r="AG126" i="12"/>
  <c r="AF126" i="12"/>
  <c r="AE126" i="12"/>
  <c r="AD126" i="12"/>
  <c r="AC126" i="12"/>
  <c r="AB126" i="12"/>
  <c r="AA126" i="12"/>
  <c r="Z126" i="12"/>
  <c r="Y126" i="12"/>
  <c r="X126" i="12"/>
  <c r="W126" i="12"/>
  <c r="V126" i="12"/>
  <c r="AO125" i="12"/>
  <c r="AN125" i="12"/>
  <c r="AM125" i="12"/>
  <c r="AL125" i="12"/>
  <c r="AK125" i="12"/>
  <c r="AJ125" i="12"/>
  <c r="AI125" i="12"/>
  <c r="AH125" i="12"/>
  <c r="AG125" i="12"/>
  <c r="AF125" i="12"/>
  <c r="AE125" i="12"/>
  <c r="AD125" i="12"/>
  <c r="AC125" i="12"/>
  <c r="AB125" i="12"/>
  <c r="AA125" i="12"/>
  <c r="Z125" i="12"/>
  <c r="Y125" i="12"/>
  <c r="X125" i="12"/>
  <c r="W125" i="12"/>
  <c r="V125" i="12"/>
  <c r="AO124" i="12"/>
  <c r="AN124" i="12"/>
  <c r="AM124" i="12"/>
  <c r="AL124" i="12"/>
  <c r="AK124" i="12"/>
  <c r="AJ124" i="12"/>
  <c r="AI124" i="12"/>
  <c r="AH124" i="12"/>
  <c r="AG124" i="12"/>
  <c r="AF124" i="12"/>
  <c r="AE124" i="12"/>
  <c r="AD124" i="12"/>
  <c r="AC124" i="12"/>
  <c r="AB124" i="12"/>
  <c r="AA124" i="12"/>
  <c r="Z124" i="12"/>
  <c r="Y124" i="12"/>
  <c r="X124" i="12"/>
  <c r="W124" i="12"/>
  <c r="V124" i="12"/>
  <c r="AO123" i="12"/>
  <c r="AN123" i="12"/>
  <c r="AM123" i="12"/>
  <c r="AL123" i="12"/>
  <c r="AK123" i="12"/>
  <c r="AJ123" i="12"/>
  <c r="AI123" i="12"/>
  <c r="AH123" i="12"/>
  <c r="AG123" i="12"/>
  <c r="AF123" i="12"/>
  <c r="AE123" i="12"/>
  <c r="AD123" i="12"/>
  <c r="AC123" i="12"/>
  <c r="AB123" i="12"/>
  <c r="AA123" i="12"/>
  <c r="Z123" i="12"/>
  <c r="Y123" i="12"/>
  <c r="X123" i="12"/>
  <c r="W123" i="12"/>
  <c r="V123" i="12"/>
  <c r="AO122" i="12"/>
  <c r="AN122" i="12"/>
  <c r="AM122" i="12"/>
  <c r="AL122" i="12"/>
  <c r="AK122" i="12"/>
  <c r="AJ122" i="12"/>
  <c r="AI122" i="12"/>
  <c r="AH122" i="12"/>
  <c r="AG122" i="12"/>
  <c r="AF122" i="12"/>
  <c r="AE122" i="12"/>
  <c r="AD122" i="12"/>
  <c r="AC122" i="12"/>
  <c r="AB122" i="12"/>
  <c r="AA122" i="12"/>
  <c r="Z122" i="12"/>
  <c r="Y122" i="12"/>
  <c r="X122" i="12"/>
  <c r="W122" i="12"/>
  <c r="V122" i="12"/>
  <c r="AO121" i="12"/>
  <c r="AN121" i="12"/>
  <c r="AM121" i="12"/>
  <c r="AL121" i="12"/>
  <c r="AK121" i="12"/>
  <c r="AJ121" i="12"/>
  <c r="AI121" i="12"/>
  <c r="AH121" i="12"/>
  <c r="AG121" i="12"/>
  <c r="AF121" i="12"/>
  <c r="AE121" i="12"/>
  <c r="AD121" i="12"/>
  <c r="AC121" i="12"/>
  <c r="AB121" i="12"/>
  <c r="AA121" i="12"/>
  <c r="Z121" i="12"/>
  <c r="Y121" i="12"/>
  <c r="X121" i="12"/>
  <c r="W121" i="12"/>
  <c r="V121" i="12"/>
  <c r="AO120" i="12"/>
  <c r="AN120" i="12"/>
  <c r="AM120" i="12"/>
  <c r="AL120" i="12"/>
  <c r="AK120" i="12"/>
  <c r="AJ120" i="12"/>
  <c r="AI120" i="12"/>
  <c r="AH120" i="12"/>
  <c r="AG120" i="12"/>
  <c r="AF120" i="12"/>
  <c r="AE120" i="12"/>
  <c r="AD120" i="12"/>
  <c r="AC120" i="12"/>
  <c r="AB120" i="12"/>
  <c r="AA120" i="12"/>
  <c r="Z120" i="12"/>
  <c r="Y120" i="12"/>
  <c r="X120" i="12"/>
  <c r="W120" i="12"/>
  <c r="V120" i="12"/>
  <c r="AO119" i="12"/>
  <c r="AN119" i="12"/>
  <c r="AM119" i="12"/>
  <c r="AL119" i="12"/>
  <c r="AK119" i="12"/>
  <c r="AJ119" i="12"/>
  <c r="AI119" i="12"/>
  <c r="AH119" i="12"/>
  <c r="AG119" i="12"/>
  <c r="AF119" i="12"/>
  <c r="AE119" i="12"/>
  <c r="AD119" i="12"/>
  <c r="AC119" i="12"/>
  <c r="AB119" i="12"/>
  <c r="AA119" i="12"/>
  <c r="Z119" i="12"/>
  <c r="Y119" i="12"/>
  <c r="X119" i="12"/>
  <c r="W119" i="12"/>
  <c r="V119" i="12"/>
  <c r="AO118" i="12"/>
  <c r="AN118" i="12"/>
  <c r="AM118" i="12"/>
  <c r="AL118" i="12"/>
  <c r="AK118" i="12"/>
  <c r="AJ118" i="12"/>
  <c r="AI118" i="12"/>
  <c r="AH118" i="12"/>
  <c r="AG118" i="12"/>
  <c r="AF118" i="12"/>
  <c r="AE118" i="12"/>
  <c r="AD118" i="12"/>
  <c r="AC118" i="12"/>
  <c r="AB118" i="12"/>
  <c r="AA118" i="12"/>
  <c r="Z118" i="12"/>
  <c r="Y118" i="12"/>
  <c r="X118" i="12"/>
  <c r="W118" i="12"/>
  <c r="V118" i="12"/>
  <c r="AO117" i="12"/>
  <c r="AN117" i="12"/>
  <c r="AM117" i="12"/>
  <c r="AL117" i="12"/>
  <c r="AK117" i="12"/>
  <c r="AJ117" i="12"/>
  <c r="AI117" i="12"/>
  <c r="AH117" i="12"/>
  <c r="AG117" i="12"/>
  <c r="AF117" i="12"/>
  <c r="AE117" i="12"/>
  <c r="AD117" i="12"/>
  <c r="AC117" i="12"/>
  <c r="AB117" i="12"/>
  <c r="AA117" i="12"/>
  <c r="Z117" i="12"/>
  <c r="Y117" i="12"/>
  <c r="X117" i="12"/>
  <c r="W117" i="12"/>
  <c r="V117" i="12"/>
  <c r="AO116" i="12"/>
  <c r="AN116" i="12"/>
  <c r="AM116" i="12"/>
  <c r="AL116" i="12"/>
  <c r="AK116" i="12"/>
  <c r="AJ116" i="12"/>
  <c r="AI116" i="12"/>
  <c r="AH116" i="12"/>
  <c r="AG116" i="12"/>
  <c r="AF116" i="12"/>
  <c r="AE116" i="12"/>
  <c r="AD116" i="12"/>
  <c r="AC116" i="12"/>
  <c r="AB116" i="12"/>
  <c r="AA116" i="12"/>
  <c r="Z116" i="12"/>
  <c r="Y116" i="12"/>
  <c r="X116" i="12"/>
  <c r="W116" i="12"/>
  <c r="V116" i="12"/>
  <c r="AO115" i="12"/>
  <c r="AN115" i="12"/>
  <c r="AM115" i="12"/>
  <c r="AL115" i="12"/>
  <c r="AK115" i="12"/>
  <c r="AJ115" i="12"/>
  <c r="AI115" i="12"/>
  <c r="AH115" i="12"/>
  <c r="AG115" i="12"/>
  <c r="AF115" i="12"/>
  <c r="AE115" i="12"/>
  <c r="AD115" i="12"/>
  <c r="AC115" i="12"/>
  <c r="AB115" i="12"/>
  <c r="AA115" i="12"/>
  <c r="Z115" i="12"/>
  <c r="Y115" i="12"/>
  <c r="X115" i="12"/>
  <c r="W115" i="12"/>
  <c r="V115" i="12"/>
  <c r="AO114" i="12"/>
  <c r="AN114" i="12"/>
  <c r="AM114" i="12"/>
  <c r="AL114" i="12"/>
  <c r="AK114" i="12"/>
  <c r="AJ114" i="12"/>
  <c r="AI114" i="12"/>
  <c r="AH114" i="12"/>
  <c r="AG114" i="12"/>
  <c r="AF114" i="12"/>
  <c r="AE114" i="12"/>
  <c r="AD114" i="12"/>
  <c r="AC114" i="12"/>
  <c r="AB114" i="12"/>
  <c r="AA114" i="12"/>
  <c r="Z114" i="12"/>
  <c r="Y114" i="12"/>
  <c r="X114" i="12"/>
  <c r="W114" i="12"/>
  <c r="V114" i="12"/>
  <c r="AO113" i="12"/>
  <c r="AN113" i="12"/>
  <c r="AM113" i="12"/>
  <c r="AL113" i="12"/>
  <c r="AK113" i="12"/>
  <c r="AJ113" i="12"/>
  <c r="AI113" i="12"/>
  <c r="AH113" i="12"/>
  <c r="AG113" i="12"/>
  <c r="AF113" i="12"/>
  <c r="AE113" i="12"/>
  <c r="AD113" i="12"/>
  <c r="AC113" i="12"/>
  <c r="AB113" i="12"/>
  <c r="AA113" i="12"/>
  <c r="Z113" i="12"/>
  <c r="Y113" i="12"/>
  <c r="X113" i="12"/>
  <c r="W113" i="12"/>
  <c r="V113" i="12"/>
  <c r="AO112" i="12"/>
  <c r="AN112" i="12"/>
  <c r="AM112" i="12"/>
  <c r="AL112" i="12"/>
  <c r="AK112" i="12"/>
  <c r="AJ112" i="12"/>
  <c r="AI112" i="12"/>
  <c r="AH112" i="12"/>
  <c r="AG112" i="12"/>
  <c r="AF112" i="12"/>
  <c r="AE112" i="12"/>
  <c r="AD112" i="12"/>
  <c r="AC112" i="12"/>
  <c r="AB112" i="12"/>
  <c r="AA112" i="12"/>
  <c r="Z112" i="12"/>
  <c r="Y112" i="12"/>
  <c r="X112" i="12"/>
  <c r="W112" i="12"/>
  <c r="V112" i="12"/>
  <c r="AO111" i="12"/>
  <c r="AN111" i="12"/>
  <c r="AM111" i="12"/>
  <c r="AL111" i="12"/>
  <c r="AK111" i="12"/>
  <c r="AJ111" i="12"/>
  <c r="AI111" i="12"/>
  <c r="AH111" i="12"/>
  <c r="AG111" i="12"/>
  <c r="AF111" i="12"/>
  <c r="AE111" i="12"/>
  <c r="AD111" i="12"/>
  <c r="AC111" i="12"/>
  <c r="AB111" i="12"/>
  <c r="AA111" i="12"/>
  <c r="Z111" i="12"/>
  <c r="Y111" i="12"/>
  <c r="X111" i="12"/>
  <c r="W111" i="12"/>
  <c r="V111" i="12"/>
  <c r="AO110" i="12"/>
  <c r="AN110" i="12"/>
  <c r="AM110" i="12"/>
  <c r="AL110" i="12"/>
  <c r="AK110" i="12"/>
  <c r="AJ110" i="12"/>
  <c r="AI110" i="12"/>
  <c r="AH110" i="12"/>
  <c r="AG110" i="12"/>
  <c r="AF110" i="12"/>
  <c r="AE110" i="12"/>
  <c r="AD110" i="12"/>
  <c r="AC110" i="12"/>
  <c r="AB110" i="12"/>
  <c r="AA110" i="12"/>
  <c r="Z110" i="12"/>
  <c r="Y110" i="12"/>
  <c r="X110" i="12"/>
  <c r="W110" i="12"/>
  <c r="V110" i="12"/>
  <c r="AO109" i="12"/>
  <c r="AN109" i="12"/>
  <c r="AM109" i="12"/>
  <c r="AL109" i="12"/>
  <c r="AK109" i="12"/>
  <c r="AJ109" i="12"/>
  <c r="AI109" i="12"/>
  <c r="AH109" i="12"/>
  <c r="AG109" i="12"/>
  <c r="AF109" i="12"/>
  <c r="AE109" i="12"/>
  <c r="AD109" i="12"/>
  <c r="AC109" i="12"/>
  <c r="AB109" i="12"/>
  <c r="AA109" i="12"/>
  <c r="Z109" i="12"/>
  <c r="Y109" i="12"/>
  <c r="X109" i="12"/>
  <c r="W109" i="12"/>
  <c r="V109" i="12"/>
  <c r="AO108" i="12"/>
  <c r="AN108" i="12"/>
  <c r="AM108" i="12"/>
  <c r="AL108" i="12"/>
  <c r="AK108" i="12"/>
  <c r="AJ108" i="12"/>
  <c r="AI108" i="12"/>
  <c r="AH108" i="12"/>
  <c r="AG108" i="12"/>
  <c r="AF108" i="12"/>
  <c r="AE108" i="12"/>
  <c r="AD108" i="12"/>
  <c r="AC108" i="12"/>
  <c r="AB108" i="12"/>
  <c r="AA108" i="12"/>
  <c r="Z108" i="12"/>
  <c r="Y108" i="12"/>
  <c r="X108" i="12"/>
  <c r="W108" i="12"/>
  <c r="V108" i="12"/>
  <c r="AO107" i="12"/>
  <c r="AN107" i="12"/>
  <c r="AM107" i="12"/>
  <c r="AL107" i="12"/>
  <c r="AK107" i="12"/>
  <c r="AJ107" i="12"/>
  <c r="AI107" i="12"/>
  <c r="AH107" i="12"/>
  <c r="AG107" i="12"/>
  <c r="AF107" i="12"/>
  <c r="AE107" i="12"/>
  <c r="AD107" i="12"/>
  <c r="AC107" i="12"/>
  <c r="AB107" i="12"/>
  <c r="AA107" i="12"/>
  <c r="Z107" i="12"/>
  <c r="Y107" i="12"/>
  <c r="X107" i="12"/>
  <c r="W107" i="12"/>
  <c r="V107" i="12"/>
  <c r="AO106" i="12"/>
  <c r="AN106" i="12"/>
  <c r="AM106" i="12"/>
  <c r="AL106" i="12"/>
  <c r="AK106" i="12"/>
  <c r="AJ106" i="12"/>
  <c r="AI106" i="12"/>
  <c r="AH106" i="12"/>
  <c r="AG106" i="12"/>
  <c r="AF106" i="12"/>
  <c r="AE106" i="12"/>
  <c r="AD106" i="12"/>
  <c r="AC106" i="12"/>
  <c r="AB106" i="12"/>
  <c r="AA106" i="12"/>
  <c r="Z106" i="12"/>
  <c r="Y106" i="12"/>
  <c r="X106" i="12"/>
  <c r="W106" i="12"/>
  <c r="V106" i="12"/>
  <c r="AO105" i="12"/>
  <c r="AN105" i="12"/>
  <c r="AM105" i="12"/>
  <c r="AL105" i="12"/>
  <c r="AK105" i="12"/>
  <c r="AJ105" i="12"/>
  <c r="AI105" i="12"/>
  <c r="AH105" i="12"/>
  <c r="AG105" i="12"/>
  <c r="AF105" i="12"/>
  <c r="AE105" i="12"/>
  <c r="AD105" i="12"/>
  <c r="AC105" i="12"/>
  <c r="AB105" i="12"/>
  <c r="AA105" i="12"/>
  <c r="Z105" i="12"/>
  <c r="Y105" i="12"/>
  <c r="X105" i="12"/>
  <c r="W105" i="12"/>
  <c r="V105" i="12"/>
  <c r="AO104" i="12"/>
  <c r="AN104" i="12"/>
  <c r="AM104" i="12"/>
  <c r="AL104" i="12"/>
  <c r="AK104" i="12"/>
  <c r="AJ104" i="12"/>
  <c r="AI104" i="12"/>
  <c r="AH104" i="12"/>
  <c r="AG104" i="12"/>
  <c r="AF104" i="12"/>
  <c r="AE104" i="12"/>
  <c r="AD104" i="12"/>
  <c r="AC104" i="12"/>
  <c r="AB104" i="12"/>
  <c r="AA104" i="12"/>
  <c r="Z104" i="12"/>
  <c r="Y104" i="12"/>
  <c r="X104" i="12"/>
  <c r="W104" i="12"/>
  <c r="V104" i="12"/>
  <c r="AO103" i="12"/>
  <c r="AN103" i="12"/>
  <c r="AM103" i="12"/>
  <c r="AL103" i="12"/>
  <c r="AK103" i="12"/>
  <c r="AJ103" i="12"/>
  <c r="AI103" i="12"/>
  <c r="AH103" i="12"/>
  <c r="AG103" i="12"/>
  <c r="AF103" i="12"/>
  <c r="AE103" i="12"/>
  <c r="AD103" i="12"/>
  <c r="AC103" i="12"/>
  <c r="AB103" i="12"/>
  <c r="AA103" i="12"/>
  <c r="Z103" i="12"/>
  <c r="Y103" i="12"/>
  <c r="X103" i="12"/>
  <c r="W103" i="12"/>
  <c r="V103" i="12"/>
  <c r="AO102" i="12"/>
  <c r="AN102" i="12"/>
  <c r="AM102" i="12"/>
  <c r="AL102" i="12"/>
  <c r="AK102" i="12"/>
  <c r="AJ102" i="12"/>
  <c r="AI102" i="12"/>
  <c r="AH102" i="12"/>
  <c r="AG102" i="12"/>
  <c r="AF102" i="12"/>
  <c r="AE102" i="12"/>
  <c r="AD102" i="12"/>
  <c r="AC102" i="12"/>
  <c r="AB102" i="12"/>
  <c r="AA102" i="12"/>
  <c r="Z102" i="12"/>
  <c r="Y102" i="12"/>
  <c r="X102" i="12"/>
  <c r="W102" i="12"/>
  <c r="V102" i="12"/>
  <c r="AO101" i="12"/>
  <c r="AN101" i="12"/>
  <c r="AM101" i="12"/>
  <c r="AL101" i="12"/>
  <c r="AK101" i="12"/>
  <c r="AJ101" i="12"/>
  <c r="AI101" i="12"/>
  <c r="AH101" i="12"/>
  <c r="AG101" i="12"/>
  <c r="AF101" i="12"/>
  <c r="AE101" i="12"/>
  <c r="AD101" i="12"/>
  <c r="AC101" i="12"/>
  <c r="AB101" i="12"/>
  <c r="AA101" i="12"/>
  <c r="Z101" i="12"/>
  <c r="Y101" i="12"/>
  <c r="X101" i="12"/>
  <c r="W101" i="12"/>
  <c r="V101" i="12"/>
  <c r="AO100" i="12"/>
  <c r="AN100" i="12"/>
  <c r="AM100" i="12"/>
  <c r="AL100" i="12"/>
  <c r="AK100" i="12"/>
  <c r="AJ100" i="12"/>
  <c r="AI100" i="12"/>
  <c r="AH100" i="12"/>
  <c r="AG100" i="12"/>
  <c r="AF100" i="12"/>
  <c r="AE100" i="12"/>
  <c r="AD100" i="12"/>
  <c r="AC100" i="12"/>
  <c r="AB100" i="12"/>
  <c r="AA100" i="12"/>
  <c r="Z100" i="12"/>
  <c r="Y100" i="12"/>
  <c r="X100" i="12"/>
  <c r="W100" i="12"/>
  <c r="V100" i="12"/>
  <c r="AC95" i="12"/>
  <c r="AB95" i="12"/>
  <c r="AA95" i="12"/>
  <c r="AC93" i="12"/>
  <c r="W92" i="12"/>
  <c r="W91" i="12"/>
  <c r="Z82" i="12"/>
  <c r="Y82" i="12"/>
  <c r="X82" i="12"/>
  <c r="W82" i="12"/>
  <c r="V82" i="12"/>
  <c r="Z81" i="12"/>
  <c r="Y81" i="12"/>
  <c r="X81" i="12"/>
  <c r="W81" i="12"/>
  <c r="V81" i="12"/>
  <c r="Z80" i="12"/>
  <c r="Y80" i="12"/>
  <c r="X80" i="12"/>
  <c r="W80" i="12"/>
  <c r="V80" i="12"/>
  <c r="Z79" i="12"/>
  <c r="Y79" i="12"/>
  <c r="X79" i="12"/>
  <c r="W79" i="12"/>
  <c r="V79" i="12"/>
  <c r="Z78" i="12"/>
  <c r="Y78" i="12"/>
  <c r="X78" i="12"/>
  <c r="W78" i="12"/>
  <c r="V78" i="12"/>
  <c r="Z77" i="12"/>
  <c r="Y77" i="12"/>
  <c r="X77" i="12"/>
  <c r="W77" i="12"/>
  <c r="V77" i="12"/>
  <c r="Z76" i="12"/>
  <c r="Y76" i="12"/>
  <c r="X76" i="12"/>
  <c r="W76" i="12"/>
  <c r="V76" i="12"/>
  <c r="Z75" i="12"/>
  <c r="Y75" i="12"/>
  <c r="X75" i="12"/>
  <c r="W75" i="12"/>
  <c r="V75" i="12"/>
  <c r="Z74" i="12"/>
  <c r="Y74" i="12"/>
  <c r="X74" i="12"/>
  <c r="W74" i="12"/>
  <c r="V74" i="12"/>
  <c r="Z73" i="12"/>
  <c r="Y73" i="12"/>
  <c r="X73" i="12"/>
  <c r="W73" i="12"/>
  <c r="V73" i="12"/>
  <c r="Z68" i="12"/>
  <c r="Y68" i="12"/>
  <c r="X68" i="12"/>
  <c r="W68" i="12"/>
  <c r="V68" i="12"/>
  <c r="Z67" i="12"/>
  <c r="Y67" i="12"/>
  <c r="X67" i="12"/>
  <c r="W67" i="12"/>
  <c r="V67" i="12"/>
  <c r="Z66" i="12"/>
  <c r="Y66" i="12"/>
  <c r="X66" i="12"/>
  <c r="W66" i="12"/>
  <c r="V66" i="12"/>
  <c r="Z65" i="12"/>
  <c r="Y65" i="12"/>
  <c r="X65" i="12"/>
  <c r="W65" i="12"/>
  <c r="V65" i="12"/>
  <c r="Z64" i="12"/>
  <c r="Y64" i="12"/>
  <c r="X64" i="12"/>
  <c r="W64" i="12"/>
  <c r="V64" i="12"/>
  <c r="Z63" i="12"/>
  <c r="Y63" i="12"/>
  <c r="X63" i="12"/>
  <c r="W63" i="12"/>
  <c r="V63" i="12"/>
  <c r="Z62" i="12"/>
  <c r="Y62" i="12"/>
  <c r="X62" i="12"/>
  <c r="W62" i="12"/>
  <c r="V62" i="12"/>
  <c r="Z61" i="12"/>
  <c r="Y61" i="12"/>
  <c r="X61" i="12"/>
  <c r="W61" i="12"/>
  <c r="V61" i="12"/>
  <c r="Z60" i="12"/>
  <c r="Y60" i="12"/>
  <c r="X60" i="12"/>
  <c r="W60" i="12"/>
  <c r="V60" i="12"/>
  <c r="Z59" i="12"/>
  <c r="Y59" i="12"/>
  <c r="X59" i="12"/>
  <c r="W59" i="12"/>
  <c r="V59" i="12"/>
  <c r="AQ58" i="12"/>
  <c r="D40" i="12" s="1"/>
  <c r="Z58" i="12"/>
  <c r="Y58" i="12"/>
  <c r="X58" i="12"/>
  <c r="W58" i="12"/>
  <c r="V58" i="12"/>
  <c r="Z57" i="12"/>
  <c r="Y57" i="12"/>
  <c r="X57" i="12"/>
  <c r="W57" i="12"/>
  <c r="V57" i="12"/>
  <c r="Z56" i="12"/>
  <c r="Y56" i="12"/>
  <c r="X56" i="12"/>
  <c r="W56" i="12"/>
  <c r="V56" i="12"/>
  <c r="AP44" i="12"/>
  <c r="B59" i="12" s="1"/>
  <c r="AP43" i="12"/>
  <c r="B58" i="12" s="1"/>
  <c r="AP42" i="12"/>
  <c r="B57" i="12" s="1"/>
  <c r="X42" i="12"/>
  <c r="AP41" i="12"/>
  <c r="B56" i="12" s="1"/>
  <c r="X41" i="12"/>
  <c r="AP40" i="12"/>
  <c r="B55" i="12" s="1"/>
  <c r="X40" i="12"/>
  <c r="B40" i="12"/>
  <c r="X39" i="12"/>
  <c r="X38" i="12"/>
  <c r="X37" i="12"/>
  <c r="X36" i="12"/>
  <c r="X35" i="12"/>
  <c r="Q35" i="12"/>
  <c r="P35" i="12"/>
  <c r="B35" i="12"/>
  <c r="X34" i="12"/>
  <c r="J34" i="12"/>
  <c r="J35" i="12" s="1"/>
  <c r="D36" i="12" s="1"/>
  <c r="X33" i="12"/>
  <c r="X32" i="12"/>
  <c r="AG31" i="12"/>
  <c r="X31" i="12"/>
  <c r="X30" i="12"/>
  <c r="X29" i="12"/>
  <c r="B29" i="12"/>
  <c r="AQ27" i="12" s="1"/>
  <c r="X28" i="12"/>
  <c r="B27" i="12"/>
  <c r="P25" i="12"/>
  <c r="G24" i="12"/>
  <c r="E24" i="12"/>
  <c r="C24" i="12"/>
  <c r="AB23" i="12"/>
  <c r="AA23" i="12"/>
  <c r="Z23" i="12"/>
  <c r="Y23" i="12"/>
  <c r="I23" i="12"/>
  <c r="G23" i="12"/>
  <c r="E23" i="12"/>
  <c r="C23" i="12"/>
  <c r="AB22" i="12"/>
  <c r="AA22" i="12"/>
  <c r="Z22" i="12"/>
  <c r="Y22" i="12"/>
  <c r="I22" i="12"/>
  <c r="G22" i="12"/>
  <c r="E22" i="12"/>
  <c r="C22" i="12"/>
  <c r="I21" i="12"/>
  <c r="G21" i="12"/>
  <c r="E21" i="12"/>
  <c r="C21" i="12"/>
  <c r="AQ20" i="12"/>
  <c r="AI20" i="12"/>
  <c r="I20" i="12"/>
  <c r="AQ19" i="12"/>
  <c r="AI19" i="12"/>
  <c r="AQ18" i="12"/>
  <c r="B47" i="12" s="1"/>
  <c r="AQ34" i="12" s="1"/>
  <c r="AI18" i="12"/>
  <c r="I18" i="12"/>
  <c r="AI17" i="12"/>
  <c r="AI16" i="12"/>
  <c r="AI15" i="12"/>
  <c r="AQ14" i="12"/>
  <c r="B46" i="12" s="1"/>
  <c r="AQ33" i="12" s="1"/>
  <c r="AI14" i="12"/>
  <c r="I14" i="12"/>
  <c r="AQ13" i="12"/>
  <c r="AI13" i="12"/>
  <c r="AQ12" i="12"/>
  <c r="B44" i="12" s="1"/>
  <c r="AQ31" i="12" s="1"/>
  <c r="AI12" i="12"/>
  <c r="AI11" i="12"/>
  <c r="AB11" i="12"/>
  <c r="AA11" i="12"/>
  <c r="Z11" i="12"/>
  <c r="AC11" i="12" s="1"/>
  <c r="Y11" i="12"/>
  <c r="AI10" i="12"/>
  <c r="AB10" i="12"/>
  <c r="AA10" i="12"/>
  <c r="Z10" i="12"/>
  <c r="Y10" i="12"/>
  <c r="AI9" i="12"/>
  <c r="AJ9" i="12" s="1"/>
  <c r="AB9" i="12"/>
  <c r="AA9" i="12"/>
  <c r="Z9" i="12"/>
  <c r="Y9" i="12"/>
  <c r="AQ8" i="12"/>
  <c r="B43" i="12" s="1"/>
  <c r="AQ30" i="12" s="1"/>
  <c r="AB8" i="12"/>
  <c r="AA8" i="12"/>
  <c r="Z8" i="12"/>
  <c r="Y8" i="12"/>
  <c r="AQ7" i="12"/>
  <c r="AQ6" i="12"/>
  <c r="AO179" i="11"/>
  <c r="AN179" i="11"/>
  <c r="AM179" i="11"/>
  <c r="AL179" i="11"/>
  <c r="AK179" i="11"/>
  <c r="AJ179" i="11"/>
  <c r="AI179" i="11"/>
  <c r="AH179" i="11"/>
  <c r="AG179" i="11"/>
  <c r="AF179" i="11"/>
  <c r="AE179" i="11"/>
  <c r="AD179" i="11"/>
  <c r="AC179" i="11"/>
  <c r="AB179" i="11"/>
  <c r="AA179" i="11"/>
  <c r="Z179" i="11"/>
  <c r="Y179" i="11"/>
  <c r="X179" i="11"/>
  <c r="W179" i="11"/>
  <c r="V179" i="11"/>
  <c r="AO178" i="11"/>
  <c r="AN178" i="11"/>
  <c r="AM178" i="11"/>
  <c r="AL178" i="11"/>
  <c r="AK178" i="11"/>
  <c r="AJ178" i="11"/>
  <c r="AI178" i="11"/>
  <c r="AH178" i="11"/>
  <c r="AG178" i="11"/>
  <c r="AF178" i="11"/>
  <c r="AE178" i="11"/>
  <c r="AD178" i="11"/>
  <c r="AC178" i="11"/>
  <c r="AB178" i="11"/>
  <c r="AA178" i="11"/>
  <c r="Z178" i="11"/>
  <c r="Y178" i="11"/>
  <c r="X178" i="11"/>
  <c r="W178" i="11"/>
  <c r="V178" i="11"/>
  <c r="AO177" i="11"/>
  <c r="AN177" i="11"/>
  <c r="AM177" i="11"/>
  <c r="AL177" i="11"/>
  <c r="AK177" i="11"/>
  <c r="AJ177" i="11"/>
  <c r="AI177" i="11"/>
  <c r="AH177" i="11"/>
  <c r="AG177" i="11"/>
  <c r="AF177" i="11"/>
  <c r="AE177" i="11"/>
  <c r="AD177" i="11"/>
  <c r="AC177" i="11"/>
  <c r="AB177" i="11"/>
  <c r="AA177" i="11"/>
  <c r="Z177" i="11"/>
  <c r="Y177" i="11"/>
  <c r="X177" i="11"/>
  <c r="W177" i="11"/>
  <c r="V177" i="11"/>
  <c r="AO176" i="11"/>
  <c r="AN176" i="11"/>
  <c r="AM176" i="11"/>
  <c r="AL176" i="11"/>
  <c r="AK176" i="11"/>
  <c r="AJ176" i="11"/>
  <c r="AI176" i="11"/>
  <c r="AH176" i="11"/>
  <c r="AG176" i="11"/>
  <c r="AF176" i="11"/>
  <c r="AE176" i="11"/>
  <c r="AD176" i="11"/>
  <c r="AC176" i="11"/>
  <c r="AB176" i="11"/>
  <c r="AA176" i="11"/>
  <c r="Z176" i="11"/>
  <c r="Y176" i="11"/>
  <c r="X176" i="11"/>
  <c r="W176" i="11"/>
  <c r="V176" i="11"/>
  <c r="AO175" i="11"/>
  <c r="AN175" i="11"/>
  <c r="AM175" i="11"/>
  <c r="AL175" i="11"/>
  <c r="AK175" i="11"/>
  <c r="AJ175" i="11"/>
  <c r="AI175" i="11"/>
  <c r="AH175" i="11"/>
  <c r="AG175" i="11"/>
  <c r="AF175" i="11"/>
  <c r="AE175" i="11"/>
  <c r="AD175" i="11"/>
  <c r="AC175" i="11"/>
  <c r="AB175" i="11"/>
  <c r="AA175" i="11"/>
  <c r="Z175" i="11"/>
  <c r="Y175" i="11"/>
  <c r="X175" i="11"/>
  <c r="W175" i="11"/>
  <c r="V175" i="11"/>
  <c r="AO174" i="11"/>
  <c r="AN174" i="11"/>
  <c r="AM174" i="11"/>
  <c r="AL174" i="11"/>
  <c r="AK174" i="11"/>
  <c r="AJ174" i="11"/>
  <c r="AI174" i="11"/>
  <c r="AH174" i="11"/>
  <c r="AG174" i="11"/>
  <c r="AF174" i="11"/>
  <c r="AE174" i="11"/>
  <c r="AD174" i="11"/>
  <c r="AC174" i="11"/>
  <c r="AB174" i="11"/>
  <c r="AA174" i="11"/>
  <c r="Z174" i="11"/>
  <c r="Y174" i="11"/>
  <c r="X174" i="11"/>
  <c r="W174" i="11"/>
  <c r="V174" i="11"/>
  <c r="AO173" i="11"/>
  <c r="AN173" i="11"/>
  <c r="AM173" i="11"/>
  <c r="AL173" i="11"/>
  <c r="AK173" i="11"/>
  <c r="AJ173" i="11"/>
  <c r="AI173" i="11"/>
  <c r="AH173" i="11"/>
  <c r="AG173" i="11"/>
  <c r="AF173" i="11"/>
  <c r="AE173" i="11"/>
  <c r="AD173" i="11"/>
  <c r="AC173" i="11"/>
  <c r="AB173" i="11"/>
  <c r="AA173" i="11"/>
  <c r="Z173" i="11"/>
  <c r="Y173" i="11"/>
  <c r="X173" i="11"/>
  <c r="W173" i="11"/>
  <c r="V173" i="11"/>
  <c r="AO172" i="11"/>
  <c r="AN172" i="11"/>
  <c r="AM172" i="11"/>
  <c r="AL172" i="11"/>
  <c r="AK172" i="11"/>
  <c r="AJ172" i="11"/>
  <c r="AI172" i="11"/>
  <c r="AH172" i="11"/>
  <c r="AG172" i="11"/>
  <c r="AF172" i="11"/>
  <c r="AE172" i="11"/>
  <c r="AD172" i="11"/>
  <c r="AC172" i="11"/>
  <c r="AB172" i="11"/>
  <c r="AA172" i="11"/>
  <c r="Z172" i="11"/>
  <c r="Y172" i="11"/>
  <c r="X172" i="11"/>
  <c r="W172" i="11"/>
  <c r="V172" i="11"/>
  <c r="AO171" i="11"/>
  <c r="AN171" i="11"/>
  <c r="AM171" i="11"/>
  <c r="AL171" i="11"/>
  <c r="AK171" i="11"/>
  <c r="AJ171" i="11"/>
  <c r="AI171" i="11"/>
  <c r="AH171" i="11"/>
  <c r="AG171" i="11"/>
  <c r="AF171" i="11"/>
  <c r="AE171" i="11"/>
  <c r="AD171" i="11"/>
  <c r="AC171" i="11"/>
  <c r="AB171" i="11"/>
  <c r="AA171" i="11"/>
  <c r="Z171" i="11"/>
  <c r="Y171" i="11"/>
  <c r="X171" i="11"/>
  <c r="W171" i="11"/>
  <c r="V171" i="11"/>
  <c r="AO170" i="11"/>
  <c r="AN170" i="11"/>
  <c r="AM170" i="11"/>
  <c r="AL170" i="11"/>
  <c r="AK170" i="11"/>
  <c r="AJ170" i="11"/>
  <c r="AI170" i="11"/>
  <c r="AH170" i="11"/>
  <c r="AG170" i="11"/>
  <c r="AF170" i="11"/>
  <c r="AE170" i="11"/>
  <c r="AD170" i="11"/>
  <c r="AC170" i="11"/>
  <c r="AB170" i="11"/>
  <c r="AA170" i="11"/>
  <c r="Z170" i="11"/>
  <c r="Y170" i="11"/>
  <c r="X170" i="11"/>
  <c r="W170" i="11"/>
  <c r="V170" i="11"/>
  <c r="AO169" i="11"/>
  <c r="AN169" i="11"/>
  <c r="AM169" i="11"/>
  <c r="AL169" i="11"/>
  <c r="AK169" i="11"/>
  <c r="AJ169" i="11"/>
  <c r="AI169" i="11"/>
  <c r="AH169" i="11"/>
  <c r="AG169" i="11"/>
  <c r="AF169" i="11"/>
  <c r="AE169" i="11"/>
  <c r="AD169" i="11"/>
  <c r="AC169" i="11"/>
  <c r="AB169" i="11"/>
  <c r="AA169" i="11"/>
  <c r="Z169" i="11"/>
  <c r="Y169" i="11"/>
  <c r="X169" i="11"/>
  <c r="W169" i="11"/>
  <c r="V169" i="11"/>
  <c r="AO168" i="11"/>
  <c r="AN168" i="11"/>
  <c r="AM168" i="11"/>
  <c r="AL168" i="11"/>
  <c r="X95" i="11" s="1"/>
  <c r="AK168" i="11"/>
  <c r="AJ168" i="11"/>
  <c r="AI168" i="11"/>
  <c r="AH168" i="11"/>
  <c r="AG168" i="11"/>
  <c r="AF168" i="11"/>
  <c r="AE168" i="11"/>
  <c r="AD168" i="11"/>
  <c r="AD95" i="11" s="1"/>
  <c r="AC168" i="11"/>
  <c r="AC95" i="11" s="1"/>
  <c r="AB168" i="11"/>
  <c r="AB95" i="11" s="1"/>
  <c r="AA168" i="11"/>
  <c r="AA95" i="11" s="1"/>
  <c r="Z168" i="11"/>
  <c r="Z95" i="11" s="1"/>
  <c r="Y168" i="11"/>
  <c r="Y95" i="11" s="1"/>
  <c r="X168" i="11"/>
  <c r="W168" i="11"/>
  <c r="W95" i="11" s="1"/>
  <c r="V168" i="11"/>
  <c r="V95" i="11" s="1"/>
  <c r="AO167" i="11"/>
  <c r="AN167" i="11"/>
  <c r="AM167" i="11"/>
  <c r="AL167" i="11"/>
  <c r="X94" i="11" s="1"/>
  <c r="AK167" i="11"/>
  <c r="AJ167" i="11"/>
  <c r="AI167" i="11"/>
  <c r="AH167" i="11"/>
  <c r="AG167" i="11"/>
  <c r="AF167" i="11"/>
  <c r="AE167" i="11"/>
  <c r="AD167" i="11"/>
  <c r="AC167" i="11"/>
  <c r="AC94" i="11" s="1"/>
  <c r="AB167" i="11"/>
  <c r="AB94" i="11" s="1"/>
  <c r="AA167" i="11"/>
  <c r="AA94" i="11" s="1"/>
  <c r="Z167" i="11"/>
  <c r="Z94" i="11" s="1"/>
  <c r="Y167" i="11"/>
  <c r="Y94" i="11" s="1"/>
  <c r="X167" i="11"/>
  <c r="W167" i="11"/>
  <c r="W94" i="11" s="1"/>
  <c r="V167" i="11"/>
  <c r="V94" i="11" s="1"/>
  <c r="AO166" i="11"/>
  <c r="AN166" i="11"/>
  <c r="AM166" i="11"/>
  <c r="AL166" i="11"/>
  <c r="X93" i="11" s="1"/>
  <c r="AK166" i="11"/>
  <c r="AJ166" i="11"/>
  <c r="AI166" i="11"/>
  <c r="AH166" i="11"/>
  <c r="AG166" i="11"/>
  <c r="AF166" i="11"/>
  <c r="AE166" i="11"/>
  <c r="AD166" i="11"/>
  <c r="AD93" i="11" s="1"/>
  <c r="AC166" i="11"/>
  <c r="AC93" i="11" s="1"/>
  <c r="AB166" i="11"/>
  <c r="AB93" i="11" s="1"/>
  <c r="AA166" i="11"/>
  <c r="Z166" i="11"/>
  <c r="Z93" i="11" s="1"/>
  <c r="Y166" i="11"/>
  <c r="Y93" i="11" s="1"/>
  <c r="X166" i="11"/>
  <c r="W166" i="11"/>
  <c r="W93" i="11" s="1"/>
  <c r="V166" i="11"/>
  <c r="AO165" i="11"/>
  <c r="AN165" i="11"/>
  <c r="AM165" i="11"/>
  <c r="AL165" i="11"/>
  <c r="X92" i="11" s="1"/>
  <c r="AK165" i="11"/>
  <c r="AJ165" i="11"/>
  <c r="AI165" i="11"/>
  <c r="AH165" i="11"/>
  <c r="AG165" i="11"/>
  <c r="AF165" i="11"/>
  <c r="AE165" i="11"/>
  <c r="AD165" i="11"/>
  <c r="AD92" i="11" s="1"/>
  <c r="AC165" i="11"/>
  <c r="AC92" i="11" s="1"/>
  <c r="AB165" i="11"/>
  <c r="AB92" i="11" s="1"/>
  <c r="AA165" i="11"/>
  <c r="AA92" i="11" s="1"/>
  <c r="Z165" i="11"/>
  <c r="Z92" i="11" s="1"/>
  <c r="Y165" i="11"/>
  <c r="Y92" i="11" s="1"/>
  <c r="X165" i="11"/>
  <c r="W165" i="11"/>
  <c r="W92" i="11" s="1"/>
  <c r="V165" i="11"/>
  <c r="V92" i="11" s="1"/>
  <c r="AO164" i="11"/>
  <c r="AN164" i="11"/>
  <c r="AM164" i="11"/>
  <c r="AL164" i="11"/>
  <c r="X91" i="11" s="1"/>
  <c r="AK164" i="11"/>
  <c r="AJ164" i="11"/>
  <c r="AI164" i="11"/>
  <c r="AH164" i="11"/>
  <c r="AG164" i="11"/>
  <c r="AF164" i="11"/>
  <c r="AE164" i="11"/>
  <c r="AD164" i="11"/>
  <c r="AD91" i="11" s="1"/>
  <c r="AC164" i="11"/>
  <c r="AC91" i="11" s="1"/>
  <c r="AB164" i="11"/>
  <c r="AB91" i="11" s="1"/>
  <c r="AA164" i="11"/>
  <c r="AA91" i="11" s="1"/>
  <c r="Z164" i="11"/>
  <c r="Z91" i="11" s="1"/>
  <c r="Y164" i="11"/>
  <c r="Y91" i="11" s="1"/>
  <c r="X164" i="11"/>
  <c r="W164" i="11"/>
  <c r="W91" i="11" s="1"/>
  <c r="V164" i="11"/>
  <c r="V91" i="11" s="1"/>
  <c r="AO163" i="11"/>
  <c r="AN163" i="11"/>
  <c r="AM163" i="11"/>
  <c r="AL163" i="11"/>
  <c r="X90" i="11" s="1"/>
  <c r="AK163" i="11"/>
  <c r="AJ163" i="11"/>
  <c r="AI163" i="11"/>
  <c r="AH163" i="11"/>
  <c r="AG163" i="11"/>
  <c r="AF163" i="11"/>
  <c r="AE163" i="11"/>
  <c r="AD163" i="11"/>
  <c r="AD90" i="11" s="1"/>
  <c r="AC163" i="11"/>
  <c r="AC90" i="11" s="1"/>
  <c r="AB163" i="11"/>
  <c r="AB90" i="11" s="1"/>
  <c r="AA163" i="11"/>
  <c r="AA90" i="11" s="1"/>
  <c r="Z163" i="11"/>
  <c r="Z90" i="11" s="1"/>
  <c r="Y163" i="11"/>
  <c r="Y90" i="11" s="1"/>
  <c r="X163" i="11"/>
  <c r="W163" i="11"/>
  <c r="W90" i="11" s="1"/>
  <c r="V163" i="11"/>
  <c r="V90" i="11" s="1"/>
  <c r="AO162" i="11"/>
  <c r="AN162" i="11"/>
  <c r="AM162" i="11"/>
  <c r="AL162" i="11"/>
  <c r="X89" i="11" s="1"/>
  <c r="AK162" i="11"/>
  <c r="AJ162" i="11"/>
  <c r="AI162" i="11"/>
  <c r="AH162" i="11"/>
  <c r="AG162" i="11"/>
  <c r="AF162" i="11"/>
  <c r="AE162" i="11"/>
  <c r="AD162" i="11"/>
  <c r="AD89" i="11" s="1"/>
  <c r="AC162" i="11"/>
  <c r="AC89" i="11" s="1"/>
  <c r="AB162" i="11"/>
  <c r="AB89" i="11" s="1"/>
  <c r="AA162" i="11"/>
  <c r="AA89" i="11" s="1"/>
  <c r="Z162" i="11"/>
  <c r="Z89" i="11" s="1"/>
  <c r="Y162" i="11"/>
  <c r="Y89" i="11" s="1"/>
  <c r="X162" i="11"/>
  <c r="W162" i="11"/>
  <c r="W89" i="11" s="1"/>
  <c r="V162" i="11"/>
  <c r="V89" i="11" s="1"/>
  <c r="AO161" i="11"/>
  <c r="AN161" i="11"/>
  <c r="AM161" i="11"/>
  <c r="AL161" i="11"/>
  <c r="X88" i="11" s="1"/>
  <c r="AK161" i="11"/>
  <c r="AJ161" i="11"/>
  <c r="AI161" i="11"/>
  <c r="AH161" i="11"/>
  <c r="AG161" i="11"/>
  <c r="AF161" i="11"/>
  <c r="AE161" i="11"/>
  <c r="AD161" i="11"/>
  <c r="AD88" i="11" s="1"/>
  <c r="AC161" i="11"/>
  <c r="AC88" i="11" s="1"/>
  <c r="AB161" i="11"/>
  <c r="AB88" i="11" s="1"/>
  <c r="AA161" i="11"/>
  <c r="AA88" i="11" s="1"/>
  <c r="Z161" i="11"/>
  <c r="Z88" i="11" s="1"/>
  <c r="Y161" i="11"/>
  <c r="Y88" i="11" s="1"/>
  <c r="X161" i="11"/>
  <c r="W161" i="11"/>
  <c r="V161" i="11"/>
  <c r="V88" i="11" s="1"/>
  <c r="AO160" i="11"/>
  <c r="AN160" i="11"/>
  <c r="AM160" i="11"/>
  <c r="AL160" i="11"/>
  <c r="X87" i="11" s="1"/>
  <c r="AK160" i="11"/>
  <c r="AJ160" i="11"/>
  <c r="AI160" i="11"/>
  <c r="AH160" i="11"/>
  <c r="AG160" i="11"/>
  <c r="AF160" i="11"/>
  <c r="AE160" i="11"/>
  <c r="AD160" i="11"/>
  <c r="AD87" i="11" s="1"/>
  <c r="AC160" i="11"/>
  <c r="AC87" i="11" s="1"/>
  <c r="AB160" i="11"/>
  <c r="AB87" i="11" s="1"/>
  <c r="AA160" i="11"/>
  <c r="AA87" i="11" s="1"/>
  <c r="Z160" i="11"/>
  <c r="Z87" i="11" s="1"/>
  <c r="Y160" i="11"/>
  <c r="Y87" i="11" s="1"/>
  <c r="X160" i="11"/>
  <c r="W160" i="11"/>
  <c r="W87" i="11" s="1"/>
  <c r="V160" i="11"/>
  <c r="V87" i="11" s="1"/>
  <c r="AO159" i="11"/>
  <c r="AN159" i="11"/>
  <c r="AM159" i="11"/>
  <c r="AL159" i="11"/>
  <c r="AK159" i="11"/>
  <c r="AJ159" i="11"/>
  <c r="AI159" i="11"/>
  <c r="AH159" i="11"/>
  <c r="AG159" i="11"/>
  <c r="AF159" i="11"/>
  <c r="AE159" i="11"/>
  <c r="AD159" i="11"/>
  <c r="AC159" i="11"/>
  <c r="AB159" i="11"/>
  <c r="AA159" i="11"/>
  <c r="Z159" i="11"/>
  <c r="Y159" i="11"/>
  <c r="X159" i="11"/>
  <c r="W159" i="11"/>
  <c r="V159" i="11"/>
  <c r="AO158" i="11"/>
  <c r="AN158" i="11"/>
  <c r="AM158" i="11"/>
  <c r="AL158" i="11"/>
  <c r="AK158" i="11"/>
  <c r="AJ158" i="11"/>
  <c r="AI158" i="11"/>
  <c r="AH158" i="11"/>
  <c r="AG158" i="11"/>
  <c r="AF158" i="11"/>
  <c r="AE158" i="11"/>
  <c r="AD158" i="11"/>
  <c r="AC158" i="11"/>
  <c r="AB158" i="11"/>
  <c r="AA158" i="11"/>
  <c r="Z158" i="11"/>
  <c r="Y158" i="11"/>
  <c r="X158" i="11"/>
  <c r="W158" i="11"/>
  <c r="V158" i="11"/>
  <c r="AO157" i="11"/>
  <c r="AN157" i="11"/>
  <c r="AM157" i="11"/>
  <c r="AL157" i="11"/>
  <c r="AK157" i="11"/>
  <c r="AJ157" i="11"/>
  <c r="AI157" i="11"/>
  <c r="AH157" i="11"/>
  <c r="AG157" i="11"/>
  <c r="AF157" i="11"/>
  <c r="AE157" i="11"/>
  <c r="AD157" i="11"/>
  <c r="AC157" i="11"/>
  <c r="AB157" i="11"/>
  <c r="AA157" i="11"/>
  <c r="Z157" i="11"/>
  <c r="Y157" i="11"/>
  <c r="X157" i="11"/>
  <c r="W157" i="11"/>
  <c r="V157" i="11"/>
  <c r="AO156" i="11"/>
  <c r="AN156" i="11"/>
  <c r="AM156" i="11"/>
  <c r="AL156" i="11"/>
  <c r="AK156" i="11"/>
  <c r="AJ156" i="11"/>
  <c r="AI156" i="11"/>
  <c r="AH156" i="11"/>
  <c r="AG156" i="11"/>
  <c r="AF156" i="11"/>
  <c r="AE156" i="11"/>
  <c r="AD156" i="11"/>
  <c r="AC156" i="11"/>
  <c r="AB156" i="11"/>
  <c r="AA156" i="11"/>
  <c r="Z156" i="11"/>
  <c r="Y156" i="11"/>
  <c r="X156" i="11"/>
  <c r="W156" i="11"/>
  <c r="V156" i="11"/>
  <c r="AO155" i="11"/>
  <c r="AN155" i="11"/>
  <c r="AM155" i="11"/>
  <c r="AL155" i="11"/>
  <c r="AK155" i="11"/>
  <c r="AJ155" i="11"/>
  <c r="AI155" i="11"/>
  <c r="AH155" i="11"/>
  <c r="AG155" i="11"/>
  <c r="AF155" i="11"/>
  <c r="AE155" i="11"/>
  <c r="AD155" i="11"/>
  <c r="AC155" i="11"/>
  <c r="AB155" i="11"/>
  <c r="AA155" i="11"/>
  <c r="Z155" i="11"/>
  <c r="Y155" i="11"/>
  <c r="X155" i="11"/>
  <c r="W155" i="11"/>
  <c r="V155" i="11"/>
  <c r="AO154" i="11"/>
  <c r="AN154" i="11"/>
  <c r="AM154" i="11"/>
  <c r="AL154" i="11"/>
  <c r="AK154" i="11"/>
  <c r="AJ154" i="11"/>
  <c r="AI154" i="11"/>
  <c r="AH154" i="11"/>
  <c r="AG154" i="11"/>
  <c r="AF154" i="11"/>
  <c r="AE154" i="11"/>
  <c r="AD154" i="11"/>
  <c r="AC154" i="11"/>
  <c r="AB154" i="11"/>
  <c r="AA154" i="11"/>
  <c r="Z154" i="11"/>
  <c r="Y154" i="11"/>
  <c r="X154" i="11"/>
  <c r="W154" i="11"/>
  <c r="V154" i="11"/>
  <c r="AO153" i="11"/>
  <c r="AN153" i="11"/>
  <c r="AM153" i="11"/>
  <c r="AL153" i="11"/>
  <c r="AK153" i="11"/>
  <c r="AJ153" i="11"/>
  <c r="AI153" i="11"/>
  <c r="AH153" i="11"/>
  <c r="AG153" i="11"/>
  <c r="AF153" i="11"/>
  <c r="AE153" i="11"/>
  <c r="AD153" i="11"/>
  <c r="AC153" i="11"/>
  <c r="AB153" i="11"/>
  <c r="AA153" i="11"/>
  <c r="Z153" i="11"/>
  <c r="Y153" i="11"/>
  <c r="X153" i="11"/>
  <c r="W153" i="11"/>
  <c r="V153" i="11"/>
  <c r="AO152" i="11"/>
  <c r="AN152" i="11"/>
  <c r="AM152" i="11"/>
  <c r="AL152" i="11"/>
  <c r="AK152" i="11"/>
  <c r="AJ152" i="11"/>
  <c r="AI152" i="11"/>
  <c r="AH152" i="11"/>
  <c r="AG152" i="11"/>
  <c r="AF152" i="11"/>
  <c r="AE152" i="11"/>
  <c r="AD152" i="11"/>
  <c r="AC152" i="11"/>
  <c r="AB152" i="11"/>
  <c r="AA152" i="11"/>
  <c r="Z152" i="11"/>
  <c r="Y152" i="11"/>
  <c r="X152" i="11"/>
  <c r="W152" i="11"/>
  <c r="V152" i="11"/>
  <c r="AO151" i="11"/>
  <c r="AN151" i="11"/>
  <c r="AM151" i="11"/>
  <c r="AL151" i="11"/>
  <c r="AK151" i="11"/>
  <c r="AJ151" i="11"/>
  <c r="AI151" i="11"/>
  <c r="AH151" i="11"/>
  <c r="AG151" i="11"/>
  <c r="AF151" i="11"/>
  <c r="AE151" i="11"/>
  <c r="AD151" i="11"/>
  <c r="AC151" i="11"/>
  <c r="AB151" i="11"/>
  <c r="AA151" i="11"/>
  <c r="Z151" i="11"/>
  <c r="Y151" i="11"/>
  <c r="X151" i="11"/>
  <c r="W151" i="11"/>
  <c r="V151" i="11"/>
  <c r="AO150" i="11"/>
  <c r="AN150" i="11"/>
  <c r="AM150" i="11"/>
  <c r="AL150" i="11"/>
  <c r="AK150" i="11"/>
  <c r="AJ150" i="11"/>
  <c r="AI150" i="11"/>
  <c r="AH150" i="11"/>
  <c r="AG150" i="11"/>
  <c r="AF150" i="11"/>
  <c r="AE150" i="11"/>
  <c r="AD150" i="11"/>
  <c r="AC150" i="11"/>
  <c r="AB150" i="11"/>
  <c r="AA150" i="11"/>
  <c r="Z150" i="11"/>
  <c r="Y150" i="11"/>
  <c r="X150" i="11"/>
  <c r="W150" i="11"/>
  <c r="V150" i="11"/>
  <c r="AO149" i="11"/>
  <c r="AN149" i="11"/>
  <c r="AM149" i="11"/>
  <c r="AL149" i="11"/>
  <c r="AK149" i="11"/>
  <c r="AJ149" i="11"/>
  <c r="AI149" i="11"/>
  <c r="AH149" i="11"/>
  <c r="AG149" i="11"/>
  <c r="AF149" i="11"/>
  <c r="AE149" i="11"/>
  <c r="AD149" i="11"/>
  <c r="AC149" i="11"/>
  <c r="AB149" i="11"/>
  <c r="AA149" i="11"/>
  <c r="Z149" i="11"/>
  <c r="Y149" i="11"/>
  <c r="X149" i="11"/>
  <c r="W149" i="11"/>
  <c r="V149" i="11"/>
  <c r="AO148" i="11"/>
  <c r="AN148" i="11"/>
  <c r="AM148" i="11"/>
  <c r="AL148" i="11"/>
  <c r="AK148" i="11"/>
  <c r="AJ148" i="11"/>
  <c r="AI148" i="11"/>
  <c r="AH148" i="11"/>
  <c r="AG148" i="11"/>
  <c r="AF148" i="11"/>
  <c r="AE148" i="11"/>
  <c r="AD148" i="11"/>
  <c r="AC148" i="11"/>
  <c r="AB148" i="11"/>
  <c r="AA148" i="11"/>
  <c r="Z148" i="11"/>
  <c r="Y148" i="11"/>
  <c r="X148" i="11"/>
  <c r="W148" i="11"/>
  <c r="V148" i="11"/>
  <c r="AO147" i="11"/>
  <c r="AN147" i="11"/>
  <c r="AM147" i="11"/>
  <c r="AL147" i="11"/>
  <c r="AK147" i="11"/>
  <c r="AJ147" i="11"/>
  <c r="AI147" i="11"/>
  <c r="AH147" i="11"/>
  <c r="AG147" i="11"/>
  <c r="AF147" i="11"/>
  <c r="AE147" i="11"/>
  <c r="AD147" i="11"/>
  <c r="AC147" i="11"/>
  <c r="AB147" i="11"/>
  <c r="AA147" i="11"/>
  <c r="Z147" i="11"/>
  <c r="Y147" i="11"/>
  <c r="X147" i="11"/>
  <c r="W147" i="11"/>
  <c r="V147" i="11"/>
  <c r="AO146" i="11"/>
  <c r="AN146" i="11"/>
  <c r="AM146" i="11"/>
  <c r="AL146" i="11"/>
  <c r="AK146" i="11"/>
  <c r="AJ146" i="11"/>
  <c r="AI146" i="11"/>
  <c r="AH146" i="11"/>
  <c r="AG146" i="11"/>
  <c r="AF146" i="11"/>
  <c r="AE146" i="11"/>
  <c r="AD146" i="11"/>
  <c r="AC146" i="11"/>
  <c r="AB146" i="11"/>
  <c r="AA146" i="11"/>
  <c r="Z146" i="11"/>
  <c r="Y146" i="11"/>
  <c r="X146" i="11"/>
  <c r="W146" i="11"/>
  <c r="V146" i="11"/>
  <c r="AO145" i="11"/>
  <c r="AN145" i="11"/>
  <c r="AM145" i="11"/>
  <c r="AL145" i="11"/>
  <c r="AK145" i="11"/>
  <c r="AJ145" i="11"/>
  <c r="AI145" i="11"/>
  <c r="AH145" i="11"/>
  <c r="AG145" i="11"/>
  <c r="AF145" i="11"/>
  <c r="AE145" i="11"/>
  <c r="AD145" i="11"/>
  <c r="AC145" i="11"/>
  <c r="AB145" i="11"/>
  <c r="AA145" i="11"/>
  <c r="Z145" i="11"/>
  <c r="Y145" i="11"/>
  <c r="X145" i="11"/>
  <c r="W145" i="11"/>
  <c r="V145" i="11"/>
  <c r="AO144" i="11"/>
  <c r="AN144" i="11"/>
  <c r="AM144" i="11"/>
  <c r="AL144" i="11"/>
  <c r="AK144" i="11"/>
  <c r="AJ144" i="11"/>
  <c r="AI144" i="11"/>
  <c r="AH144" i="11"/>
  <c r="AG144" i="11"/>
  <c r="AF144" i="11"/>
  <c r="AE144" i="11"/>
  <c r="AD144" i="11"/>
  <c r="AC144" i="11"/>
  <c r="AB144" i="11"/>
  <c r="AA144" i="11"/>
  <c r="Z144" i="11"/>
  <c r="Y144" i="11"/>
  <c r="X144" i="11"/>
  <c r="W144" i="11"/>
  <c r="V144" i="11"/>
  <c r="AO143" i="11"/>
  <c r="AN143" i="11"/>
  <c r="AM143" i="11"/>
  <c r="AL143" i="11"/>
  <c r="AK143" i="11"/>
  <c r="AJ143" i="11"/>
  <c r="AI143" i="11"/>
  <c r="AH143" i="11"/>
  <c r="AG143" i="11"/>
  <c r="AF143" i="11"/>
  <c r="AE143" i="11"/>
  <c r="AD143" i="11"/>
  <c r="AC143" i="11"/>
  <c r="AB143" i="11"/>
  <c r="AA143" i="11"/>
  <c r="Z143" i="11"/>
  <c r="Y143" i="11"/>
  <c r="X143" i="11"/>
  <c r="W143" i="11"/>
  <c r="V143" i="11"/>
  <c r="AO142" i="11"/>
  <c r="AN142" i="11"/>
  <c r="AM142" i="11"/>
  <c r="AL142" i="11"/>
  <c r="AK142" i="11"/>
  <c r="AJ142" i="11"/>
  <c r="AI142" i="11"/>
  <c r="AH142" i="11"/>
  <c r="AG142" i="11"/>
  <c r="AF142" i="11"/>
  <c r="AE142" i="11"/>
  <c r="AD142" i="11"/>
  <c r="AC142" i="11"/>
  <c r="AB142" i="11"/>
  <c r="AA142" i="11"/>
  <c r="Z142" i="11"/>
  <c r="Y142" i="11"/>
  <c r="X142" i="11"/>
  <c r="W142" i="11"/>
  <c r="V142" i="11"/>
  <c r="AO141" i="11"/>
  <c r="AN141" i="11"/>
  <c r="AM141" i="11"/>
  <c r="AL141" i="11"/>
  <c r="AK141" i="11"/>
  <c r="AJ141" i="11"/>
  <c r="AI141" i="11"/>
  <c r="AH141" i="11"/>
  <c r="AG141" i="11"/>
  <c r="AF141" i="11"/>
  <c r="AE141" i="11"/>
  <c r="AD141" i="11"/>
  <c r="AC141" i="11"/>
  <c r="AB141" i="11"/>
  <c r="AA141" i="11"/>
  <c r="Z141" i="11"/>
  <c r="Y141" i="11"/>
  <c r="X141" i="11"/>
  <c r="W141" i="11"/>
  <c r="V141" i="11"/>
  <c r="AO140" i="11"/>
  <c r="AN140" i="11"/>
  <c r="AM140" i="11"/>
  <c r="AL140" i="11"/>
  <c r="AK140" i="11"/>
  <c r="AJ140" i="11"/>
  <c r="AI140" i="11"/>
  <c r="AH140" i="11"/>
  <c r="AG140" i="11"/>
  <c r="AF140" i="11"/>
  <c r="AE140" i="11"/>
  <c r="AD140" i="11"/>
  <c r="AC140" i="11"/>
  <c r="AB140" i="11"/>
  <c r="AA140" i="11"/>
  <c r="Z140" i="11"/>
  <c r="Y140" i="11"/>
  <c r="X140" i="11"/>
  <c r="W140" i="11"/>
  <c r="V140" i="11"/>
  <c r="AO139" i="11"/>
  <c r="AN139" i="11"/>
  <c r="AM139" i="11"/>
  <c r="AL139" i="11"/>
  <c r="AK139" i="11"/>
  <c r="AJ139" i="11"/>
  <c r="AI139" i="11"/>
  <c r="AH139" i="11"/>
  <c r="AG139" i="11"/>
  <c r="AF139" i="11"/>
  <c r="AE139" i="11"/>
  <c r="AD139" i="11"/>
  <c r="AC139" i="11"/>
  <c r="AB139" i="11"/>
  <c r="AA139" i="11"/>
  <c r="Z139" i="11"/>
  <c r="Y139" i="11"/>
  <c r="X139" i="11"/>
  <c r="W139" i="11"/>
  <c r="V139" i="11"/>
  <c r="AO138" i="11"/>
  <c r="AN138" i="11"/>
  <c r="AM138" i="11"/>
  <c r="AL138" i="11"/>
  <c r="AK138" i="11"/>
  <c r="AJ138" i="11"/>
  <c r="AI138" i="11"/>
  <c r="AH138" i="11"/>
  <c r="AG138" i="11"/>
  <c r="AF138" i="11"/>
  <c r="AE138" i="11"/>
  <c r="AD138" i="11"/>
  <c r="AC138" i="11"/>
  <c r="AB138" i="11"/>
  <c r="AA138" i="11"/>
  <c r="Z138" i="11"/>
  <c r="Y138" i="11"/>
  <c r="X138" i="11"/>
  <c r="W138" i="11"/>
  <c r="V138" i="11"/>
  <c r="AO137" i="11"/>
  <c r="AN137" i="11"/>
  <c r="AM137" i="11"/>
  <c r="AL137" i="11"/>
  <c r="AK137" i="11"/>
  <c r="AJ137" i="11"/>
  <c r="AI137" i="11"/>
  <c r="AH137" i="11"/>
  <c r="AG137" i="11"/>
  <c r="AF137" i="11"/>
  <c r="AE137" i="11"/>
  <c r="AD137" i="11"/>
  <c r="AC137" i="11"/>
  <c r="AB137" i="11"/>
  <c r="AA137" i="11"/>
  <c r="Z137" i="11"/>
  <c r="Y137" i="11"/>
  <c r="X137" i="11"/>
  <c r="W137" i="11"/>
  <c r="V137" i="11"/>
  <c r="AO136" i="11"/>
  <c r="AN136" i="11"/>
  <c r="AM136" i="11"/>
  <c r="AL136" i="11"/>
  <c r="AK136" i="11"/>
  <c r="AJ136" i="11"/>
  <c r="AI136" i="11"/>
  <c r="AH136" i="11"/>
  <c r="AG136" i="11"/>
  <c r="AF136" i="11"/>
  <c r="AE136" i="11"/>
  <c r="AD136" i="11"/>
  <c r="AC136" i="11"/>
  <c r="AB136" i="11"/>
  <c r="AA136" i="11"/>
  <c r="Z136" i="11"/>
  <c r="Y136" i="11"/>
  <c r="X136" i="11"/>
  <c r="W136" i="11"/>
  <c r="V136" i="11"/>
  <c r="AO135" i="11"/>
  <c r="AN135" i="11"/>
  <c r="AM135" i="11"/>
  <c r="AL135" i="11"/>
  <c r="AK135" i="11"/>
  <c r="AJ135" i="11"/>
  <c r="AI135" i="11"/>
  <c r="AH135" i="11"/>
  <c r="AG135" i="11"/>
  <c r="AF135" i="11"/>
  <c r="AE135" i="11"/>
  <c r="AD135" i="11"/>
  <c r="AC135" i="11"/>
  <c r="AB135" i="11"/>
  <c r="AA135" i="11"/>
  <c r="Z135" i="11"/>
  <c r="Y135" i="11"/>
  <c r="X135" i="11"/>
  <c r="W135" i="11"/>
  <c r="V135" i="11"/>
  <c r="AO134" i="11"/>
  <c r="AN134" i="11"/>
  <c r="AM134" i="11"/>
  <c r="AL134" i="11"/>
  <c r="AK134" i="11"/>
  <c r="AJ134" i="11"/>
  <c r="AI134" i="11"/>
  <c r="AH134" i="11"/>
  <c r="AG134" i="11"/>
  <c r="AF134" i="11"/>
  <c r="AE134" i="11"/>
  <c r="AD134" i="11"/>
  <c r="AC134" i="11"/>
  <c r="AB134" i="11"/>
  <c r="AA134" i="11"/>
  <c r="Z134" i="11"/>
  <c r="Y134" i="11"/>
  <c r="X134" i="11"/>
  <c r="W134" i="11"/>
  <c r="V134" i="11"/>
  <c r="AO133" i="11"/>
  <c r="AN133" i="11"/>
  <c r="AM133" i="11"/>
  <c r="AL133" i="11"/>
  <c r="AK133" i="11"/>
  <c r="AJ133" i="11"/>
  <c r="AI133" i="11"/>
  <c r="AH133" i="11"/>
  <c r="AG133" i="11"/>
  <c r="AF133" i="11"/>
  <c r="AE133" i="11"/>
  <c r="AD133" i="11"/>
  <c r="AC133" i="11"/>
  <c r="AB133" i="11"/>
  <c r="AA133" i="11"/>
  <c r="Z133" i="11"/>
  <c r="Y133" i="11"/>
  <c r="X133" i="11"/>
  <c r="W133" i="11"/>
  <c r="V133" i="11"/>
  <c r="AO132" i="11"/>
  <c r="AN132" i="11"/>
  <c r="AM132" i="11"/>
  <c r="AL132" i="11"/>
  <c r="AK132" i="11"/>
  <c r="AJ132" i="11"/>
  <c r="AI132" i="11"/>
  <c r="AH132" i="11"/>
  <c r="AG132" i="11"/>
  <c r="AF132" i="11"/>
  <c r="AE132" i="11"/>
  <c r="AD132" i="11"/>
  <c r="AC132" i="11"/>
  <c r="AB132" i="11"/>
  <c r="AA132" i="11"/>
  <c r="Z132" i="11"/>
  <c r="Y132" i="11"/>
  <c r="X132" i="11"/>
  <c r="W132" i="11"/>
  <c r="V132" i="11"/>
  <c r="AO131" i="11"/>
  <c r="AN131" i="11"/>
  <c r="AM131" i="11"/>
  <c r="AL131" i="11"/>
  <c r="AK131" i="11"/>
  <c r="AJ131" i="11"/>
  <c r="AI131" i="11"/>
  <c r="AH131" i="11"/>
  <c r="AG131" i="11"/>
  <c r="AF131" i="11"/>
  <c r="AE131" i="11"/>
  <c r="AD131" i="11"/>
  <c r="AC131" i="11"/>
  <c r="AB131" i="11"/>
  <c r="AA131" i="11"/>
  <c r="Z131" i="11"/>
  <c r="Y131" i="11"/>
  <c r="X131" i="11"/>
  <c r="W131" i="11"/>
  <c r="V131" i="11"/>
  <c r="AO130" i="11"/>
  <c r="AN130" i="11"/>
  <c r="AM130" i="11"/>
  <c r="AL130" i="11"/>
  <c r="AK130" i="11"/>
  <c r="AJ130" i="11"/>
  <c r="AI130" i="11"/>
  <c r="AH130" i="11"/>
  <c r="AG130" i="11"/>
  <c r="AF130" i="11"/>
  <c r="AE130" i="11"/>
  <c r="AD130" i="11"/>
  <c r="AC130" i="11"/>
  <c r="AB130" i="11"/>
  <c r="AA130" i="11"/>
  <c r="Z130" i="11"/>
  <c r="Y130" i="11"/>
  <c r="X130" i="11"/>
  <c r="W130" i="11"/>
  <c r="V130" i="11"/>
  <c r="AO129" i="11"/>
  <c r="AN129" i="11"/>
  <c r="AM129" i="11"/>
  <c r="AL129" i="11"/>
  <c r="AK129" i="11"/>
  <c r="AJ129" i="11"/>
  <c r="AI129" i="11"/>
  <c r="AH129" i="11"/>
  <c r="AG129" i="11"/>
  <c r="AF129" i="11"/>
  <c r="AE129" i="11"/>
  <c r="AD129" i="11"/>
  <c r="AC129" i="11"/>
  <c r="AB129" i="11"/>
  <c r="AA129" i="11"/>
  <c r="Z129" i="11"/>
  <c r="Y129" i="11"/>
  <c r="X129" i="11"/>
  <c r="W129" i="11"/>
  <c r="V129" i="11"/>
  <c r="AO128" i="11"/>
  <c r="AN128" i="11"/>
  <c r="AM128" i="11"/>
  <c r="AL128" i="11"/>
  <c r="AK128" i="11"/>
  <c r="AJ128" i="11"/>
  <c r="AI128" i="11"/>
  <c r="AH128" i="11"/>
  <c r="AG128" i="11"/>
  <c r="AF128" i="11"/>
  <c r="AE128" i="11"/>
  <c r="AD128" i="11"/>
  <c r="AC128" i="11"/>
  <c r="AB128" i="11"/>
  <c r="AA128" i="11"/>
  <c r="Z128" i="11"/>
  <c r="Y128" i="11"/>
  <c r="X128" i="11"/>
  <c r="W128" i="11"/>
  <c r="V128" i="11"/>
  <c r="AO127" i="11"/>
  <c r="AN127" i="11"/>
  <c r="AM127" i="11"/>
  <c r="AL127" i="11"/>
  <c r="AK127" i="11"/>
  <c r="AJ127" i="11"/>
  <c r="AI127" i="11"/>
  <c r="AH127" i="11"/>
  <c r="AG127" i="11"/>
  <c r="AF127" i="11"/>
  <c r="AE127" i="11"/>
  <c r="AD127" i="11"/>
  <c r="AC127" i="11"/>
  <c r="AB127" i="11"/>
  <c r="AA127" i="11"/>
  <c r="Z127" i="11"/>
  <c r="Y127" i="11"/>
  <c r="X127" i="11"/>
  <c r="W127" i="11"/>
  <c r="V127" i="11"/>
  <c r="AO126" i="11"/>
  <c r="AN126" i="11"/>
  <c r="AM126" i="11"/>
  <c r="AL126" i="11"/>
  <c r="AK126" i="11"/>
  <c r="AJ126" i="11"/>
  <c r="AI126" i="11"/>
  <c r="AH126" i="11"/>
  <c r="AG126" i="11"/>
  <c r="AF126" i="11"/>
  <c r="AE126" i="11"/>
  <c r="AD126" i="11"/>
  <c r="AC126" i="11"/>
  <c r="AB126" i="11"/>
  <c r="AA126" i="11"/>
  <c r="Z126" i="11"/>
  <c r="Y126" i="11"/>
  <c r="X126" i="11"/>
  <c r="W126" i="11"/>
  <c r="V126" i="11"/>
  <c r="AO125" i="11"/>
  <c r="AN125" i="11"/>
  <c r="AM125" i="11"/>
  <c r="AL125" i="11"/>
  <c r="AK125" i="11"/>
  <c r="AJ125" i="11"/>
  <c r="AI125" i="11"/>
  <c r="AH125" i="11"/>
  <c r="AG125" i="11"/>
  <c r="AF125" i="11"/>
  <c r="AE125" i="11"/>
  <c r="AD125" i="11"/>
  <c r="AC125" i="11"/>
  <c r="AB125" i="11"/>
  <c r="AA125" i="11"/>
  <c r="Z125" i="11"/>
  <c r="Y125" i="11"/>
  <c r="X125" i="11"/>
  <c r="W125" i="11"/>
  <c r="V125" i="11"/>
  <c r="AO124" i="11"/>
  <c r="AN124" i="11"/>
  <c r="AM124" i="11"/>
  <c r="AL124" i="11"/>
  <c r="AK124" i="11"/>
  <c r="AJ124" i="11"/>
  <c r="AI124" i="11"/>
  <c r="AH124" i="11"/>
  <c r="AG124" i="11"/>
  <c r="AF124" i="11"/>
  <c r="AE124" i="11"/>
  <c r="AD124" i="11"/>
  <c r="AC124" i="11"/>
  <c r="AB124" i="11"/>
  <c r="AA124" i="11"/>
  <c r="Z124" i="11"/>
  <c r="Y124" i="11"/>
  <c r="X124" i="11"/>
  <c r="W124" i="11"/>
  <c r="V124" i="11"/>
  <c r="AO123" i="11"/>
  <c r="AN123" i="11"/>
  <c r="AM123" i="11"/>
  <c r="AL123" i="11"/>
  <c r="AK123" i="11"/>
  <c r="AJ123" i="11"/>
  <c r="AI123" i="11"/>
  <c r="AH123" i="11"/>
  <c r="AG123" i="11"/>
  <c r="AF123" i="11"/>
  <c r="AE123" i="11"/>
  <c r="AD123" i="11"/>
  <c r="AC123" i="11"/>
  <c r="AB123" i="11"/>
  <c r="AA123" i="11"/>
  <c r="Z123" i="11"/>
  <c r="Y123" i="11"/>
  <c r="X123" i="11"/>
  <c r="W123" i="11"/>
  <c r="V123" i="11"/>
  <c r="AO122" i="11"/>
  <c r="AN122" i="11"/>
  <c r="AM122" i="11"/>
  <c r="AL122" i="11"/>
  <c r="AK122" i="11"/>
  <c r="AJ122" i="11"/>
  <c r="AI122" i="11"/>
  <c r="AH122" i="11"/>
  <c r="AG122" i="11"/>
  <c r="AF122" i="11"/>
  <c r="AE122" i="11"/>
  <c r="AD122" i="11"/>
  <c r="AC122" i="11"/>
  <c r="AB122" i="11"/>
  <c r="AA122" i="11"/>
  <c r="Z122" i="11"/>
  <c r="Y122" i="11"/>
  <c r="X122" i="11"/>
  <c r="W122" i="11"/>
  <c r="V122" i="11"/>
  <c r="AO121" i="11"/>
  <c r="AN121" i="11"/>
  <c r="AM121" i="11"/>
  <c r="AL121" i="11"/>
  <c r="AK121" i="11"/>
  <c r="AJ121" i="11"/>
  <c r="AI121" i="11"/>
  <c r="AH121" i="11"/>
  <c r="AG121" i="11"/>
  <c r="AF121" i="11"/>
  <c r="AE121" i="11"/>
  <c r="AD121" i="11"/>
  <c r="AC121" i="11"/>
  <c r="AB121" i="11"/>
  <c r="AA121" i="11"/>
  <c r="Z121" i="11"/>
  <c r="Y121" i="11"/>
  <c r="X121" i="11"/>
  <c r="W121" i="11"/>
  <c r="V121" i="11"/>
  <c r="AO120" i="11"/>
  <c r="AN120" i="11"/>
  <c r="AM120" i="11"/>
  <c r="AL120" i="11"/>
  <c r="AK120" i="11"/>
  <c r="AJ120" i="11"/>
  <c r="AI120" i="11"/>
  <c r="AH120" i="11"/>
  <c r="AG120" i="11"/>
  <c r="AF120" i="11"/>
  <c r="AE120" i="11"/>
  <c r="AD120" i="11"/>
  <c r="AC120" i="11"/>
  <c r="AB120" i="11"/>
  <c r="AA120" i="11"/>
  <c r="Z120" i="11"/>
  <c r="Y120" i="11"/>
  <c r="X120" i="11"/>
  <c r="W120" i="11"/>
  <c r="V120" i="11"/>
  <c r="AO119" i="11"/>
  <c r="AN119" i="11"/>
  <c r="AM119" i="11"/>
  <c r="AL119" i="11"/>
  <c r="AK119" i="11"/>
  <c r="AJ119" i="11"/>
  <c r="AI119" i="11"/>
  <c r="AH119" i="11"/>
  <c r="AG119" i="11"/>
  <c r="AF119" i="11"/>
  <c r="AE119" i="11"/>
  <c r="AD119" i="11"/>
  <c r="AC119" i="11"/>
  <c r="AB119" i="11"/>
  <c r="AA119" i="11"/>
  <c r="Z119" i="11"/>
  <c r="Y119" i="11"/>
  <c r="X119" i="11"/>
  <c r="W119" i="11"/>
  <c r="V119" i="11"/>
  <c r="AO118" i="11"/>
  <c r="AN118" i="11"/>
  <c r="AM118" i="11"/>
  <c r="AL118" i="11"/>
  <c r="AK118" i="11"/>
  <c r="AJ118" i="11"/>
  <c r="AI118" i="11"/>
  <c r="AH118" i="11"/>
  <c r="AG118" i="11"/>
  <c r="AF118" i="11"/>
  <c r="AE118" i="11"/>
  <c r="AD118" i="11"/>
  <c r="AC118" i="11"/>
  <c r="AB118" i="11"/>
  <c r="AA118" i="11"/>
  <c r="Z118" i="11"/>
  <c r="Y118" i="11"/>
  <c r="X118" i="11"/>
  <c r="W118" i="11"/>
  <c r="V118" i="11"/>
  <c r="AO117" i="11"/>
  <c r="AN117" i="11"/>
  <c r="AM117" i="11"/>
  <c r="AL117" i="11"/>
  <c r="AK117" i="11"/>
  <c r="AJ117" i="11"/>
  <c r="AI117" i="11"/>
  <c r="AH117" i="11"/>
  <c r="AG117" i="11"/>
  <c r="AF117" i="11"/>
  <c r="AE117" i="11"/>
  <c r="AD117" i="11"/>
  <c r="AC117" i="11"/>
  <c r="AB117" i="11"/>
  <c r="AA117" i="11"/>
  <c r="Z117" i="11"/>
  <c r="Y117" i="11"/>
  <c r="X117" i="11"/>
  <c r="W117" i="11"/>
  <c r="V117" i="11"/>
  <c r="AO116" i="11"/>
  <c r="AN116" i="11"/>
  <c r="AM116" i="11"/>
  <c r="AL116" i="11"/>
  <c r="AK116" i="11"/>
  <c r="AJ116" i="11"/>
  <c r="AI116" i="11"/>
  <c r="AH116" i="11"/>
  <c r="AG116" i="11"/>
  <c r="AF116" i="11"/>
  <c r="AE116" i="11"/>
  <c r="AD116" i="11"/>
  <c r="AC116" i="11"/>
  <c r="AB116" i="11"/>
  <c r="AA116" i="11"/>
  <c r="Z116" i="11"/>
  <c r="Y116" i="11"/>
  <c r="X116" i="11"/>
  <c r="W116" i="11"/>
  <c r="V116" i="11"/>
  <c r="AO115" i="11"/>
  <c r="AN115" i="11"/>
  <c r="AM115" i="11"/>
  <c r="AL115" i="11"/>
  <c r="AK115" i="11"/>
  <c r="AJ115" i="11"/>
  <c r="AI115" i="11"/>
  <c r="AH115" i="11"/>
  <c r="AG115" i="11"/>
  <c r="AF115" i="11"/>
  <c r="AE115" i="11"/>
  <c r="AD115" i="11"/>
  <c r="AC115" i="11"/>
  <c r="AB115" i="11"/>
  <c r="AA115" i="11"/>
  <c r="Z115" i="11"/>
  <c r="Y115" i="11"/>
  <c r="X115" i="11"/>
  <c r="W115" i="11"/>
  <c r="V115" i="11"/>
  <c r="AO114" i="11"/>
  <c r="AN114" i="11"/>
  <c r="AM114" i="11"/>
  <c r="AL114" i="11"/>
  <c r="AK114" i="11"/>
  <c r="AJ114" i="11"/>
  <c r="AI114" i="11"/>
  <c r="AH114" i="11"/>
  <c r="AG114" i="11"/>
  <c r="AF114" i="11"/>
  <c r="AE114" i="11"/>
  <c r="AD114" i="11"/>
  <c r="AC114" i="11"/>
  <c r="AB114" i="11"/>
  <c r="AA114" i="11"/>
  <c r="Z114" i="11"/>
  <c r="Y114" i="11"/>
  <c r="X114" i="11"/>
  <c r="W114" i="11"/>
  <c r="V114" i="11"/>
  <c r="AO113" i="11"/>
  <c r="AN113" i="11"/>
  <c r="AM113" i="11"/>
  <c r="AL113" i="11"/>
  <c r="AK113" i="11"/>
  <c r="AJ113" i="11"/>
  <c r="AI113" i="11"/>
  <c r="AH113" i="11"/>
  <c r="AG113" i="11"/>
  <c r="AF113" i="11"/>
  <c r="AE113" i="11"/>
  <c r="AD113" i="11"/>
  <c r="AC113" i="11"/>
  <c r="AB113" i="11"/>
  <c r="AA113" i="11"/>
  <c r="Z113" i="11"/>
  <c r="Y113" i="11"/>
  <c r="X113" i="11"/>
  <c r="W113" i="11"/>
  <c r="V113" i="11"/>
  <c r="AO112" i="11"/>
  <c r="AN112" i="11"/>
  <c r="AM112" i="11"/>
  <c r="AL112" i="11"/>
  <c r="AK112" i="11"/>
  <c r="AJ112" i="11"/>
  <c r="AI112" i="11"/>
  <c r="AH112" i="11"/>
  <c r="AG112" i="11"/>
  <c r="AF112" i="11"/>
  <c r="AE112" i="11"/>
  <c r="AD112" i="11"/>
  <c r="AC112" i="11"/>
  <c r="AB112" i="11"/>
  <c r="AA112" i="11"/>
  <c r="Z112" i="11"/>
  <c r="Y112" i="11"/>
  <c r="X112" i="11"/>
  <c r="W112" i="11"/>
  <c r="V112" i="11"/>
  <c r="AO111" i="11"/>
  <c r="AN111" i="11"/>
  <c r="AM111" i="11"/>
  <c r="AL111" i="11"/>
  <c r="AK111" i="11"/>
  <c r="AJ111" i="11"/>
  <c r="AI111" i="11"/>
  <c r="AH111" i="11"/>
  <c r="AG111" i="11"/>
  <c r="AF111" i="11"/>
  <c r="AE111" i="11"/>
  <c r="AD111" i="11"/>
  <c r="AC111" i="11"/>
  <c r="AB111" i="11"/>
  <c r="AA111" i="11"/>
  <c r="Z111" i="11"/>
  <c r="Y111" i="11"/>
  <c r="X111" i="11"/>
  <c r="W111" i="11"/>
  <c r="V111" i="11"/>
  <c r="AO110" i="11"/>
  <c r="AN110" i="11"/>
  <c r="AM110" i="11"/>
  <c r="AL110" i="11"/>
  <c r="AK110" i="11"/>
  <c r="AJ110" i="11"/>
  <c r="AI110" i="11"/>
  <c r="AH110" i="11"/>
  <c r="AG110" i="11"/>
  <c r="AF110" i="11"/>
  <c r="AE110" i="11"/>
  <c r="AD110" i="11"/>
  <c r="AC110" i="11"/>
  <c r="AB110" i="11"/>
  <c r="AA110" i="11"/>
  <c r="Z110" i="11"/>
  <c r="Y110" i="11"/>
  <c r="X110" i="11"/>
  <c r="W110" i="11"/>
  <c r="V110" i="11"/>
  <c r="AO109" i="11"/>
  <c r="AN109" i="11"/>
  <c r="AM109" i="11"/>
  <c r="AL109" i="11"/>
  <c r="AK109" i="11"/>
  <c r="AJ109" i="11"/>
  <c r="AI109" i="11"/>
  <c r="AH109" i="11"/>
  <c r="AG109" i="11"/>
  <c r="AF109" i="11"/>
  <c r="AE109" i="11"/>
  <c r="AD109" i="11"/>
  <c r="AC109" i="11"/>
  <c r="AB109" i="11"/>
  <c r="AA109" i="11"/>
  <c r="Z109" i="11"/>
  <c r="Y109" i="11"/>
  <c r="X109" i="11"/>
  <c r="W109" i="11"/>
  <c r="V109" i="11"/>
  <c r="AO108" i="11"/>
  <c r="AN108" i="11"/>
  <c r="AM108" i="11"/>
  <c r="AL108" i="11"/>
  <c r="AK108" i="11"/>
  <c r="AJ108" i="11"/>
  <c r="AI108" i="11"/>
  <c r="AH108" i="11"/>
  <c r="AG108" i="11"/>
  <c r="AF108" i="11"/>
  <c r="AE108" i="11"/>
  <c r="AD108" i="11"/>
  <c r="AC108" i="11"/>
  <c r="AB108" i="11"/>
  <c r="AA108" i="11"/>
  <c r="Z108" i="11"/>
  <c r="Y108" i="11"/>
  <c r="X108" i="11"/>
  <c r="W108" i="11"/>
  <c r="V108" i="11"/>
  <c r="AO107" i="11"/>
  <c r="AN107" i="11"/>
  <c r="AM107" i="11"/>
  <c r="AL107" i="11"/>
  <c r="AK107" i="11"/>
  <c r="AJ107" i="11"/>
  <c r="AI107" i="11"/>
  <c r="AH107" i="11"/>
  <c r="AG107" i="11"/>
  <c r="AF107" i="11"/>
  <c r="AE107" i="11"/>
  <c r="AD107" i="11"/>
  <c r="AC107" i="11"/>
  <c r="AB107" i="11"/>
  <c r="AA107" i="11"/>
  <c r="Z107" i="11"/>
  <c r="Y107" i="11"/>
  <c r="X107" i="11"/>
  <c r="W107" i="11"/>
  <c r="V107" i="11"/>
  <c r="AO106" i="11"/>
  <c r="AN106" i="11"/>
  <c r="AM106" i="11"/>
  <c r="AL106" i="11"/>
  <c r="AK106" i="11"/>
  <c r="AJ106" i="11"/>
  <c r="AI106" i="11"/>
  <c r="AH106" i="11"/>
  <c r="AG106" i="11"/>
  <c r="AF106" i="11"/>
  <c r="AE106" i="11"/>
  <c r="AD106" i="11"/>
  <c r="AC106" i="11"/>
  <c r="AB106" i="11"/>
  <c r="AA106" i="11"/>
  <c r="Z106" i="11"/>
  <c r="Y106" i="11"/>
  <c r="X106" i="11"/>
  <c r="W106" i="11"/>
  <c r="V106" i="11"/>
  <c r="AO105" i="11"/>
  <c r="AN105" i="11"/>
  <c r="AM105" i="11"/>
  <c r="AL105" i="11"/>
  <c r="AK105" i="11"/>
  <c r="AJ105" i="11"/>
  <c r="AI105" i="11"/>
  <c r="AH105" i="11"/>
  <c r="AG105" i="11"/>
  <c r="AF105" i="11"/>
  <c r="AE105" i="11"/>
  <c r="AD105" i="11"/>
  <c r="AC105" i="11"/>
  <c r="AB105" i="11"/>
  <c r="AA105" i="11"/>
  <c r="Z105" i="11"/>
  <c r="Y105" i="11"/>
  <c r="X105" i="11"/>
  <c r="W105" i="11"/>
  <c r="V105" i="11"/>
  <c r="AO104" i="11"/>
  <c r="AN104" i="11"/>
  <c r="AM104" i="11"/>
  <c r="AL104" i="11"/>
  <c r="AK104" i="11"/>
  <c r="AJ104" i="11"/>
  <c r="AI104" i="11"/>
  <c r="AH104" i="11"/>
  <c r="AG104" i="11"/>
  <c r="AF104" i="11"/>
  <c r="AE104" i="11"/>
  <c r="AD104" i="11"/>
  <c r="AC104" i="11"/>
  <c r="AB104" i="11"/>
  <c r="AA104" i="11"/>
  <c r="Z104" i="11"/>
  <c r="Y104" i="11"/>
  <c r="X104" i="11"/>
  <c r="W104" i="11"/>
  <c r="V104" i="11"/>
  <c r="AO103" i="11"/>
  <c r="AN103" i="11"/>
  <c r="AM103" i="11"/>
  <c r="AL103" i="11"/>
  <c r="AK103" i="11"/>
  <c r="AJ103" i="11"/>
  <c r="AI103" i="11"/>
  <c r="AH103" i="11"/>
  <c r="AG103" i="11"/>
  <c r="AF103" i="11"/>
  <c r="AE103" i="11"/>
  <c r="AD103" i="11"/>
  <c r="AC103" i="11"/>
  <c r="AB103" i="11"/>
  <c r="AA103" i="11"/>
  <c r="Z103" i="11"/>
  <c r="Y103" i="11"/>
  <c r="X103" i="11"/>
  <c r="W103" i="11"/>
  <c r="V103" i="11"/>
  <c r="AO102" i="11"/>
  <c r="AN102" i="11"/>
  <c r="AM102" i="11"/>
  <c r="AL102" i="11"/>
  <c r="AK102" i="11"/>
  <c r="AJ102" i="11"/>
  <c r="AI102" i="11"/>
  <c r="AH102" i="11"/>
  <c r="AG102" i="11"/>
  <c r="AF102" i="11"/>
  <c r="AE102" i="11"/>
  <c r="AD102" i="11"/>
  <c r="AC102" i="11"/>
  <c r="AB102" i="11"/>
  <c r="AA102" i="11"/>
  <c r="Z102" i="11"/>
  <c r="Y102" i="11"/>
  <c r="X102" i="11"/>
  <c r="W102" i="11"/>
  <c r="V102" i="11"/>
  <c r="AO101" i="11"/>
  <c r="AN101" i="11"/>
  <c r="AM101" i="11"/>
  <c r="AL101" i="11"/>
  <c r="AK101" i="11"/>
  <c r="AJ101" i="11"/>
  <c r="AI101" i="11"/>
  <c r="AH101" i="11"/>
  <c r="AG101" i="11"/>
  <c r="AF101" i="11"/>
  <c r="AE101" i="11"/>
  <c r="AD101" i="11"/>
  <c r="AC101" i="11"/>
  <c r="AB101" i="11"/>
  <c r="AA101" i="11"/>
  <c r="Z101" i="11"/>
  <c r="Y101" i="11"/>
  <c r="X101" i="11"/>
  <c r="W101" i="11"/>
  <c r="V101" i="11"/>
  <c r="AO100" i="11"/>
  <c r="AN100" i="11"/>
  <c r="AM100" i="11"/>
  <c r="AL100" i="11"/>
  <c r="AK100" i="11"/>
  <c r="AJ100" i="11"/>
  <c r="AI100" i="11"/>
  <c r="AH100" i="11"/>
  <c r="AG100" i="11"/>
  <c r="AF100" i="11"/>
  <c r="AE100" i="11"/>
  <c r="AD100" i="11"/>
  <c r="AC100" i="11"/>
  <c r="AB100" i="11"/>
  <c r="AA100" i="11"/>
  <c r="Z100" i="11"/>
  <c r="Y100" i="11"/>
  <c r="X100" i="11"/>
  <c r="W100" i="11"/>
  <c r="V100" i="11"/>
  <c r="AD94" i="11"/>
  <c r="AA93" i="11"/>
  <c r="V93" i="11"/>
  <c r="W88" i="11"/>
  <c r="Z82" i="11"/>
  <c r="Y82" i="11"/>
  <c r="X82" i="11"/>
  <c r="W82" i="11"/>
  <c r="V82" i="11"/>
  <c r="Z81" i="11"/>
  <c r="Y81" i="11"/>
  <c r="X81" i="11"/>
  <c r="W81" i="11"/>
  <c r="V81" i="11"/>
  <c r="Z80" i="11"/>
  <c r="Y80" i="11"/>
  <c r="X80" i="11"/>
  <c r="W80" i="11"/>
  <c r="V80" i="11"/>
  <c r="Z79" i="11"/>
  <c r="Y79" i="11"/>
  <c r="X79" i="11"/>
  <c r="W79" i="11"/>
  <c r="V79" i="11"/>
  <c r="Z78" i="11"/>
  <c r="Y78" i="11"/>
  <c r="X78" i="11"/>
  <c r="W78" i="11"/>
  <c r="V78" i="11"/>
  <c r="Z77" i="11"/>
  <c r="Y77" i="11"/>
  <c r="X77" i="11"/>
  <c r="W77" i="11"/>
  <c r="V77" i="11"/>
  <c r="Z76" i="11"/>
  <c r="Y76" i="11"/>
  <c r="X76" i="11"/>
  <c r="W76" i="11"/>
  <c r="V76" i="11"/>
  <c r="Z75" i="11"/>
  <c r="Y75" i="11"/>
  <c r="X75" i="11"/>
  <c r="W75" i="11"/>
  <c r="V75" i="11"/>
  <c r="Z74" i="11"/>
  <c r="Y74" i="11"/>
  <c r="X74" i="11"/>
  <c r="W74" i="11"/>
  <c r="V74" i="11"/>
  <c r="Z73" i="11"/>
  <c r="Y73" i="11"/>
  <c r="X73" i="11"/>
  <c r="W73" i="11"/>
  <c r="V73" i="11"/>
  <c r="Z68" i="11"/>
  <c r="Y68" i="11"/>
  <c r="X68" i="11"/>
  <c r="W68" i="11"/>
  <c r="V68" i="11"/>
  <c r="Z67" i="11"/>
  <c r="Y67" i="11"/>
  <c r="X67" i="11"/>
  <c r="W67" i="11"/>
  <c r="V67" i="11"/>
  <c r="Z66" i="11"/>
  <c r="Y66" i="11"/>
  <c r="X66" i="11"/>
  <c r="W66" i="11"/>
  <c r="V66" i="11"/>
  <c r="Z65" i="11"/>
  <c r="Y65" i="11"/>
  <c r="X65" i="11"/>
  <c r="W65" i="11"/>
  <c r="V65" i="11"/>
  <c r="Z64" i="11"/>
  <c r="Y64" i="11"/>
  <c r="X64" i="11"/>
  <c r="W64" i="11"/>
  <c r="V64" i="11"/>
  <c r="Z63" i="11"/>
  <c r="Y63" i="11"/>
  <c r="X63" i="11"/>
  <c r="W63" i="11"/>
  <c r="V63" i="11"/>
  <c r="Z62" i="11"/>
  <c r="Y62" i="11"/>
  <c r="X62" i="11"/>
  <c r="W62" i="11"/>
  <c r="V62" i="11"/>
  <c r="Z61" i="11"/>
  <c r="Y61" i="11"/>
  <c r="X61" i="11"/>
  <c r="W61" i="11"/>
  <c r="V61" i="11"/>
  <c r="Z60" i="11"/>
  <c r="Y60" i="11"/>
  <c r="X60" i="11"/>
  <c r="W60" i="11"/>
  <c r="V60" i="11"/>
  <c r="Z59" i="11"/>
  <c r="Y59" i="11"/>
  <c r="X59" i="11"/>
  <c r="W59" i="11"/>
  <c r="V59" i="11"/>
  <c r="AQ58" i="11"/>
  <c r="D40" i="11" s="1"/>
  <c r="Z58" i="11"/>
  <c r="Y58" i="11"/>
  <c r="X58" i="11"/>
  <c r="W58" i="11"/>
  <c r="V58" i="11"/>
  <c r="Z57" i="11"/>
  <c r="Y57" i="11"/>
  <c r="X57" i="11"/>
  <c r="W57" i="11"/>
  <c r="V57" i="11"/>
  <c r="Z56" i="11"/>
  <c r="Y56" i="11"/>
  <c r="X56" i="11"/>
  <c r="W56" i="11"/>
  <c r="V56" i="11"/>
  <c r="AP44" i="11"/>
  <c r="B59" i="11" s="1"/>
  <c r="AP43" i="11"/>
  <c r="B58" i="11" s="1"/>
  <c r="AP42" i="11"/>
  <c r="B57" i="11" s="1"/>
  <c r="X42" i="11"/>
  <c r="AP41" i="11"/>
  <c r="B56" i="11" s="1"/>
  <c r="X41" i="11"/>
  <c r="AP40" i="11"/>
  <c r="B55" i="11" s="1"/>
  <c r="X40" i="11"/>
  <c r="B40" i="11"/>
  <c r="X39" i="11"/>
  <c r="X38" i="11"/>
  <c r="X37" i="11"/>
  <c r="X36" i="11"/>
  <c r="X35" i="11"/>
  <c r="Q35" i="11"/>
  <c r="P35" i="11"/>
  <c r="B35" i="11"/>
  <c r="X34" i="11"/>
  <c r="J34" i="11"/>
  <c r="D35" i="11" s="1"/>
  <c r="X33" i="11"/>
  <c r="X32" i="11"/>
  <c r="AG31" i="11"/>
  <c r="X31" i="11"/>
  <c r="X30" i="11"/>
  <c r="X29" i="11"/>
  <c r="B29" i="11"/>
  <c r="AQ27" i="11" s="1"/>
  <c r="X28" i="11"/>
  <c r="B27" i="11"/>
  <c r="P25" i="11"/>
  <c r="I24" i="11" s="1"/>
  <c r="G24" i="11"/>
  <c r="E24" i="11"/>
  <c r="C24" i="11"/>
  <c r="AB23" i="11"/>
  <c r="AA23" i="11"/>
  <c r="Z23" i="11"/>
  <c r="Y23" i="11"/>
  <c r="I23" i="11"/>
  <c r="G23" i="11"/>
  <c r="E23" i="11"/>
  <c r="C23" i="11"/>
  <c r="AB22" i="11"/>
  <c r="AA22" i="11"/>
  <c r="Z22" i="11"/>
  <c r="Y22" i="11"/>
  <c r="I22" i="11"/>
  <c r="G22" i="11"/>
  <c r="E22" i="11"/>
  <c r="C22" i="11"/>
  <c r="I21" i="11"/>
  <c r="G21" i="11"/>
  <c r="E21" i="11"/>
  <c r="C21" i="11"/>
  <c r="AQ20" i="11"/>
  <c r="B49" i="11" s="1"/>
  <c r="AQ36" i="11" s="1"/>
  <c r="AI20" i="11"/>
  <c r="I20" i="11"/>
  <c r="AQ19" i="11"/>
  <c r="B48" i="11" s="1"/>
  <c r="AQ35" i="11" s="1"/>
  <c r="AI19" i="11"/>
  <c r="AQ18" i="11"/>
  <c r="B47" i="11" s="1"/>
  <c r="AQ34" i="11" s="1"/>
  <c r="AI18" i="11"/>
  <c r="I18" i="11"/>
  <c r="AI17" i="11"/>
  <c r="AI16" i="11"/>
  <c r="AI15" i="11"/>
  <c r="AQ14" i="11"/>
  <c r="AI14" i="11"/>
  <c r="I14" i="11"/>
  <c r="AQ13" i="11"/>
  <c r="B45" i="11" s="1"/>
  <c r="AQ32" i="11" s="1"/>
  <c r="AI13" i="11"/>
  <c r="AQ12" i="11"/>
  <c r="B44" i="11" s="1"/>
  <c r="AQ31" i="11" s="1"/>
  <c r="AI12" i="11"/>
  <c r="AI11" i="11"/>
  <c r="AB11" i="11"/>
  <c r="AA11" i="11"/>
  <c r="Z11" i="11"/>
  <c r="Y11" i="11"/>
  <c r="AI10" i="11"/>
  <c r="AB10" i="11"/>
  <c r="AA10" i="11"/>
  <c r="Z10" i="11"/>
  <c r="Y10" i="11"/>
  <c r="AI9" i="11"/>
  <c r="AJ9" i="11" s="1"/>
  <c r="AB9" i="11"/>
  <c r="AA9" i="11"/>
  <c r="Z9" i="11"/>
  <c r="Y9" i="11"/>
  <c r="AQ8" i="11"/>
  <c r="B43" i="11" s="1"/>
  <c r="AQ30" i="11" s="1"/>
  <c r="AB8" i="11"/>
  <c r="AA8" i="11"/>
  <c r="Z8" i="11"/>
  <c r="Y8" i="11"/>
  <c r="AQ7" i="11"/>
  <c r="AQ6" i="11"/>
  <c r="B41" i="11" s="1"/>
  <c r="AQ28" i="11" s="1"/>
  <c r="AX42" i="55" l="1"/>
  <c r="AZ42" i="55"/>
  <c r="E88" i="55"/>
  <c r="AV44" i="54"/>
  <c r="AX44" i="54" s="1"/>
  <c r="D92" i="55"/>
  <c r="E91" i="55"/>
  <c r="AZ43" i="55"/>
  <c r="AW43" i="55"/>
  <c r="AX43" i="55"/>
  <c r="E92" i="55"/>
  <c r="AY43" i="55"/>
  <c r="E85" i="55"/>
  <c r="AY41" i="55"/>
  <c r="D86" i="55"/>
  <c r="AW41" i="55"/>
  <c r="E86" i="55"/>
  <c r="AZ41" i="55"/>
  <c r="AX41" i="55"/>
  <c r="AW44" i="55"/>
  <c r="E95" i="55"/>
  <c r="AZ44" i="55"/>
  <c r="E94" i="55"/>
  <c r="AY44" i="55"/>
  <c r="AX44" i="55"/>
  <c r="D95" i="55"/>
  <c r="E82" i="55"/>
  <c r="AX40" i="55"/>
  <c r="AX45" i="55" s="1"/>
  <c r="O112" i="55" s="1"/>
  <c r="E83" i="55"/>
  <c r="AZ40" i="55"/>
  <c r="AY40" i="55"/>
  <c r="AY45" i="55" s="1"/>
  <c r="P112" i="55" s="1"/>
  <c r="D83" i="55"/>
  <c r="AW40" i="55"/>
  <c r="AW45" i="55" s="1"/>
  <c r="N112" i="55" s="1"/>
  <c r="D88" i="55"/>
  <c r="I89" i="55"/>
  <c r="I88" i="55" s="1"/>
  <c r="AV43" i="54"/>
  <c r="D95" i="54"/>
  <c r="AV42" i="54"/>
  <c r="I66" i="54"/>
  <c r="AV41" i="54"/>
  <c r="AV40" i="54"/>
  <c r="D92" i="52"/>
  <c r="E91" i="52"/>
  <c r="AW43" i="52"/>
  <c r="E92" i="52"/>
  <c r="AY43" i="52"/>
  <c r="AX43" i="52"/>
  <c r="AZ43" i="52"/>
  <c r="D82" i="52"/>
  <c r="I83" i="52"/>
  <c r="D85" i="52"/>
  <c r="I86" i="52"/>
  <c r="I85" i="52" s="1"/>
  <c r="AX44" i="52"/>
  <c r="AW44" i="52"/>
  <c r="D95" i="52"/>
  <c r="E94" i="52"/>
  <c r="AY44" i="52"/>
  <c r="E95" i="52"/>
  <c r="AZ44" i="52"/>
  <c r="E89" i="52"/>
  <c r="D89" i="52"/>
  <c r="E88" i="52"/>
  <c r="AZ42" i="52"/>
  <c r="AZ45" i="52" s="1"/>
  <c r="Q112" i="52" s="1"/>
  <c r="AY42" i="52"/>
  <c r="AY45" i="52" s="1"/>
  <c r="P112" i="52" s="1"/>
  <c r="AX42" i="52"/>
  <c r="AW42" i="52"/>
  <c r="AW45" i="52" s="1"/>
  <c r="N112" i="52" s="1"/>
  <c r="AU21" i="49"/>
  <c r="Q100" i="49" s="1"/>
  <c r="AT21" i="49"/>
  <c r="P100" i="49" s="1"/>
  <c r="D49" i="49"/>
  <c r="E49" i="49"/>
  <c r="AT34" i="49"/>
  <c r="AV34" i="49"/>
  <c r="AU34" i="49"/>
  <c r="AS34" i="49"/>
  <c r="E47" i="49"/>
  <c r="D47" i="49"/>
  <c r="AV32" i="49"/>
  <c r="AT32" i="49"/>
  <c r="AS32" i="49"/>
  <c r="AU32" i="49"/>
  <c r="E48" i="49"/>
  <c r="D48" i="49"/>
  <c r="AS21" i="49"/>
  <c r="O100" i="49" s="1"/>
  <c r="AT43" i="48"/>
  <c r="AT41" i="48"/>
  <c r="AS41" i="48"/>
  <c r="AS44" i="48"/>
  <c r="AS43" i="48"/>
  <c r="AS42" i="48"/>
  <c r="AU43" i="48"/>
  <c r="AU44" i="48"/>
  <c r="AU42" i="48"/>
  <c r="AU40" i="48"/>
  <c r="AU41" i="48"/>
  <c r="AR40" i="48"/>
  <c r="AR44" i="48"/>
  <c r="AR41" i="48"/>
  <c r="AR42" i="48"/>
  <c r="AR43" i="48"/>
  <c r="AT41" i="47"/>
  <c r="AT42" i="47"/>
  <c r="AS19" i="42"/>
  <c r="AS20" i="42"/>
  <c r="AS21" i="42" s="1"/>
  <c r="O100" i="42" s="1"/>
  <c r="AT40" i="47"/>
  <c r="AT43" i="47"/>
  <c r="AS43" i="47"/>
  <c r="AS41" i="47"/>
  <c r="AS44" i="47"/>
  <c r="AR40" i="47"/>
  <c r="AR43" i="47"/>
  <c r="AR44" i="47"/>
  <c r="AS42" i="47"/>
  <c r="AR41" i="47"/>
  <c r="AU42" i="47"/>
  <c r="AU43" i="47"/>
  <c r="AU40" i="47"/>
  <c r="AU44" i="47"/>
  <c r="AU41" i="47"/>
  <c r="J47" i="43"/>
  <c r="AS20" i="43"/>
  <c r="AU20" i="43"/>
  <c r="AT20" i="43"/>
  <c r="AU18" i="43"/>
  <c r="J45" i="43"/>
  <c r="AT18" i="43"/>
  <c r="AS18" i="43"/>
  <c r="J46" i="43"/>
  <c r="AU19" i="43"/>
  <c r="AT19" i="43"/>
  <c r="AS19" i="43"/>
  <c r="D49" i="42"/>
  <c r="E49" i="42"/>
  <c r="AT34" i="42"/>
  <c r="AS34" i="42"/>
  <c r="AU34" i="42"/>
  <c r="AV34" i="42"/>
  <c r="D48" i="42"/>
  <c r="E48" i="42"/>
  <c r="AU21" i="42"/>
  <c r="Q100" i="42" s="1"/>
  <c r="E47" i="42"/>
  <c r="D47" i="42"/>
  <c r="AT32" i="42"/>
  <c r="AS32" i="42"/>
  <c r="AU32" i="42"/>
  <c r="AV32" i="42"/>
  <c r="AT21" i="42"/>
  <c r="P100" i="42" s="1"/>
  <c r="AT21" i="41"/>
  <c r="P100" i="41" s="1"/>
  <c r="AS21" i="41"/>
  <c r="O100" i="41" s="1"/>
  <c r="D48" i="41"/>
  <c r="E48" i="41"/>
  <c r="D49" i="41"/>
  <c r="E49" i="41"/>
  <c r="AU34" i="41"/>
  <c r="AV34" i="41"/>
  <c r="AS34" i="41"/>
  <c r="AT34" i="41"/>
  <c r="AU21" i="41"/>
  <c r="Q100" i="41" s="1"/>
  <c r="E47" i="41"/>
  <c r="D47" i="41"/>
  <c r="AU32" i="41"/>
  <c r="AT32" i="41"/>
  <c r="AS32" i="41"/>
  <c r="AV32" i="41"/>
  <c r="AJ18" i="13"/>
  <c r="AC23" i="13"/>
  <c r="P24" i="13"/>
  <c r="AC11" i="18"/>
  <c r="AC10" i="12"/>
  <c r="AJ15" i="13"/>
  <c r="AK15" i="13" s="1"/>
  <c r="AU26" i="13" s="1"/>
  <c r="P114" i="13" s="1"/>
  <c r="AC9" i="24"/>
  <c r="AK15" i="26"/>
  <c r="AU26" i="26" s="1"/>
  <c r="P114" i="26" s="1"/>
  <c r="AJ18" i="11"/>
  <c r="AC9" i="12"/>
  <c r="AJ12" i="17"/>
  <c r="AJ15" i="20"/>
  <c r="AJ12" i="11"/>
  <c r="AC8" i="12"/>
  <c r="AJ15" i="17"/>
  <c r="E18" i="18"/>
  <c r="AV18" i="40"/>
  <c r="AT18" i="40" s="1"/>
  <c r="AV19" i="40"/>
  <c r="AS19" i="40" s="1"/>
  <c r="J47" i="40"/>
  <c r="AU20" i="40"/>
  <c r="AS20" i="40"/>
  <c r="AT20" i="40"/>
  <c r="AU20" i="38"/>
  <c r="AS20" i="38"/>
  <c r="AT20" i="38"/>
  <c r="AU18" i="38"/>
  <c r="AT18" i="38"/>
  <c r="J45" i="38"/>
  <c r="AV32" i="38" s="1"/>
  <c r="AS21" i="38"/>
  <c r="O100" i="38" s="1"/>
  <c r="E49" i="38"/>
  <c r="D49" i="38"/>
  <c r="AU34" i="38"/>
  <c r="AT34" i="38"/>
  <c r="AV34" i="38"/>
  <c r="AS34" i="38"/>
  <c r="E48" i="38"/>
  <c r="D48" i="38"/>
  <c r="E47" i="38"/>
  <c r="AS32" i="38"/>
  <c r="AT32" i="38"/>
  <c r="AU21" i="37"/>
  <c r="Q100" i="37" s="1"/>
  <c r="AT21" i="37"/>
  <c r="P100" i="37" s="1"/>
  <c r="AS21" i="37"/>
  <c r="O100" i="37" s="1"/>
  <c r="D47" i="37"/>
  <c r="E47" i="37"/>
  <c r="AS32" i="37"/>
  <c r="AV32" i="37"/>
  <c r="AU32" i="37"/>
  <c r="AT32" i="37"/>
  <c r="D48" i="37"/>
  <c r="E48" i="37"/>
  <c r="E49" i="37"/>
  <c r="D49" i="37"/>
  <c r="AT34" i="37"/>
  <c r="AV34" i="37"/>
  <c r="AU34" i="37"/>
  <c r="AS34" i="37"/>
  <c r="AS5" i="15"/>
  <c r="AL18" i="27"/>
  <c r="AK18" i="27" s="1"/>
  <c r="AV26" i="27" s="1"/>
  <c r="Q114" i="27" s="1"/>
  <c r="AL9" i="27"/>
  <c r="AK9" i="27" s="1"/>
  <c r="AS26" i="27" s="1"/>
  <c r="N114" i="27" s="1"/>
  <c r="AC31" i="27"/>
  <c r="P99" i="27" s="1"/>
  <c r="AC22" i="13"/>
  <c r="AL9" i="13"/>
  <c r="AK9" i="13" s="1"/>
  <c r="AS26" i="13" s="1"/>
  <c r="E18" i="12"/>
  <c r="AL15" i="12" s="1"/>
  <c r="AC22" i="20"/>
  <c r="AC8" i="20"/>
  <c r="AJ18" i="20"/>
  <c r="AJ12" i="20"/>
  <c r="AK15" i="27"/>
  <c r="AU26" i="27" s="1"/>
  <c r="P114" i="27" s="1"/>
  <c r="Q99" i="26"/>
  <c r="AU5" i="26"/>
  <c r="P99" i="26"/>
  <c r="AC22" i="18"/>
  <c r="AD22" i="18" s="1"/>
  <c r="AB39" i="18" s="1"/>
  <c r="AC32" i="18" s="1"/>
  <c r="AU5" i="18" s="1"/>
  <c r="AC8" i="18"/>
  <c r="AJ12" i="18"/>
  <c r="AC23" i="18"/>
  <c r="AJ15" i="18"/>
  <c r="AC11" i="17"/>
  <c r="AC9" i="17"/>
  <c r="AC8" i="17"/>
  <c r="AJ18" i="17"/>
  <c r="AC22" i="15"/>
  <c r="AC8" i="15"/>
  <c r="AJ18" i="15"/>
  <c r="AC23" i="15"/>
  <c r="AD22" i="15" s="1"/>
  <c r="AB39" i="15" s="1"/>
  <c r="AC32" i="15" s="1"/>
  <c r="AU5" i="15" s="1"/>
  <c r="AJ12" i="15"/>
  <c r="AJ12" i="13"/>
  <c r="AC9" i="13"/>
  <c r="AC10" i="13"/>
  <c r="AC8" i="13"/>
  <c r="AJ18" i="12"/>
  <c r="AJ12" i="12"/>
  <c r="AJ15" i="12"/>
  <c r="AC9" i="11"/>
  <c r="AC8" i="11"/>
  <c r="AC23" i="11"/>
  <c r="AJ15" i="11"/>
  <c r="AC8" i="24"/>
  <c r="AJ18" i="24"/>
  <c r="AC23" i="24"/>
  <c r="AJ12" i="24"/>
  <c r="D40" i="26"/>
  <c r="E36" i="27"/>
  <c r="E18" i="17"/>
  <c r="AL18" i="17" s="1"/>
  <c r="AK18" i="17" s="1"/>
  <c r="AV26" i="17" s="1"/>
  <c r="AE91" i="17"/>
  <c r="AE88" i="17"/>
  <c r="AE88" i="13"/>
  <c r="AE91" i="13"/>
  <c r="AE94" i="24"/>
  <c r="AE91" i="20"/>
  <c r="AE88" i="12"/>
  <c r="AE95" i="13"/>
  <c r="AE87" i="17"/>
  <c r="AE95" i="17"/>
  <c r="AE88" i="24"/>
  <c r="AE92" i="15"/>
  <c r="AE88" i="11"/>
  <c r="AE94" i="15"/>
  <c r="AE90" i="13"/>
  <c r="AE94" i="11"/>
  <c r="V49" i="18"/>
  <c r="V47" i="18" s="1"/>
  <c r="V48" i="18" s="1"/>
  <c r="V51" i="18" s="1"/>
  <c r="J27" i="18" s="1"/>
  <c r="AE90" i="12"/>
  <c r="AE92" i="13"/>
  <c r="AE87" i="20"/>
  <c r="AE87" i="24"/>
  <c r="AE90" i="24"/>
  <c r="AE93" i="24"/>
  <c r="AE91" i="12"/>
  <c r="AE95" i="18"/>
  <c r="AE90" i="11"/>
  <c r="AE93" i="11"/>
  <c r="AE87" i="18"/>
  <c r="V49" i="24"/>
  <c r="AE92" i="24"/>
  <c r="V47" i="27"/>
  <c r="V48" i="27" s="1"/>
  <c r="V51" i="27" s="1"/>
  <c r="J27" i="27" s="1"/>
  <c r="J28" i="27" s="1"/>
  <c r="E28" i="27" s="1"/>
  <c r="AC23" i="20"/>
  <c r="AC11" i="20"/>
  <c r="D36" i="26"/>
  <c r="D40" i="18"/>
  <c r="P24" i="15"/>
  <c r="G20" i="15" s="1"/>
  <c r="AC11" i="13"/>
  <c r="D35" i="12"/>
  <c r="D28" i="26"/>
  <c r="E27" i="26"/>
  <c r="D27" i="26"/>
  <c r="AC10" i="18"/>
  <c r="AD8" i="18" s="1"/>
  <c r="AB36" i="18" s="1"/>
  <c r="AC31" i="18" s="1"/>
  <c r="AC10" i="17"/>
  <c r="AD8" i="17" s="1"/>
  <c r="AB36" i="17" s="1"/>
  <c r="AC31" i="17" s="1"/>
  <c r="P99" i="17" s="1"/>
  <c r="AC22" i="17"/>
  <c r="AC23" i="17"/>
  <c r="AD22" i="17" s="1"/>
  <c r="AB39" i="17" s="1"/>
  <c r="AC32" i="17" s="1"/>
  <c r="AU5" i="17" s="1"/>
  <c r="P24" i="17"/>
  <c r="G20" i="17" s="1"/>
  <c r="AC10" i="15"/>
  <c r="AD8" i="15" s="1"/>
  <c r="AB36" i="15" s="1"/>
  <c r="AC31" i="15" s="1"/>
  <c r="P99" i="15" s="1"/>
  <c r="AC22" i="12"/>
  <c r="AC23" i="12"/>
  <c r="AC10" i="11"/>
  <c r="AC22" i="11"/>
  <c r="AC11" i="24"/>
  <c r="AC10" i="24"/>
  <c r="AD8" i="24" s="1"/>
  <c r="AB36" i="24" s="1"/>
  <c r="E40" i="12"/>
  <c r="V49" i="12"/>
  <c r="V49" i="11"/>
  <c r="AE87" i="13"/>
  <c r="AE91" i="18"/>
  <c r="AD8" i="11"/>
  <c r="AB36" i="11" s="1"/>
  <c r="AE90" i="17"/>
  <c r="AD8" i="12"/>
  <c r="AB36" i="12" s="1"/>
  <c r="AE89" i="11"/>
  <c r="AE91" i="15"/>
  <c r="AE92" i="11"/>
  <c r="Z46" i="11" s="1"/>
  <c r="AE91" i="24"/>
  <c r="V49" i="13"/>
  <c r="V47" i="13" s="1"/>
  <c r="V48" i="13" s="1"/>
  <c r="V51" i="13" s="1"/>
  <c r="J27" i="13" s="1"/>
  <c r="AQ59" i="15"/>
  <c r="D40" i="15" s="1"/>
  <c r="AE88" i="18"/>
  <c r="AE92" i="18"/>
  <c r="AE94" i="20"/>
  <c r="AE94" i="13"/>
  <c r="AE93" i="13"/>
  <c r="AE87" i="15"/>
  <c r="AE90" i="15"/>
  <c r="E18" i="11"/>
  <c r="AL15" i="11" s="1"/>
  <c r="AK15" i="11" s="1"/>
  <c r="AU26" i="11" s="1"/>
  <c r="AE95" i="24"/>
  <c r="AE94" i="17"/>
  <c r="AE90" i="20"/>
  <c r="AE92" i="12"/>
  <c r="Z46" i="12" s="1"/>
  <c r="E18" i="15"/>
  <c r="AL9" i="15" s="1"/>
  <c r="AK9" i="15" s="1"/>
  <c r="AS26" i="15" s="1"/>
  <c r="N114" i="15" s="1"/>
  <c r="AC11" i="15"/>
  <c r="AE95" i="15"/>
  <c r="AE90" i="18"/>
  <c r="AE94" i="18"/>
  <c r="AE89" i="13"/>
  <c r="V49" i="20"/>
  <c r="AE95" i="20"/>
  <c r="AE94" i="12"/>
  <c r="AQ59" i="13"/>
  <c r="D40" i="13" s="1"/>
  <c r="AE89" i="18"/>
  <c r="AE93" i="18"/>
  <c r="E18" i="20"/>
  <c r="AL18" i="20" s="1"/>
  <c r="AE92" i="20"/>
  <c r="Z46" i="20" s="1"/>
  <c r="E18" i="24"/>
  <c r="AC30" i="24" s="1"/>
  <c r="AE89" i="24"/>
  <c r="O99" i="27"/>
  <c r="AS5" i="27"/>
  <c r="AU5" i="27"/>
  <c r="Q99" i="27"/>
  <c r="O114" i="27"/>
  <c r="O114" i="26"/>
  <c r="AV8" i="26"/>
  <c r="AV7" i="26"/>
  <c r="AV6" i="26"/>
  <c r="E35" i="20"/>
  <c r="D36" i="20"/>
  <c r="AC10" i="20"/>
  <c r="AD8" i="20" s="1"/>
  <c r="AB36" i="20" s="1"/>
  <c r="AC31" i="20" s="1"/>
  <c r="AD22" i="20"/>
  <c r="AB39" i="20" s="1"/>
  <c r="AC32" i="20" s="1"/>
  <c r="AU5" i="20" s="1"/>
  <c r="P24" i="20"/>
  <c r="G20" i="20" s="1"/>
  <c r="D35" i="20"/>
  <c r="E35" i="18"/>
  <c r="E40" i="11"/>
  <c r="AC11" i="11"/>
  <c r="E40" i="24"/>
  <c r="E35" i="24"/>
  <c r="P24" i="24"/>
  <c r="AC22" i="24"/>
  <c r="J35" i="24"/>
  <c r="B46" i="24"/>
  <c r="AQ33" i="24" s="1"/>
  <c r="B42" i="24"/>
  <c r="AQ29" i="24" s="1"/>
  <c r="AS5" i="20"/>
  <c r="AL9" i="20"/>
  <c r="AK9" i="20" s="1"/>
  <c r="AS26" i="20" s="1"/>
  <c r="AL12" i="20"/>
  <c r="AK12" i="20" s="1"/>
  <c r="AT26" i="20" s="1"/>
  <c r="B46" i="20"/>
  <c r="AQ33" i="20" s="1"/>
  <c r="B45" i="20"/>
  <c r="AQ32" i="20" s="1"/>
  <c r="B42" i="20"/>
  <c r="AQ29" i="20" s="1"/>
  <c r="B48" i="20"/>
  <c r="AQ35" i="20" s="1"/>
  <c r="AE88" i="20"/>
  <c r="B49" i="20"/>
  <c r="AQ36" i="20" s="1"/>
  <c r="AQ59" i="20"/>
  <c r="AE89" i="20"/>
  <c r="AE93" i="20"/>
  <c r="AL15" i="18"/>
  <c r="AK15" i="18" s="1"/>
  <c r="AU26" i="18" s="1"/>
  <c r="AC30" i="18"/>
  <c r="O99" i="18" s="1"/>
  <c r="AL12" i="18"/>
  <c r="AK12" i="18" s="1"/>
  <c r="AT26" i="18" s="1"/>
  <c r="O114" i="18" s="1"/>
  <c r="AL18" i="18"/>
  <c r="AK18" i="18" s="1"/>
  <c r="AV26" i="18" s="1"/>
  <c r="Q114" i="18" s="1"/>
  <c r="AS5" i="17"/>
  <c r="G20" i="18"/>
  <c r="I24" i="18"/>
  <c r="J35" i="18"/>
  <c r="B45" i="18"/>
  <c r="AQ32" i="18" s="1"/>
  <c r="B49" i="18"/>
  <c r="AQ36" i="18" s="1"/>
  <c r="AL9" i="18"/>
  <c r="AK9" i="18" s="1"/>
  <c r="AS26" i="18" s="1"/>
  <c r="AL9" i="17"/>
  <c r="AK9" i="17" s="1"/>
  <c r="AS26" i="17" s="1"/>
  <c r="AL12" i="17"/>
  <c r="AK12" i="17" s="1"/>
  <c r="AT26" i="17" s="1"/>
  <c r="B49" i="17"/>
  <c r="AQ36" i="17" s="1"/>
  <c r="AE93" i="17"/>
  <c r="B46" i="17"/>
  <c r="AQ33" i="17" s="1"/>
  <c r="B48" i="17"/>
  <c r="AQ35" i="17" s="1"/>
  <c r="AQ59" i="17"/>
  <c r="V49" i="17"/>
  <c r="AE89" i="17"/>
  <c r="AE92" i="17"/>
  <c r="Z46" i="17" s="1"/>
  <c r="B45" i="17"/>
  <c r="AQ32" i="17" s="1"/>
  <c r="J35" i="17"/>
  <c r="E35" i="17"/>
  <c r="J35" i="15"/>
  <c r="E35" i="15"/>
  <c r="B46" i="15"/>
  <c r="AQ33" i="15" s="1"/>
  <c r="D35" i="15"/>
  <c r="V49" i="15"/>
  <c r="AE89" i="15"/>
  <c r="B49" i="15"/>
  <c r="AQ36" i="15" s="1"/>
  <c r="B45" i="15"/>
  <c r="AQ32" i="15" s="1"/>
  <c r="B48" i="15"/>
  <c r="AQ35" i="15" s="1"/>
  <c r="AE88" i="15"/>
  <c r="AE93" i="15"/>
  <c r="AS5" i="13"/>
  <c r="AQ29" i="13"/>
  <c r="B46" i="13"/>
  <c r="AQ33" i="13" s="1"/>
  <c r="AD22" i="13"/>
  <c r="AB39" i="13" s="1"/>
  <c r="AC32" i="13" s="1"/>
  <c r="G20" i="13"/>
  <c r="Z46" i="13"/>
  <c r="AD8" i="13"/>
  <c r="AB36" i="13" s="1"/>
  <c r="AC31" i="13" s="1"/>
  <c r="AL18" i="13"/>
  <c r="AK18" i="13" s="1"/>
  <c r="AV26" i="13" s="1"/>
  <c r="AL12" i="13"/>
  <c r="AK12" i="13" s="1"/>
  <c r="AT26" i="13" s="1"/>
  <c r="D36" i="13"/>
  <c r="D35" i="13"/>
  <c r="E35" i="13"/>
  <c r="B48" i="13"/>
  <c r="AQ35" i="13" s="1"/>
  <c r="E35" i="12"/>
  <c r="E35" i="11"/>
  <c r="AD22" i="11"/>
  <c r="AB39" i="11" s="1"/>
  <c r="P24" i="11"/>
  <c r="G20" i="11" s="1"/>
  <c r="B48" i="12"/>
  <c r="AQ35" i="12" s="1"/>
  <c r="B41" i="12"/>
  <c r="AQ28" i="12" s="1"/>
  <c r="P24" i="12"/>
  <c r="I24" i="12"/>
  <c r="AE93" i="12"/>
  <c r="B42" i="12"/>
  <c r="AQ29" i="12" s="1"/>
  <c r="B45" i="12"/>
  <c r="AQ32" i="12" s="1"/>
  <c r="B49" i="12"/>
  <c r="AQ36" i="12" s="1"/>
  <c r="E36" i="12"/>
  <c r="AE87" i="12"/>
  <c r="AE95" i="12"/>
  <c r="AE89" i="12"/>
  <c r="B46" i="11"/>
  <c r="AQ33" i="11" s="1"/>
  <c r="AE87" i="11"/>
  <c r="AE91" i="11"/>
  <c r="AE95" i="11"/>
  <c r="B42" i="11"/>
  <c r="AQ29" i="11" s="1"/>
  <c r="J35" i="11"/>
  <c r="X29" i="7"/>
  <c r="X30" i="7"/>
  <c r="X31" i="7"/>
  <c r="X32" i="7"/>
  <c r="X33" i="7"/>
  <c r="X34" i="7"/>
  <c r="X35" i="7"/>
  <c r="X36" i="7"/>
  <c r="X37" i="7"/>
  <c r="X38" i="7"/>
  <c r="X39" i="7"/>
  <c r="X40" i="7"/>
  <c r="X41" i="7"/>
  <c r="X42" i="7"/>
  <c r="X28" i="7"/>
  <c r="AZ44" i="54" l="1"/>
  <c r="AY44" i="54"/>
  <c r="AX45" i="52"/>
  <c r="O112" i="52" s="1"/>
  <c r="E94" i="54"/>
  <c r="AZ45" i="55"/>
  <c r="Q112" i="55" s="1"/>
  <c r="E95" i="54"/>
  <c r="AW44" i="54"/>
  <c r="D82" i="55"/>
  <c r="I83" i="55"/>
  <c r="D94" i="55"/>
  <c r="I95" i="55"/>
  <c r="I94" i="55" s="1"/>
  <c r="I92" i="55"/>
  <c r="I91" i="55" s="1"/>
  <c r="D91" i="55"/>
  <c r="I86" i="55"/>
  <c r="I85" i="55" s="1"/>
  <c r="D85" i="55"/>
  <c r="D94" i="54"/>
  <c r="I95" i="54"/>
  <c r="I94" i="54" s="1"/>
  <c r="E89" i="54"/>
  <c r="AW42" i="54"/>
  <c r="D89" i="54"/>
  <c r="E88" i="54"/>
  <c r="AZ42" i="54"/>
  <c r="AY42" i="54"/>
  <c r="AX42" i="54"/>
  <c r="E82" i="54"/>
  <c r="AZ40" i="54"/>
  <c r="AY40" i="54"/>
  <c r="AX40" i="54"/>
  <c r="E83" i="54"/>
  <c r="AW40" i="54"/>
  <c r="D83" i="54"/>
  <c r="E85" i="54"/>
  <c r="AZ41" i="54"/>
  <c r="E86" i="54"/>
  <c r="AY41" i="54"/>
  <c r="D86" i="54"/>
  <c r="AX41" i="54"/>
  <c r="AW41" i="54"/>
  <c r="D92" i="54"/>
  <c r="E91" i="54"/>
  <c r="AX43" i="54"/>
  <c r="AW43" i="54"/>
  <c r="AZ43" i="54"/>
  <c r="AY43" i="54"/>
  <c r="E92" i="54"/>
  <c r="D88" i="52"/>
  <c r="I89" i="52"/>
  <c r="I88" i="52" s="1"/>
  <c r="D94" i="52"/>
  <c r="I95" i="52"/>
  <c r="I94" i="52" s="1"/>
  <c r="I82" i="52"/>
  <c r="D91" i="52"/>
  <c r="I92" i="52"/>
  <c r="I91" i="52" s="1"/>
  <c r="AT24" i="49"/>
  <c r="AT37" i="49" s="1"/>
  <c r="AS44" i="49" s="1"/>
  <c r="AV24" i="49"/>
  <c r="AV37" i="49" s="1"/>
  <c r="AU43" i="49" s="1"/>
  <c r="AS24" i="49"/>
  <c r="AS37" i="49" s="1"/>
  <c r="AR43" i="49" s="1"/>
  <c r="AU24" i="49"/>
  <c r="AU37" i="49" s="1"/>
  <c r="AV41" i="48"/>
  <c r="AX41" i="48" s="1"/>
  <c r="AV40" i="48"/>
  <c r="AZ40" i="48" s="1"/>
  <c r="AV43" i="48"/>
  <c r="AV42" i="48"/>
  <c r="AV44" i="48"/>
  <c r="AV43" i="47"/>
  <c r="AW43" i="47" s="1"/>
  <c r="AV42" i="47"/>
  <c r="E57" i="47" s="1"/>
  <c r="AV44" i="47"/>
  <c r="AW44" i="47" s="1"/>
  <c r="AV40" i="47"/>
  <c r="E55" i="47" s="1"/>
  <c r="AV41" i="47"/>
  <c r="AY41" i="47" s="1"/>
  <c r="E47" i="43"/>
  <c r="D47" i="43"/>
  <c r="AV32" i="43"/>
  <c r="AS32" i="43"/>
  <c r="AT32" i="43"/>
  <c r="AU32" i="43"/>
  <c r="AU21" i="43"/>
  <c r="Q100" i="43" s="1"/>
  <c r="E48" i="43"/>
  <c r="D48" i="43"/>
  <c r="AS21" i="43"/>
  <c r="O100" i="43" s="1"/>
  <c r="AT21" i="43"/>
  <c r="P100" i="43" s="1"/>
  <c r="E49" i="43"/>
  <c r="D49" i="43"/>
  <c r="AS34" i="43"/>
  <c r="AV34" i="43"/>
  <c r="AU34" i="43"/>
  <c r="AT34" i="43"/>
  <c r="AS24" i="42"/>
  <c r="AS37" i="42" s="1"/>
  <c r="AR44" i="42" s="1"/>
  <c r="AU24" i="42"/>
  <c r="AU37" i="42" s="1"/>
  <c r="AT41" i="42" s="1"/>
  <c r="AT24" i="42"/>
  <c r="AT37" i="42" s="1"/>
  <c r="AS40" i="42" s="1"/>
  <c r="AV24" i="42"/>
  <c r="AV37" i="42" s="1"/>
  <c r="AU24" i="41"/>
  <c r="AU37" i="41" s="1"/>
  <c r="AT43" i="41" s="1"/>
  <c r="AS24" i="41"/>
  <c r="AS37" i="41" s="1"/>
  <c r="AR44" i="41" s="1"/>
  <c r="AV24" i="41"/>
  <c r="AV37" i="41" s="1"/>
  <c r="AU40" i="41" s="1"/>
  <c r="AT24" i="41"/>
  <c r="AT37" i="41" s="1"/>
  <c r="AS41" i="41" s="1"/>
  <c r="Z46" i="18"/>
  <c r="Z46" i="24"/>
  <c r="Z46" i="15"/>
  <c r="AU21" i="38"/>
  <c r="Q100" i="38" s="1"/>
  <c r="V47" i="15"/>
  <c r="V48" i="15" s="1"/>
  <c r="V51" i="15" s="1"/>
  <c r="J27" i="15" s="1"/>
  <c r="AL15" i="17"/>
  <c r="AK15" i="17" s="1"/>
  <c r="AU26" i="17" s="1"/>
  <c r="AT19" i="40"/>
  <c r="AT21" i="40" s="1"/>
  <c r="P100" i="40" s="1"/>
  <c r="AU18" i="40"/>
  <c r="AS18" i="40"/>
  <c r="AS21" i="40" s="1"/>
  <c r="O100" i="40" s="1"/>
  <c r="AU19" i="40"/>
  <c r="J45" i="40"/>
  <c r="AV32" i="40" s="1"/>
  <c r="J46" i="40"/>
  <c r="D48" i="40" s="1"/>
  <c r="E49" i="40"/>
  <c r="D49" i="40"/>
  <c r="AV34" i="40"/>
  <c r="AS34" i="40"/>
  <c r="AU34" i="40"/>
  <c r="AT34" i="40"/>
  <c r="AU32" i="38"/>
  <c r="D47" i="38"/>
  <c r="AT21" i="38"/>
  <c r="P100" i="38" s="1"/>
  <c r="E40" i="15"/>
  <c r="AT5" i="27"/>
  <c r="AV6" i="27" s="1"/>
  <c r="AS6" i="27" s="1"/>
  <c r="AD22" i="12"/>
  <c r="AB39" i="12" s="1"/>
  <c r="AC32" i="12" s="1"/>
  <c r="Q99" i="12" s="1"/>
  <c r="AS5" i="18"/>
  <c r="AL12" i="15"/>
  <c r="AK12" i="15" s="1"/>
  <c r="AT26" i="15" s="1"/>
  <c r="O114" i="15" s="1"/>
  <c r="AL12" i="12"/>
  <c r="AK12" i="12" s="1"/>
  <c r="AT26" i="12" s="1"/>
  <c r="O114" i="12" s="1"/>
  <c r="AC31" i="12"/>
  <c r="AT5" i="12" s="1"/>
  <c r="AV8" i="12" s="1"/>
  <c r="AC30" i="12"/>
  <c r="O99" i="12" s="1"/>
  <c r="AL18" i="12"/>
  <c r="AK18" i="12" s="1"/>
  <c r="AV26" i="12" s="1"/>
  <c r="Q114" i="12" s="1"/>
  <c r="AL9" i="12"/>
  <c r="AK9" i="12" s="1"/>
  <c r="AS26" i="12" s="1"/>
  <c r="N114" i="12" s="1"/>
  <c r="AK18" i="20"/>
  <c r="AV26" i="20" s="1"/>
  <c r="Q114" i="20" s="1"/>
  <c r="AK15" i="12"/>
  <c r="AU26" i="12" s="1"/>
  <c r="P114" i="12" s="1"/>
  <c r="AD22" i="24"/>
  <c r="AB39" i="24" s="1"/>
  <c r="AC32" i="24" s="1"/>
  <c r="AU5" i="24" s="1"/>
  <c r="AL15" i="20"/>
  <c r="AK15" i="20" s="1"/>
  <c r="AU26" i="20" s="1"/>
  <c r="AL15" i="15"/>
  <c r="AK15" i="15" s="1"/>
  <c r="AU26" i="15" s="1"/>
  <c r="P114" i="15" s="1"/>
  <c r="AL18" i="15"/>
  <c r="AK18" i="15" s="1"/>
  <c r="AV26" i="15" s="1"/>
  <c r="Q114" i="15" s="1"/>
  <c r="D27" i="27"/>
  <c r="E27" i="27"/>
  <c r="Q99" i="15"/>
  <c r="E40" i="13"/>
  <c r="AC31" i="11"/>
  <c r="P99" i="11" s="1"/>
  <c r="V47" i="20"/>
  <c r="V48" i="20" s="1"/>
  <c r="V51" i="20" s="1"/>
  <c r="J27" i="20" s="1"/>
  <c r="E27" i="20" s="1"/>
  <c r="P99" i="18"/>
  <c r="AT5" i="18"/>
  <c r="AV7" i="18" s="1"/>
  <c r="Q99" i="18"/>
  <c r="AT5" i="17"/>
  <c r="AV7" i="17" s="1"/>
  <c r="V47" i="17"/>
  <c r="V48" i="17" s="1"/>
  <c r="V51" i="17" s="1"/>
  <c r="J27" i="17" s="1"/>
  <c r="E27" i="17" s="1"/>
  <c r="AC32" i="11"/>
  <c r="AU5" i="11" s="1"/>
  <c r="AC31" i="24"/>
  <c r="AT5" i="24" s="1"/>
  <c r="AV7" i="24" s="1"/>
  <c r="AL9" i="11"/>
  <c r="AK9" i="11" s="1"/>
  <c r="AS26" i="11" s="1"/>
  <c r="N114" i="11" s="1"/>
  <c r="AC30" i="11"/>
  <c r="AL18" i="11"/>
  <c r="AK18" i="11" s="1"/>
  <c r="AV26" i="11" s="1"/>
  <c r="Q114" i="11" s="1"/>
  <c r="AL12" i="11"/>
  <c r="AK12" i="11" s="1"/>
  <c r="AT26" i="11" s="1"/>
  <c r="O114" i="11" s="1"/>
  <c r="AL12" i="24"/>
  <c r="AK12" i="24" s="1"/>
  <c r="AT26" i="24" s="1"/>
  <c r="O114" i="24" s="1"/>
  <c r="AL18" i="24"/>
  <c r="AK18" i="24" s="1"/>
  <c r="AV26" i="24" s="1"/>
  <c r="Q114" i="24" s="1"/>
  <c r="AL9" i="24"/>
  <c r="AK9" i="24" s="1"/>
  <c r="AS26" i="24" s="1"/>
  <c r="N114" i="24" s="1"/>
  <c r="AL15" i="24"/>
  <c r="AK15" i="24" s="1"/>
  <c r="AU26" i="24" s="1"/>
  <c r="P114" i="24" s="1"/>
  <c r="D28" i="27"/>
  <c r="J39" i="26"/>
  <c r="AT6" i="26"/>
  <c r="AU6" i="26"/>
  <c r="AS6" i="26"/>
  <c r="J40" i="26"/>
  <c r="AT7" i="26"/>
  <c r="AS7" i="26"/>
  <c r="AU7" i="26"/>
  <c r="J41" i="26"/>
  <c r="AU8" i="26"/>
  <c r="AS8" i="26"/>
  <c r="AT8" i="26"/>
  <c r="Q99" i="20"/>
  <c r="Q99" i="17"/>
  <c r="AT5" i="15"/>
  <c r="AV8" i="15" s="1"/>
  <c r="V47" i="11"/>
  <c r="V48" i="11" s="1"/>
  <c r="V51" i="11" s="1"/>
  <c r="J27" i="11" s="1"/>
  <c r="J28" i="11" s="1"/>
  <c r="E28" i="11" s="1"/>
  <c r="V47" i="24"/>
  <c r="G20" i="24"/>
  <c r="O99" i="24"/>
  <c r="AS5" i="24"/>
  <c r="E36" i="24"/>
  <c r="D36" i="24"/>
  <c r="N114" i="20"/>
  <c r="D40" i="20"/>
  <c r="E40" i="20"/>
  <c r="O114" i="20"/>
  <c r="P114" i="20"/>
  <c r="P99" i="20"/>
  <c r="AT5" i="20"/>
  <c r="N114" i="18"/>
  <c r="J28" i="18"/>
  <c r="E28" i="18" s="1"/>
  <c r="E27" i="18"/>
  <c r="D27" i="18"/>
  <c r="E36" i="18"/>
  <c r="D36" i="18"/>
  <c r="P114" i="18"/>
  <c r="O114" i="17"/>
  <c r="P114" i="17"/>
  <c r="E36" i="17"/>
  <c r="D36" i="17"/>
  <c r="Q114" i="17"/>
  <c r="D40" i="17"/>
  <c r="E40" i="17"/>
  <c r="N114" i="17"/>
  <c r="D36" i="15"/>
  <c r="E36" i="15"/>
  <c r="AV7" i="15"/>
  <c r="D27" i="15"/>
  <c r="E27" i="15"/>
  <c r="J28" i="15"/>
  <c r="E28" i="15" s="1"/>
  <c r="Q114" i="13"/>
  <c r="O114" i="13"/>
  <c r="N114" i="13"/>
  <c r="P99" i="13"/>
  <c r="AT5" i="13"/>
  <c r="D27" i="13"/>
  <c r="J28" i="13"/>
  <c r="E28" i="13" s="1"/>
  <c r="E27" i="13"/>
  <c r="AU5" i="13"/>
  <c r="Q99" i="13"/>
  <c r="V47" i="12"/>
  <c r="V48" i="12" s="1"/>
  <c r="V51" i="12" s="1"/>
  <c r="J27" i="12" s="1"/>
  <c r="G20" i="12"/>
  <c r="P114" i="11"/>
  <c r="E36" i="11"/>
  <c r="D36" i="11"/>
  <c r="AK64" i="1"/>
  <c r="AY45" i="54" l="1"/>
  <c r="P112" i="54" s="1"/>
  <c r="AX45" i="54"/>
  <c r="O112" i="54" s="1"/>
  <c r="I82" i="55"/>
  <c r="G110" i="55"/>
  <c r="G108" i="55"/>
  <c r="D91" i="54"/>
  <c r="I92" i="54"/>
  <c r="I91" i="54" s="1"/>
  <c r="D82" i="54"/>
  <c r="I83" i="54"/>
  <c r="D85" i="54"/>
  <c r="I86" i="54"/>
  <c r="I85" i="54" s="1"/>
  <c r="AW45" i="54"/>
  <c r="N112" i="54" s="1"/>
  <c r="AZ45" i="54"/>
  <c r="Q112" i="54" s="1"/>
  <c r="D88" i="54"/>
  <c r="I89" i="54"/>
  <c r="I88" i="54" s="1"/>
  <c r="G108" i="52"/>
  <c r="G110" i="52"/>
  <c r="G106" i="52"/>
  <c r="G104" i="52"/>
  <c r="AS42" i="49"/>
  <c r="AS43" i="49"/>
  <c r="AS41" i="49"/>
  <c r="AS40" i="49"/>
  <c r="AR41" i="49"/>
  <c r="AR44" i="49"/>
  <c r="AR42" i="49"/>
  <c r="AR40" i="49"/>
  <c r="AU41" i="49"/>
  <c r="AU44" i="49"/>
  <c r="AU42" i="49"/>
  <c r="AU40" i="49"/>
  <c r="AT43" i="49"/>
  <c r="AT40" i="49"/>
  <c r="AT42" i="49"/>
  <c r="AT44" i="49"/>
  <c r="AT41" i="49"/>
  <c r="AW41" i="48"/>
  <c r="AY41" i="48"/>
  <c r="D56" i="48"/>
  <c r="AY40" i="48"/>
  <c r="E55" i="48"/>
  <c r="E56" i="48"/>
  <c r="AZ41" i="48"/>
  <c r="AX40" i="48"/>
  <c r="D55" i="48"/>
  <c r="AW40" i="48"/>
  <c r="D58" i="48"/>
  <c r="AZ43" i="48"/>
  <c r="AW43" i="48"/>
  <c r="AY43" i="48"/>
  <c r="E58" i="48"/>
  <c r="AX43" i="48"/>
  <c r="AY44" i="48"/>
  <c r="AX44" i="48"/>
  <c r="E59" i="48"/>
  <c r="AZ44" i="48"/>
  <c r="AW44" i="48"/>
  <c r="D59" i="48"/>
  <c r="AW42" i="48"/>
  <c r="AX42" i="48"/>
  <c r="E57" i="48"/>
  <c r="AY42" i="48"/>
  <c r="D57" i="48"/>
  <c r="AZ42" i="48"/>
  <c r="AW42" i="47"/>
  <c r="AX43" i="47"/>
  <c r="AY43" i="47"/>
  <c r="AZ44" i="47"/>
  <c r="AX44" i="47"/>
  <c r="D59" i="47"/>
  <c r="AY42" i="47"/>
  <c r="D58" i="47"/>
  <c r="AX42" i="47"/>
  <c r="D57" i="47"/>
  <c r="AZ43" i="47"/>
  <c r="AZ42" i="47"/>
  <c r="E58" i="47"/>
  <c r="AZ40" i="47"/>
  <c r="AY44" i="47"/>
  <c r="E59" i="47"/>
  <c r="AZ41" i="47"/>
  <c r="AX41" i="47"/>
  <c r="AW40" i="47"/>
  <c r="D55" i="47"/>
  <c r="AX40" i="47"/>
  <c r="D56" i="47"/>
  <c r="AY40" i="47"/>
  <c r="E56" i="47"/>
  <c r="AW41" i="47"/>
  <c r="AU24" i="43"/>
  <c r="AU37" i="43" s="1"/>
  <c r="AT24" i="43"/>
  <c r="AT37" i="43" s="1"/>
  <c r="AV24" i="43"/>
  <c r="AV37" i="43" s="1"/>
  <c r="AS24" i="43"/>
  <c r="AS37" i="43" s="1"/>
  <c r="AR40" i="42"/>
  <c r="AR42" i="42"/>
  <c r="AR41" i="42"/>
  <c r="AR43" i="42"/>
  <c r="AS42" i="42"/>
  <c r="AS44" i="42"/>
  <c r="AS41" i="42"/>
  <c r="AT43" i="42"/>
  <c r="AT40" i="42"/>
  <c r="AT44" i="42"/>
  <c r="AT42" i="42"/>
  <c r="AS43" i="42"/>
  <c r="AU40" i="42"/>
  <c r="AU42" i="42"/>
  <c r="AU43" i="42"/>
  <c r="AU41" i="42"/>
  <c r="AU44" i="42"/>
  <c r="AT41" i="41"/>
  <c r="AT40" i="41"/>
  <c r="AT42" i="41"/>
  <c r="AT44" i="41"/>
  <c r="AS42" i="41"/>
  <c r="AR41" i="41"/>
  <c r="AR43" i="41"/>
  <c r="AU43" i="41"/>
  <c r="AR40" i="41"/>
  <c r="AU42" i="41"/>
  <c r="AR42" i="41"/>
  <c r="AU44" i="41"/>
  <c r="AU41" i="41"/>
  <c r="AS43" i="41"/>
  <c r="AS40" i="41"/>
  <c r="AS44" i="41"/>
  <c r="AS32" i="40"/>
  <c r="AT32" i="40"/>
  <c r="AU32" i="40"/>
  <c r="D47" i="40"/>
  <c r="E48" i="40"/>
  <c r="E47" i="40"/>
  <c r="AU21" i="40"/>
  <c r="Q100" i="40" s="1"/>
  <c r="J39" i="27"/>
  <c r="D41" i="27" s="1"/>
  <c r="AV8" i="27"/>
  <c r="AT8" i="27" s="1"/>
  <c r="AU6" i="27"/>
  <c r="AV7" i="27"/>
  <c r="AT7" i="27" s="1"/>
  <c r="AT6" i="27"/>
  <c r="AS5" i="12"/>
  <c r="AU5" i="12"/>
  <c r="AV7" i="12"/>
  <c r="AT7" i="12" s="1"/>
  <c r="AV6" i="12"/>
  <c r="AT6" i="12" s="1"/>
  <c r="P99" i="12"/>
  <c r="AV8" i="18"/>
  <c r="AU8" i="18" s="1"/>
  <c r="AV6" i="18"/>
  <c r="AU6" i="18" s="1"/>
  <c r="AS8" i="27"/>
  <c r="D27" i="20"/>
  <c r="AV28" i="26"/>
  <c r="AU28" i="26"/>
  <c r="AT28" i="26"/>
  <c r="AS28" i="26"/>
  <c r="AV6" i="17"/>
  <c r="AU6" i="17" s="1"/>
  <c r="AV8" i="17"/>
  <c r="J41" i="17" s="1"/>
  <c r="AV28" i="17" s="1"/>
  <c r="AV6" i="15"/>
  <c r="AU6" i="15" s="1"/>
  <c r="Q99" i="11"/>
  <c r="E27" i="11"/>
  <c r="J28" i="17"/>
  <c r="E28" i="17" s="1"/>
  <c r="AU28" i="17"/>
  <c r="AS28" i="17"/>
  <c r="D27" i="17"/>
  <c r="AT5" i="11"/>
  <c r="AV6" i="11" s="1"/>
  <c r="J28" i="20"/>
  <c r="E28" i="20" s="1"/>
  <c r="AT28" i="17"/>
  <c r="D27" i="11"/>
  <c r="AV6" i="24"/>
  <c r="AT6" i="24" s="1"/>
  <c r="AV8" i="24"/>
  <c r="AS8" i="24" s="1"/>
  <c r="P99" i="24"/>
  <c r="Q99" i="24"/>
  <c r="O99" i="11"/>
  <c r="AS5" i="11"/>
  <c r="E41" i="27"/>
  <c r="AS9" i="26"/>
  <c r="AS11" i="26" s="1"/>
  <c r="AT9" i="26"/>
  <c r="AT11" i="26" s="1"/>
  <c r="E43" i="26"/>
  <c r="D43" i="26"/>
  <c r="D42" i="26"/>
  <c r="E42" i="26"/>
  <c r="E41" i="26"/>
  <c r="D41" i="26"/>
  <c r="AU9" i="26"/>
  <c r="AU11" i="26" s="1"/>
  <c r="V48" i="24"/>
  <c r="V51" i="24" s="1"/>
  <c r="J27" i="24" s="1"/>
  <c r="J40" i="24"/>
  <c r="AT7" i="24"/>
  <c r="AS7" i="24"/>
  <c r="AU7" i="24"/>
  <c r="AV8" i="20"/>
  <c r="AV7" i="20"/>
  <c r="AV6" i="20"/>
  <c r="D28" i="18"/>
  <c r="J39" i="18"/>
  <c r="J40" i="18"/>
  <c r="AS7" i="18"/>
  <c r="AT7" i="18"/>
  <c r="AU7" i="18"/>
  <c r="AS7" i="17"/>
  <c r="AU7" i="17"/>
  <c r="J40" i="17"/>
  <c r="AT7" i="17"/>
  <c r="D28" i="15"/>
  <c r="J40" i="15"/>
  <c r="AU7" i="15"/>
  <c r="AT7" i="15"/>
  <c r="AS7" i="15"/>
  <c r="J41" i="15"/>
  <c r="AU28" i="15" s="1"/>
  <c r="AU8" i="15"/>
  <c r="AT8" i="15"/>
  <c r="AS8" i="15"/>
  <c r="D28" i="13"/>
  <c r="AV8" i="13"/>
  <c r="AV6" i="13"/>
  <c r="AV7" i="13"/>
  <c r="E27" i="12"/>
  <c r="D27" i="12"/>
  <c r="J28" i="12"/>
  <c r="E28" i="12" s="1"/>
  <c r="J41" i="12"/>
  <c r="AT28" i="12" s="1"/>
  <c r="AU8" i="12"/>
  <c r="AT8" i="12"/>
  <c r="AS8" i="12"/>
  <c r="D28" i="11"/>
  <c r="AO179" i="10"/>
  <c r="AN179" i="10"/>
  <c r="AM179" i="10"/>
  <c r="AL179" i="10"/>
  <c r="AK179" i="10"/>
  <c r="AJ179" i="10"/>
  <c r="AI179" i="10"/>
  <c r="AH179" i="10"/>
  <c r="AG179" i="10"/>
  <c r="AF179" i="10"/>
  <c r="AE179" i="10"/>
  <c r="AD179" i="10"/>
  <c r="AC179" i="10"/>
  <c r="AB179" i="10"/>
  <c r="AA179" i="10"/>
  <c r="Z179" i="10"/>
  <c r="Y179" i="10"/>
  <c r="X179" i="10"/>
  <c r="W179" i="10"/>
  <c r="V179" i="10"/>
  <c r="AO178" i="10"/>
  <c r="AN178" i="10"/>
  <c r="AM178" i="10"/>
  <c r="AL178" i="10"/>
  <c r="AK178" i="10"/>
  <c r="AJ178" i="10"/>
  <c r="AI178" i="10"/>
  <c r="AH178" i="10"/>
  <c r="AG178" i="10"/>
  <c r="AF178" i="10"/>
  <c r="AE178" i="10"/>
  <c r="AD178" i="10"/>
  <c r="AC178" i="10"/>
  <c r="AB178" i="10"/>
  <c r="AA178" i="10"/>
  <c r="Z178" i="10"/>
  <c r="Y178" i="10"/>
  <c r="X178" i="10"/>
  <c r="W178" i="10"/>
  <c r="V178" i="10"/>
  <c r="AO177" i="10"/>
  <c r="AN177" i="10"/>
  <c r="AM177" i="10"/>
  <c r="AL177" i="10"/>
  <c r="AK177" i="10"/>
  <c r="AJ177" i="10"/>
  <c r="AI177" i="10"/>
  <c r="AH177" i="10"/>
  <c r="AG177" i="10"/>
  <c r="AF177" i="10"/>
  <c r="AE177" i="10"/>
  <c r="AD177" i="10"/>
  <c r="AC177" i="10"/>
  <c r="AB177" i="10"/>
  <c r="AA177" i="10"/>
  <c r="Z177" i="10"/>
  <c r="Y177" i="10"/>
  <c r="X177" i="10"/>
  <c r="W177" i="10"/>
  <c r="V177" i="10"/>
  <c r="AO176" i="10"/>
  <c r="AN176" i="10"/>
  <c r="AM176" i="10"/>
  <c r="AL176" i="10"/>
  <c r="AK176" i="10"/>
  <c r="AJ176" i="10"/>
  <c r="AI176" i="10"/>
  <c r="AH176" i="10"/>
  <c r="AG176" i="10"/>
  <c r="AF176" i="10"/>
  <c r="AE176" i="10"/>
  <c r="AD176" i="10"/>
  <c r="AC176" i="10"/>
  <c r="AB176" i="10"/>
  <c r="AA176" i="10"/>
  <c r="Z176" i="10"/>
  <c r="Y176" i="10"/>
  <c r="X176" i="10"/>
  <c r="W176" i="10"/>
  <c r="V176" i="10"/>
  <c r="AO175" i="10"/>
  <c r="AN175" i="10"/>
  <c r="AM175" i="10"/>
  <c r="AL175" i="10"/>
  <c r="AK175" i="10"/>
  <c r="AJ175" i="10"/>
  <c r="AI175" i="10"/>
  <c r="AH175" i="10"/>
  <c r="AG175" i="10"/>
  <c r="AF175" i="10"/>
  <c r="AE175" i="10"/>
  <c r="AD175" i="10"/>
  <c r="AC175" i="10"/>
  <c r="AB175" i="10"/>
  <c r="AA175" i="10"/>
  <c r="Z175" i="10"/>
  <c r="Y175" i="10"/>
  <c r="X175" i="10"/>
  <c r="W175" i="10"/>
  <c r="V175" i="10"/>
  <c r="AO174" i="10"/>
  <c r="AN174" i="10"/>
  <c r="AM174" i="10"/>
  <c r="AL174" i="10"/>
  <c r="AK174" i="10"/>
  <c r="AJ174" i="10"/>
  <c r="AI174" i="10"/>
  <c r="AH174" i="10"/>
  <c r="AG174" i="10"/>
  <c r="AF174" i="10"/>
  <c r="AE174" i="10"/>
  <c r="AD174" i="10"/>
  <c r="AC174" i="10"/>
  <c r="AB174" i="10"/>
  <c r="AA174" i="10"/>
  <c r="Z174" i="10"/>
  <c r="Y174" i="10"/>
  <c r="X174" i="10"/>
  <c r="W174" i="10"/>
  <c r="V174" i="10"/>
  <c r="AO173" i="10"/>
  <c r="AN173" i="10"/>
  <c r="AM173" i="10"/>
  <c r="AL173" i="10"/>
  <c r="AK173" i="10"/>
  <c r="AJ173" i="10"/>
  <c r="AI173" i="10"/>
  <c r="AH173" i="10"/>
  <c r="AG173" i="10"/>
  <c r="AF173" i="10"/>
  <c r="AE173" i="10"/>
  <c r="AD173" i="10"/>
  <c r="AC173" i="10"/>
  <c r="AB173" i="10"/>
  <c r="AA173" i="10"/>
  <c r="Z173" i="10"/>
  <c r="Y173" i="10"/>
  <c r="X173" i="10"/>
  <c r="W173" i="10"/>
  <c r="V173" i="10"/>
  <c r="AO172" i="10"/>
  <c r="AN172" i="10"/>
  <c r="AM172" i="10"/>
  <c r="AL172" i="10"/>
  <c r="AK172" i="10"/>
  <c r="AJ172" i="10"/>
  <c r="AI172" i="10"/>
  <c r="AH172" i="10"/>
  <c r="AG172" i="10"/>
  <c r="AF172" i="10"/>
  <c r="AE172" i="10"/>
  <c r="AD172" i="10"/>
  <c r="AC172" i="10"/>
  <c r="AB172" i="10"/>
  <c r="AA172" i="10"/>
  <c r="Z172" i="10"/>
  <c r="Y172" i="10"/>
  <c r="X172" i="10"/>
  <c r="W172" i="10"/>
  <c r="V172" i="10"/>
  <c r="AO171" i="10"/>
  <c r="AN171" i="10"/>
  <c r="AM171" i="10"/>
  <c r="AL171" i="10"/>
  <c r="AK171" i="10"/>
  <c r="AJ171" i="10"/>
  <c r="AI171" i="10"/>
  <c r="AH171" i="10"/>
  <c r="AG171" i="10"/>
  <c r="AF171" i="10"/>
  <c r="AE171" i="10"/>
  <c r="AD171" i="10"/>
  <c r="AC171" i="10"/>
  <c r="AB171" i="10"/>
  <c r="AA171" i="10"/>
  <c r="Z171" i="10"/>
  <c r="Y171" i="10"/>
  <c r="X171" i="10"/>
  <c r="W171" i="10"/>
  <c r="V171" i="10"/>
  <c r="AO170" i="10"/>
  <c r="AN170" i="10"/>
  <c r="AM170" i="10"/>
  <c r="AL170" i="10"/>
  <c r="AK170" i="10"/>
  <c r="AJ170" i="10"/>
  <c r="AI170" i="10"/>
  <c r="AH170" i="10"/>
  <c r="AG170" i="10"/>
  <c r="AF170" i="10"/>
  <c r="AE170" i="10"/>
  <c r="AD170" i="10"/>
  <c r="AC170" i="10"/>
  <c r="AB170" i="10"/>
  <c r="AA170" i="10"/>
  <c r="Z170" i="10"/>
  <c r="Y170" i="10"/>
  <c r="X170" i="10"/>
  <c r="W170" i="10"/>
  <c r="V170" i="10"/>
  <c r="AO169" i="10"/>
  <c r="AN169" i="10"/>
  <c r="AM169" i="10"/>
  <c r="AL169" i="10"/>
  <c r="AK169" i="10"/>
  <c r="AJ169" i="10"/>
  <c r="AI169" i="10"/>
  <c r="AH169" i="10"/>
  <c r="AG169" i="10"/>
  <c r="AF169" i="10"/>
  <c r="AE169" i="10"/>
  <c r="AD169" i="10"/>
  <c r="AC169" i="10"/>
  <c r="AB169" i="10"/>
  <c r="AA169" i="10"/>
  <c r="Z169" i="10"/>
  <c r="Y169" i="10"/>
  <c r="X169" i="10"/>
  <c r="W169" i="10"/>
  <c r="V169" i="10"/>
  <c r="AO168" i="10"/>
  <c r="AN168" i="10"/>
  <c r="AM168" i="10"/>
  <c r="AL168" i="10"/>
  <c r="X95" i="10" s="1"/>
  <c r="AK168" i="10"/>
  <c r="AJ168" i="10"/>
  <c r="AI168" i="10"/>
  <c r="AH168" i="10"/>
  <c r="AG168" i="10"/>
  <c r="AF168" i="10"/>
  <c r="AE168" i="10"/>
  <c r="AD168" i="10"/>
  <c r="AD95" i="10" s="1"/>
  <c r="AC168" i="10"/>
  <c r="AC95" i="10" s="1"/>
  <c r="AB168" i="10"/>
  <c r="AA168" i="10"/>
  <c r="AA95" i="10" s="1"/>
  <c r="Z168" i="10"/>
  <c r="Z95" i="10" s="1"/>
  <c r="Y168" i="10"/>
  <c r="X168" i="10"/>
  <c r="W168" i="10"/>
  <c r="W95" i="10" s="1"/>
  <c r="V168" i="10"/>
  <c r="V95" i="10" s="1"/>
  <c r="AO167" i="10"/>
  <c r="AN167" i="10"/>
  <c r="AM167" i="10"/>
  <c r="AL167" i="10"/>
  <c r="X94" i="10" s="1"/>
  <c r="AK167" i="10"/>
  <c r="AJ167" i="10"/>
  <c r="AI167" i="10"/>
  <c r="AH167" i="10"/>
  <c r="AG167" i="10"/>
  <c r="AF167" i="10"/>
  <c r="AE167" i="10"/>
  <c r="AD167" i="10"/>
  <c r="AD94" i="10" s="1"/>
  <c r="AC167" i="10"/>
  <c r="AC94" i="10" s="1"/>
  <c r="AB167" i="10"/>
  <c r="AB94" i="10" s="1"/>
  <c r="AA167" i="10"/>
  <c r="Z167" i="10"/>
  <c r="Z94" i="10" s="1"/>
  <c r="Y167" i="10"/>
  <c r="Y94" i="10" s="1"/>
  <c r="X167" i="10"/>
  <c r="W167" i="10"/>
  <c r="W94" i="10" s="1"/>
  <c r="V167" i="10"/>
  <c r="V94" i="10" s="1"/>
  <c r="AO166" i="10"/>
  <c r="AN166" i="10"/>
  <c r="AM166" i="10"/>
  <c r="AL166" i="10"/>
  <c r="X93" i="10" s="1"/>
  <c r="AK166" i="10"/>
  <c r="AJ166" i="10"/>
  <c r="AI166" i="10"/>
  <c r="AH166" i="10"/>
  <c r="AG166" i="10"/>
  <c r="AF166" i="10"/>
  <c r="AE166" i="10"/>
  <c r="AD166" i="10"/>
  <c r="AD93" i="10" s="1"/>
  <c r="AC166" i="10"/>
  <c r="AC93" i="10" s="1"/>
  <c r="AB166" i="10"/>
  <c r="AB93" i="10" s="1"/>
  <c r="AA166" i="10"/>
  <c r="AA93" i="10" s="1"/>
  <c r="Z166" i="10"/>
  <c r="Z93" i="10" s="1"/>
  <c r="Y166" i="10"/>
  <c r="Y93" i="10" s="1"/>
  <c r="X166" i="10"/>
  <c r="W166" i="10"/>
  <c r="W93" i="10" s="1"/>
  <c r="V166" i="10"/>
  <c r="V93" i="10" s="1"/>
  <c r="AO165" i="10"/>
  <c r="AN165" i="10"/>
  <c r="AM165" i="10"/>
  <c r="AL165" i="10"/>
  <c r="X92" i="10" s="1"/>
  <c r="AK165" i="10"/>
  <c r="AJ165" i="10"/>
  <c r="AI165" i="10"/>
  <c r="AH165" i="10"/>
  <c r="AG165" i="10"/>
  <c r="AF165" i="10"/>
  <c r="AE165" i="10"/>
  <c r="AD165" i="10"/>
  <c r="AD92" i="10" s="1"/>
  <c r="AC165" i="10"/>
  <c r="AC92" i="10" s="1"/>
  <c r="AB165" i="10"/>
  <c r="AB92" i="10" s="1"/>
  <c r="AA165" i="10"/>
  <c r="AA92" i="10" s="1"/>
  <c r="Z165" i="10"/>
  <c r="Z92" i="10" s="1"/>
  <c r="Y165" i="10"/>
  <c r="X165" i="10"/>
  <c r="W165" i="10"/>
  <c r="W92" i="10" s="1"/>
  <c r="V165" i="10"/>
  <c r="V92" i="10" s="1"/>
  <c r="AO164" i="10"/>
  <c r="AN164" i="10"/>
  <c r="AM164" i="10"/>
  <c r="AL164" i="10"/>
  <c r="X91" i="10" s="1"/>
  <c r="AK164" i="10"/>
  <c r="AJ164" i="10"/>
  <c r="AI164" i="10"/>
  <c r="AH164" i="10"/>
  <c r="AG164" i="10"/>
  <c r="AF164" i="10"/>
  <c r="AE164" i="10"/>
  <c r="AD164" i="10"/>
  <c r="AD91" i="10" s="1"/>
  <c r="AC164" i="10"/>
  <c r="AC91" i="10" s="1"/>
  <c r="AB164" i="10"/>
  <c r="AB91" i="10" s="1"/>
  <c r="AA164" i="10"/>
  <c r="AA91" i="10" s="1"/>
  <c r="Z164" i="10"/>
  <c r="Z91" i="10" s="1"/>
  <c r="Y164" i="10"/>
  <c r="Y91" i="10" s="1"/>
  <c r="X164" i="10"/>
  <c r="W164" i="10"/>
  <c r="W91" i="10" s="1"/>
  <c r="V164" i="10"/>
  <c r="V91" i="10" s="1"/>
  <c r="AO163" i="10"/>
  <c r="AN163" i="10"/>
  <c r="AM163" i="10"/>
  <c r="AL163" i="10"/>
  <c r="X90" i="10" s="1"/>
  <c r="AK163" i="10"/>
  <c r="AJ163" i="10"/>
  <c r="AI163" i="10"/>
  <c r="AH163" i="10"/>
  <c r="AG163" i="10"/>
  <c r="AF163" i="10"/>
  <c r="AE163" i="10"/>
  <c r="AD163" i="10"/>
  <c r="AD90" i="10" s="1"/>
  <c r="AC163" i="10"/>
  <c r="AC90" i="10" s="1"/>
  <c r="AB163" i="10"/>
  <c r="AA163" i="10"/>
  <c r="AA90" i="10" s="1"/>
  <c r="Z163" i="10"/>
  <c r="Z90" i="10" s="1"/>
  <c r="Y163" i="10"/>
  <c r="Y90" i="10" s="1"/>
  <c r="X163" i="10"/>
  <c r="W163" i="10"/>
  <c r="W90" i="10" s="1"/>
  <c r="V163" i="10"/>
  <c r="V90" i="10" s="1"/>
  <c r="AO162" i="10"/>
  <c r="AN162" i="10"/>
  <c r="AM162" i="10"/>
  <c r="AL162" i="10"/>
  <c r="X89" i="10" s="1"/>
  <c r="AK162" i="10"/>
  <c r="AJ162" i="10"/>
  <c r="AI162" i="10"/>
  <c r="AH162" i="10"/>
  <c r="AG162" i="10"/>
  <c r="AF162" i="10"/>
  <c r="AE162" i="10"/>
  <c r="AD162" i="10"/>
  <c r="AD89" i="10" s="1"/>
  <c r="AC162" i="10"/>
  <c r="AC89" i="10" s="1"/>
  <c r="AB162" i="10"/>
  <c r="AB89" i="10" s="1"/>
  <c r="AA162" i="10"/>
  <c r="AA89" i="10" s="1"/>
  <c r="Z162" i="10"/>
  <c r="Z89" i="10" s="1"/>
  <c r="Y162" i="10"/>
  <c r="Y89" i="10" s="1"/>
  <c r="X162" i="10"/>
  <c r="W162" i="10"/>
  <c r="W89" i="10" s="1"/>
  <c r="V162" i="10"/>
  <c r="V89" i="10" s="1"/>
  <c r="AO161" i="10"/>
  <c r="AN161" i="10"/>
  <c r="AM161" i="10"/>
  <c r="AL161" i="10"/>
  <c r="X88" i="10" s="1"/>
  <c r="AK161" i="10"/>
  <c r="AJ161" i="10"/>
  <c r="AI161" i="10"/>
  <c r="AH161" i="10"/>
  <c r="AG161" i="10"/>
  <c r="AF161" i="10"/>
  <c r="AE161" i="10"/>
  <c r="AD161" i="10"/>
  <c r="AD88" i="10" s="1"/>
  <c r="AC161" i="10"/>
  <c r="AC88" i="10" s="1"/>
  <c r="AB161" i="10"/>
  <c r="AB88" i="10" s="1"/>
  <c r="AA161" i="10"/>
  <c r="AA88" i="10" s="1"/>
  <c r="Z161" i="10"/>
  <c r="Z88" i="10" s="1"/>
  <c r="Y161" i="10"/>
  <c r="Y88" i="10" s="1"/>
  <c r="X161" i="10"/>
  <c r="W161" i="10"/>
  <c r="W88" i="10" s="1"/>
  <c r="V161" i="10"/>
  <c r="V88" i="10" s="1"/>
  <c r="AO160" i="10"/>
  <c r="AN160" i="10"/>
  <c r="AM160" i="10"/>
  <c r="AL160" i="10"/>
  <c r="X87" i="10" s="1"/>
  <c r="AK160" i="10"/>
  <c r="AJ160" i="10"/>
  <c r="AI160" i="10"/>
  <c r="AH160" i="10"/>
  <c r="AG160" i="10"/>
  <c r="AF160" i="10"/>
  <c r="AE160" i="10"/>
  <c r="AD160" i="10"/>
  <c r="AD87" i="10" s="1"/>
  <c r="AC160" i="10"/>
  <c r="AC87" i="10" s="1"/>
  <c r="AB160" i="10"/>
  <c r="AA160" i="10"/>
  <c r="AA87" i="10" s="1"/>
  <c r="Z160" i="10"/>
  <c r="Z87" i="10" s="1"/>
  <c r="Y160" i="10"/>
  <c r="X160" i="10"/>
  <c r="W160" i="10"/>
  <c r="W87" i="10" s="1"/>
  <c r="V160" i="10"/>
  <c r="V87" i="10" s="1"/>
  <c r="AO159" i="10"/>
  <c r="AN159" i="10"/>
  <c r="AM159" i="10"/>
  <c r="AL159" i="10"/>
  <c r="AK159" i="10"/>
  <c r="AJ159" i="10"/>
  <c r="AI159" i="10"/>
  <c r="AH159" i="10"/>
  <c r="AG159" i="10"/>
  <c r="AF159" i="10"/>
  <c r="AE159" i="10"/>
  <c r="AD159" i="10"/>
  <c r="AC159" i="10"/>
  <c r="AB159" i="10"/>
  <c r="AA159" i="10"/>
  <c r="Z159" i="10"/>
  <c r="Y159" i="10"/>
  <c r="X159" i="10"/>
  <c r="W159" i="10"/>
  <c r="V159" i="10"/>
  <c r="AO158" i="10"/>
  <c r="AN158" i="10"/>
  <c r="AM158" i="10"/>
  <c r="AL158" i="10"/>
  <c r="AK158" i="10"/>
  <c r="AJ158" i="10"/>
  <c r="AI158" i="10"/>
  <c r="AH158" i="10"/>
  <c r="AG158" i="10"/>
  <c r="AF158" i="10"/>
  <c r="AE158" i="10"/>
  <c r="AD158" i="10"/>
  <c r="AC158" i="10"/>
  <c r="AB158" i="10"/>
  <c r="AA158" i="10"/>
  <c r="Z158" i="10"/>
  <c r="Y158" i="10"/>
  <c r="X158" i="10"/>
  <c r="W158" i="10"/>
  <c r="V158" i="10"/>
  <c r="AO157" i="10"/>
  <c r="AN157" i="10"/>
  <c r="AM157" i="10"/>
  <c r="AL157" i="10"/>
  <c r="AK157" i="10"/>
  <c r="AJ157" i="10"/>
  <c r="AI157" i="10"/>
  <c r="AH157" i="10"/>
  <c r="AG157" i="10"/>
  <c r="AF157" i="10"/>
  <c r="AE157" i="10"/>
  <c r="AD157" i="10"/>
  <c r="AC157" i="10"/>
  <c r="AB157" i="10"/>
  <c r="AA157" i="10"/>
  <c r="Z157" i="10"/>
  <c r="Y157" i="10"/>
  <c r="X157" i="10"/>
  <c r="W157" i="10"/>
  <c r="V157" i="10"/>
  <c r="AO156" i="10"/>
  <c r="AN156" i="10"/>
  <c r="AM156" i="10"/>
  <c r="AL156" i="10"/>
  <c r="AK156" i="10"/>
  <c r="AJ156" i="10"/>
  <c r="AI156" i="10"/>
  <c r="AH156" i="10"/>
  <c r="AG156" i="10"/>
  <c r="AF156" i="10"/>
  <c r="AE156" i="10"/>
  <c r="AD156" i="10"/>
  <c r="AC156" i="10"/>
  <c r="AB156" i="10"/>
  <c r="AA156" i="10"/>
  <c r="Z156" i="10"/>
  <c r="Y156" i="10"/>
  <c r="X156" i="10"/>
  <c r="W156" i="10"/>
  <c r="V156" i="10"/>
  <c r="AO155" i="10"/>
  <c r="AN155" i="10"/>
  <c r="AM155" i="10"/>
  <c r="AL155" i="10"/>
  <c r="AK155" i="10"/>
  <c r="AJ155" i="10"/>
  <c r="AI155" i="10"/>
  <c r="AH155" i="10"/>
  <c r="AG155" i="10"/>
  <c r="AF155" i="10"/>
  <c r="AE155" i="10"/>
  <c r="AD155" i="10"/>
  <c r="AC155" i="10"/>
  <c r="AB155" i="10"/>
  <c r="AA155" i="10"/>
  <c r="Z155" i="10"/>
  <c r="Y155" i="10"/>
  <c r="X155" i="10"/>
  <c r="W155" i="10"/>
  <c r="V155" i="10"/>
  <c r="AO154" i="10"/>
  <c r="AN154" i="10"/>
  <c r="AM154" i="10"/>
  <c r="AL154" i="10"/>
  <c r="AK154" i="10"/>
  <c r="AJ154" i="10"/>
  <c r="AI154" i="10"/>
  <c r="AH154" i="10"/>
  <c r="AG154" i="10"/>
  <c r="AF154" i="10"/>
  <c r="AE154" i="10"/>
  <c r="AD154" i="10"/>
  <c r="AC154" i="10"/>
  <c r="AB154" i="10"/>
  <c r="AA154" i="10"/>
  <c r="Z154" i="10"/>
  <c r="Y154" i="10"/>
  <c r="X154" i="10"/>
  <c r="W154" i="10"/>
  <c r="V154" i="10"/>
  <c r="AO153" i="10"/>
  <c r="AN153" i="10"/>
  <c r="AM153" i="10"/>
  <c r="AL153" i="10"/>
  <c r="AK153" i="10"/>
  <c r="AJ153" i="10"/>
  <c r="AI153" i="10"/>
  <c r="AH153" i="10"/>
  <c r="AG153" i="10"/>
  <c r="AF153" i="10"/>
  <c r="AE153" i="10"/>
  <c r="AD153" i="10"/>
  <c r="AC153" i="10"/>
  <c r="AB153" i="10"/>
  <c r="AA153" i="10"/>
  <c r="Z153" i="10"/>
  <c r="Y153" i="10"/>
  <c r="X153" i="10"/>
  <c r="W153" i="10"/>
  <c r="V153" i="10"/>
  <c r="AO152" i="10"/>
  <c r="AN152" i="10"/>
  <c r="AM152" i="10"/>
  <c r="AL152" i="10"/>
  <c r="AK152" i="10"/>
  <c r="AJ152" i="10"/>
  <c r="AI152" i="10"/>
  <c r="AH152" i="10"/>
  <c r="AG152" i="10"/>
  <c r="AF152" i="10"/>
  <c r="AE152" i="10"/>
  <c r="AD152" i="10"/>
  <c r="AC152" i="10"/>
  <c r="AB152" i="10"/>
  <c r="AA152" i="10"/>
  <c r="Z152" i="10"/>
  <c r="Y152" i="10"/>
  <c r="X152" i="10"/>
  <c r="W152" i="10"/>
  <c r="V152" i="10"/>
  <c r="AO151" i="10"/>
  <c r="AN151" i="10"/>
  <c r="AM151" i="10"/>
  <c r="AL151" i="10"/>
  <c r="AK151" i="10"/>
  <c r="AJ151" i="10"/>
  <c r="AI151" i="10"/>
  <c r="AH151" i="10"/>
  <c r="AG151" i="10"/>
  <c r="AF151" i="10"/>
  <c r="AE151" i="10"/>
  <c r="AD151" i="10"/>
  <c r="AC151" i="10"/>
  <c r="AB151" i="10"/>
  <c r="AA151" i="10"/>
  <c r="Z151" i="10"/>
  <c r="Y151" i="10"/>
  <c r="X151" i="10"/>
  <c r="W151" i="10"/>
  <c r="V151" i="10"/>
  <c r="AO150" i="10"/>
  <c r="AN150" i="10"/>
  <c r="AM150" i="10"/>
  <c r="AL150" i="10"/>
  <c r="AK150" i="10"/>
  <c r="AJ150" i="10"/>
  <c r="AI150" i="10"/>
  <c r="AH150" i="10"/>
  <c r="AG150" i="10"/>
  <c r="AF150" i="10"/>
  <c r="AE150" i="10"/>
  <c r="AD150" i="10"/>
  <c r="AC150" i="10"/>
  <c r="AB150" i="10"/>
  <c r="AA150" i="10"/>
  <c r="Z150" i="10"/>
  <c r="Y150" i="10"/>
  <c r="X150" i="10"/>
  <c r="W150" i="10"/>
  <c r="V150" i="10"/>
  <c r="AO149" i="10"/>
  <c r="AN149" i="10"/>
  <c r="AM149" i="10"/>
  <c r="AL149" i="10"/>
  <c r="AK149" i="10"/>
  <c r="AJ149" i="10"/>
  <c r="AI149" i="10"/>
  <c r="AH149" i="10"/>
  <c r="AG149" i="10"/>
  <c r="AF149" i="10"/>
  <c r="AE149" i="10"/>
  <c r="AD149" i="10"/>
  <c r="AC149" i="10"/>
  <c r="AB149" i="10"/>
  <c r="AA149" i="10"/>
  <c r="Z149" i="10"/>
  <c r="Y149" i="10"/>
  <c r="X149" i="10"/>
  <c r="W149" i="10"/>
  <c r="V149" i="10"/>
  <c r="AO148" i="10"/>
  <c r="AN148" i="10"/>
  <c r="AM148" i="10"/>
  <c r="AL148" i="10"/>
  <c r="AK148" i="10"/>
  <c r="AJ148" i="10"/>
  <c r="AI148" i="10"/>
  <c r="AH148" i="10"/>
  <c r="AG148" i="10"/>
  <c r="AF148" i="10"/>
  <c r="AE148" i="10"/>
  <c r="AD148" i="10"/>
  <c r="AC148" i="10"/>
  <c r="AB148" i="10"/>
  <c r="AA148" i="10"/>
  <c r="Z148" i="10"/>
  <c r="Y148" i="10"/>
  <c r="X148" i="10"/>
  <c r="W148" i="10"/>
  <c r="V148" i="10"/>
  <c r="AO147" i="10"/>
  <c r="AN147" i="10"/>
  <c r="AM147" i="10"/>
  <c r="AL147" i="10"/>
  <c r="AK147" i="10"/>
  <c r="AJ147" i="10"/>
  <c r="AI147" i="10"/>
  <c r="AH147" i="10"/>
  <c r="AG147" i="10"/>
  <c r="AF147" i="10"/>
  <c r="AE147" i="10"/>
  <c r="AD147" i="10"/>
  <c r="AC147" i="10"/>
  <c r="AB147" i="10"/>
  <c r="AA147" i="10"/>
  <c r="Z147" i="10"/>
  <c r="Y147" i="10"/>
  <c r="X147" i="10"/>
  <c r="W147" i="10"/>
  <c r="V147" i="10"/>
  <c r="AO146" i="10"/>
  <c r="AN146" i="10"/>
  <c r="AM146" i="10"/>
  <c r="AL146" i="10"/>
  <c r="AK146" i="10"/>
  <c r="AJ146" i="10"/>
  <c r="AI146" i="10"/>
  <c r="AH146" i="10"/>
  <c r="AG146" i="10"/>
  <c r="AF146" i="10"/>
  <c r="AE146" i="10"/>
  <c r="AD146" i="10"/>
  <c r="AC146" i="10"/>
  <c r="AB146" i="10"/>
  <c r="AA146" i="10"/>
  <c r="Z146" i="10"/>
  <c r="Y146" i="10"/>
  <c r="X146" i="10"/>
  <c r="W146" i="10"/>
  <c r="V146" i="10"/>
  <c r="AO145" i="10"/>
  <c r="AN145" i="10"/>
  <c r="AM145" i="10"/>
  <c r="AL145" i="10"/>
  <c r="AK145" i="10"/>
  <c r="AJ145" i="10"/>
  <c r="AI145" i="10"/>
  <c r="AH145" i="10"/>
  <c r="AG145" i="10"/>
  <c r="AF145" i="10"/>
  <c r="AE145" i="10"/>
  <c r="AD145" i="10"/>
  <c r="AC145" i="10"/>
  <c r="AB145" i="10"/>
  <c r="AA145" i="10"/>
  <c r="Z145" i="10"/>
  <c r="Y145" i="10"/>
  <c r="X145" i="10"/>
  <c r="W145" i="10"/>
  <c r="V145" i="10"/>
  <c r="AO144" i="10"/>
  <c r="AN144" i="10"/>
  <c r="AM144" i="10"/>
  <c r="AL144" i="10"/>
  <c r="AK144" i="10"/>
  <c r="AJ144" i="10"/>
  <c r="AI144" i="10"/>
  <c r="AH144" i="10"/>
  <c r="AG144" i="10"/>
  <c r="AF144" i="10"/>
  <c r="AE144" i="10"/>
  <c r="AD144" i="10"/>
  <c r="AC144" i="10"/>
  <c r="AB144" i="10"/>
  <c r="AA144" i="10"/>
  <c r="Z144" i="10"/>
  <c r="Y144" i="10"/>
  <c r="X144" i="10"/>
  <c r="W144" i="10"/>
  <c r="V144" i="10"/>
  <c r="AO143" i="10"/>
  <c r="AN143" i="10"/>
  <c r="AM143" i="10"/>
  <c r="AL143" i="10"/>
  <c r="AK143" i="10"/>
  <c r="AJ143" i="10"/>
  <c r="AI143" i="10"/>
  <c r="AH143" i="10"/>
  <c r="AG143" i="10"/>
  <c r="AF143" i="10"/>
  <c r="AE143" i="10"/>
  <c r="AD143" i="10"/>
  <c r="AC143" i="10"/>
  <c r="AB143" i="10"/>
  <c r="AA143" i="10"/>
  <c r="Z143" i="10"/>
  <c r="Y143" i="10"/>
  <c r="X143" i="10"/>
  <c r="W143" i="10"/>
  <c r="V143" i="10"/>
  <c r="AO142" i="10"/>
  <c r="AN142" i="10"/>
  <c r="AM142" i="10"/>
  <c r="AL142" i="10"/>
  <c r="AK142" i="10"/>
  <c r="AJ142" i="10"/>
  <c r="AI142" i="10"/>
  <c r="AH142" i="10"/>
  <c r="AG142" i="10"/>
  <c r="AF142" i="10"/>
  <c r="AE142" i="10"/>
  <c r="AD142" i="10"/>
  <c r="AC142" i="10"/>
  <c r="AB142" i="10"/>
  <c r="AA142" i="10"/>
  <c r="Z142" i="10"/>
  <c r="Y142" i="10"/>
  <c r="X142" i="10"/>
  <c r="W142" i="10"/>
  <c r="V142" i="10"/>
  <c r="AO141" i="10"/>
  <c r="AN141" i="10"/>
  <c r="AM141" i="10"/>
  <c r="AL141" i="10"/>
  <c r="AK141" i="10"/>
  <c r="AJ141" i="10"/>
  <c r="AI141" i="10"/>
  <c r="AH141" i="10"/>
  <c r="AG141" i="10"/>
  <c r="AF141" i="10"/>
  <c r="AE141" i="10"/>
  <c r="AD141" i="10"/>
  <c r="AC141" i="10"/>
  <c r="AB141" i="10"/>
  <c r="AA141" i="10"/>
  <c r="Z141" i="10"/>
  <c r="Y141" i="10"/>
  <c r="X141" i="10"/>
  <c r="W141" i="10"/>
  <c r="V141" i="10"/>
  <c r="AO140" i="10"/>
  <c r="AN140" i="10"/>
  <c r="AM140" i="10"/>
  <c r="AL140" i="10"/>
  <c r="AK140" i="10"/>
  <c r="AJ140" i="10"/>
  <c r="AI140" i="10"/>
  <c r="AH140" i="10"/>
  <c r="AG140" i="10"/>
  <c r="AF140" i="10"/>
  <c r="AE140" i="10"/>
  <c r="AD140" i="10"/>
  <c r="AC140" i="10"/>
  <c r="AB140" i="10"/>
  <c r="AA140" i="10"/>
  <c r="Z140" i="10"/>
  <c r="Y140" i="10"/>
  <c r="X140" i="10"/>
  <c r="W140" i="10"/>
  <c r="V140" i="10"/>
  <c r="AO139" i="10"/>
  <c r="AN139" i="10"/>
  <c r="AM139" i="10"/>
  <c r="AL139" i="10"/>
  <c r="AK139" i="10"/>
  <c r="AJ139" i="10"/>
  <c r="AI139" i="10"/>
  <c r="AH139" i="10"/>
  <c r="AG139" i="10"/>
  <c r="AF139" i="10"/>
  <c r="AE139" i="10"/>
  <c r="AD139" i="10"/>
  <c r="AC139" i="10"/>
  <c r="AB139" i="10"/>
  <c r="AA139" i="10"/>
  <c r="Z139" i="10"/>
  <c r="Y139" i="10"/>
  <c r="X139" i="10"/>
  <c r="W139" i="10"/>
  <c r="V139" i="10"/>
  <c r="AO138" i="10"/>
  <c r="AN138" i="10"/>
  <c r="AM138" i="10"/>
  <c r="AL138" i="10"/>
  <c r="AK138" i="10"/>
  <c r="AJ138" i="10"/>
  <c r="AI138" i="10"/>
  <c r="AH138" i="10"/>
  <c r="AG138" i="10"/>
  <c r="AF138" i="10"/>
  <c r="AE138" i="10"/>
  <c r="AD138" i="10"/>
  <c r="AC138" i="10"/>
  <c r="AB138" i="10"/>
  <c r="AA138" i="10"/>
  <c r="Z138" i="10"/>
  <c r="Y138" i="10"/>
  <c r="X138" i="10"/>
  <c r="W138" i="10"/>
  <c r="V138" i="10"/>
  <c r="AO137" i="10"/>
  <c r="AN137" i="10"/>
  <c r="AM137" i="10"/>
  <c r="AL137" i="10"/>
  <c r="AK137" i="10"/>
  <c r="AJ137" i="10"/>
  <c r="AI137" i="10"/>
  <c r="AH137" i="10"/>
  <c r="AG137" i="10"/>
  <c r="AF137" i="10"/>
  <c r="AE137" i="10"/>
  <c r="AD137" i="10"/>
  <c r="AC137" i="10"/>
  <c r="AB137" i="10"/>
  <c r="AA137" i="10"/>
  <c r="Z137" i="10"/>
  <c r="Y137" i="10"/>
  <c r="X137" i="10"/>
  <c r="W137" i="10"/>
  <c r="V137" i="10"/>
  <c r="AO136" i="10"/>
  <c r="AN136" i="10"/>
  <c r="AM136" i="10"/>
  <c r="AL136" i="10"/>
  <c r="AK136" i="10"/>
  <c r="AJ136" i="10"/>
  <c r="AI136" i="10"/>
  <c r="AH136" i="10"/>
  <c r="AG136" i="10"/>
  <c r="AF136" i="10"/>
  <c r="AE136" i="10"/>
  <c r="AD136" i="10"/>
  <c r="AC136" i="10"/>
  <c r="AB136" i="10"/>
  <c r="AA136" i="10"/>
  <c r="Z136" i="10"/>
  <c r="Y136" i="10"/>
  <c r="X136" i="10"/>
  <c r="W136" i="10"/>
  <c r="V136" i="10"/>
  <c r="AO135" i="10"/>
  <c r="AN135" i="10"/>
  <c r="AM135" i="10"/>
  <c r="AL135" i="10"/>
  <c r="AK135" i="10"/>
  <c r="AJ135" i="10"/>
  <c r="AI135" i="10"/>
  <c r="AH135" i="10"/>
  <c r="AG135" i="10"/>
  <c r="AF135" i="10"/>
  <c r="AE135" i="10"/>
  <c r="AD135" i="10"/>
  <c r="AC135" i="10"/>
  <c r="AB135" i="10"/>
  <c r="AA135" i="10"/>
  <c r="Z135" i="10"/>
  <c r="Y135" i="10"/>
  <c r="X135" i="10"/>
  <c r="W135" i="10"/>
  <c r="V135" i="10"/>
  <c r="AO134" i="10"/>
  <c r="AN134" i="10"/>
  <c r="AM134" i="10"/>
  <c r="AL134" i="10"/>
  <c r="AK134" i="10"/>
  <c r="AJ134" i="10"/>
  <c r="AI134" i="10"/>
  <c r="AH134" i="10"/>
  <c r="AG134" i="10"/>
  <c r="AF134" i="10"/>
  <c r="AE134" i="10"/>
  <c r="AD134" i="10"/>
  <c r="AC134" i="10"/>
  <c r="AB134" i="10"/>
  <c r="AA134" i="10"/>
  <c r="Z134" i="10"/>
  <c r="Y134" i="10"/>
  <c r="X134" i="10"/>
  <c r="W134" i="10"/>
  <c r="V134" i="10"/>
  <c r="AO133" i="10"/>
  <c r="AN133" i="10"/>
  <c r="AM133" i="10"/>
  <c r="AL133" i="10"/>
  <c r="AK133" i="10"/>
  <c r="AJ133" i="10"/>
  <c r="AI133" i="10"/>
  <c r="AH133" i="10"/>
  <c r="AG133" i="10"/>
  <c r="AF133" i="10"/>
  <c r="AE133" i="10"/>
  <c r="AD133" i="10"/>
  <c r="AC133" i="10"/>
  <c r="AB133" i="10"/>
  <c r="AA133" i="10"/>
  <c r="Z133" i="10"/>
  <c r="Y133" i="10"/>
  <c r="X133" i="10"/>
  <c r="W133" i="10"/>
  <c r="V133" i="10"/>
  <c r="AO132" i="10"/>
  <c r="AN132" i="10"/>
  <c r="AM132" i="10"/>
  <c r="AL132" i="10"/>
  <c r="AK132" i="10"/>
  <c r="AJ132" i="10"/>
  <c r="AI132" i="10"/>
  <c r="AH132" i="10"/>
  <c r="AG132" i="10"/>
  <c r="AF132" i="10"/>
  <c r="AE132" i="10"/>
  <c r="AD132" i="10"/>
  <c r="AC132" i="10"/>
  <c r="AB132" i="10"/>
  <c r="AA132" i="10"/>
  <c r="Z132" i="10"/>
  <c r="Y132" i="10"/>
  <c r="X132" i="10"/>
  <c r="W132" i="10"/>
  <c r="V132" i="10"/>
  <c r="AO131" i="10"/>
  <c r="AN131" i="10"/>
  <c r="AM131" i="10"/>
  <c r="AL131" i="10"/>
  <c r="AK131" i="10"/>
  <c r="AJ131" i="10"/>
  <c r="AI131" i="10"/>
  <c r="AH131" i="10"/>
  <c r="AG131" i="10"/>
  <c r="AF131" i="10"/>
  <c r="AE131" i="10"/>
  <c r="AD131" i="10"/>
  <c r="AC131" i="10"/>
  <c r="AB131" i="10"/>
  <c r="AA131" i="10"/>
  <c r="Z131" i="10"/>
  <c r="Y131" i="10"/>
  <c r="X131" i="10"/>
  <c r="W131" i="10"/>
  <c r="V131" i="10"/>
  <c r="AO130" i="10"/>
  <c r="AN130" i="10"/>
  <c r="AM130" i="10"/>
  <c r="AL130" i="10"/>
  <c r="AK130" i="10"/>
  <c r="AJ130" i="10"/>
  <c r="AI130" i="10"/>
  <c r="AH130" i="10"/>
  <c r="AG130" i="10"/>
  <c r="AF130" i="10"/>
  <c r="AE130" i="10"/>
  <c r="AD130" i="10"/>
  <c r="AC130" i="10"/>
  <c r="AB130" i="10"/>
  <c r="AA130" i="10"/>
  <c r="Z130" i="10"/>
  <c r="Y130" i="10"/>
  <c r="X130" i="10"/>
  <c r="W130" i="10"/>
  <c r="V130" i="10"/>
  <c r="AO129" i="10"/>
  <c r="AN129" i="10"/>
  <c r="AM129" i="10"/>
  <c r="AL129" i="10"/>
  <c r="AK129" i="10"/>
  <c r="AJ129" i="10"/>
  <c r="AI129" i="10"/>
  <c r="AH129" i="10"/>
  <c r="AG129" i="10"/>
  <c r="AF129" i="10"/>
  <c r="AE129" i="10"/>
  <c r="AD129" i="10"/>
  <c r="AC129" i="10"/>
  <c r="AB129" i="10"/>
  <c r="AA129" i="10"/>
  <c r="Z129" i="10"/>
  <c r="Y129" i="10"/>
  <c r="X129" i="10"/>
  <c r="W129" i="10"/>
  <c r="V129" i="10"/>
  <c r="AO128" i="10"/>
  <c r="AN128" i="10"/>
  <c r="AM128" i="10"/>
  <c r="AL128" i="10"/>
  <c r="AK128" i="10"/>
  <c r="AJ128" i="10"/>
  <c r="AI128" i="10"/>
  <c r="AH128" i="10"/>
  <c r="AG128" i="10"/>
  <c r="AF128" i="10"/>
  <c r="AE128" i="10"/>
  <c r="AD128" i="10"/>
  <c r="AC128" i="10"/>
  <c r="AB128" i="10"/>
  <c r="AA128" i="10"/>
  <c r="Z128" i="10"/>
  <c r="Y128" i="10"/>
  <c r="X128" i="10"/>
  <c r="W128" i="10"/>
  <c r="V128" i="10"/>
  <c r="AO127" i="10"/>
  <c r="AN127" i="10"/>
  <c r="AM127" i="10"/>
  <c r="AL127" i="10"/>
  <c r="AK127" i="10"/>
  <c r="AJ127" i="10"/>
  <c r="AI127" i="10"/>
  <c r="AH127" i="10"/>
  <c r="AG127" i="10"/>
  <c r="AF127" i="10"/>
  <c r="AE127" i="10"/>
  <c r="AD127" i="10"/>
  <c r="AC127" i="10"/>
  <c r="AB127" i="10"/>
  <c r="AA127" i="10"/>
  <c r="Z127" i="10"/>
  <c r="Y127" i="10"/>
  <c r="X127" i="10"/>
  <c r="W127" i="10"/>
  <c r="V127" i="10"/>
  <c r="AO126" i="10"/>
  <c r="AN126" i="10"/>
  <c r="AM126" i="10"/>
  <c r="AL126" i="10"/>
  <c r="AK126" i="10"/>
  <c r="AJ126" i="10"/>
  <c r="AI126" i="10"/>
  <c r="AH126" i="10"/>
  <c r="AG126" i="10"/>
  <c r="AF126" i="10"/>
  <c r="AE126" i="10"/>
  <c r="AD126" i="10"/>
  <c r="AC126" i="10"/>
  <c r="AB126" i="10"/>
  <c r="AA126" i="10"/>
  <c r="Z126" i="10"/>
  <c r="Y126" i="10"/>
  <c r="X126" i="10"/>
  <c r="W126" i="10"/>
  <c r="V126" i="10"/>
  <c r="AO125" i="10"/>
  <c r="AN125" i="10"/>
  <c r="AM125" i="10"/>
  <c r="AL125" i="10"/>
  <c r="AK125" i="10"/>
  <c r="AJ125" i="10"/>
  <c r="AI125" i="10"/>
  <c r="AH125" i="10"/>
  <c r="AG125" i="10"/>
  <c r="AF125" i="10"/>
  <c r="AE125" i="10"/>
  <c r="AD125" i="10"/>
  <c r="AC125" i="10"/>
  <c r="AB125" i="10"/>
  <c r="AA125" i="10"/>
  <c r="Z125" i="10"/>
  <c r="Y125" i="10"/>
  <c r="X125" i="10"/>
  <c r="W125" i="10"/>
  <c r="V125" i="10"/>
  <c r="AO124" i="10"/>
  <c r="AN124" i="10"/>
  <c r="AM124" i="10"/>
  <c r="AL124" i="10"/>
  <c r="AK124" i="10"/>
  <c r="AJ124" i="10"/>
  <c r="AI124" i="10"/>
  <c r="AH124" i="10"/>
  <c r="AG124" i="10"/>
  <c r="AF124" i="10"/>
  <c r="AE124" i="10"/>
  <c r="AD124" i="10"/>
  <c r="AC124" i="10"/>
  <c r="AB124" i="10"/>
  <c r="AA124" i="10"/>
  <c r="Z124" i="10"/>
  <c r="Y124" i="10"/>
  <c r="X124" i="10"/>
  <c r="W124" i="10"/>
  <c r="V124" i="10"/>
  <c r="AO123" i="10"/>
  <c r="AN123" i="10"/>
  <c r="AM123" i="10"/>
  <c r="AL123" i="10"/>
  <c r="AK123" i="10"/>
  <c r="AJ123" i="10"/>
  <c r="AI123" i="10"/>
  <c r="AH123" i="10"/>
  <c r="AG123" i="10"/>
  <c r="AF123" i="10"/>
  <c r="AE123" i="10"/>
  <c r="AD123" i="10"/>
  <c r="AC123" i="10"/>
  <c r="AB123" i="10"/>
  <c r="AA123" i="10"/>
  <c r="Z123" i="10"/>
  <c r="Y123" i="10"/>
  <c r="X123" i="10"/>
  <c r="W123" i="10"/>
  <c r="V123" i="10"/>
  <c r="AO122" i="10"/>
  <c r="AN122" i="10"/>
  <c r="AM122" i="10"/>
  <c r="AL122" i="10"/>
  <c r="AK122" i="10"/>
  <c r="AJ122" i="10"/>
  <c r="AI122" i="10"/>
  <c r="AH122" i="10"/>
  <c r="AG122" i="10"/>
  <c r="AF122" i="10"/>
  <c r="AE122" i="10"/>
  <c r="AD122" i="10"/>
  <c r="AC122" i="10"/>
  <c r="AB122" i="10"/>
  <c r="AA122" i="10"/>
  <c r="Z122" i="10"/>
  <c r="Y122" i="10"/>
  <c r="X122" i="10"/>
  <c r="W122" i="10"/>
  <c r="V122" i="10"/>
  <c r="AO121" i="10"/>
  <c r="AN121" i="10"/>
  <c r="AM121" i="10"/>
  <c r="AL121" i="10"/>
  <c r="AK121" i="10"/>
  <c r="AJ121" i="10"/>
  <c r="AI121" i="10"/>
  <c r="AH121" i="10"/>
  <c r="AG121" i="10"/>
  <c r="AF121" i="10"/>
  <c r="AE121" i="10"/>
  <c r="AD121" i="10"/>
  <c r="AC121" i="10"/>
  <c r="AB121" i="10"/>
  <c r="AA121" i="10"/>
  <c r="Z121" i="10"/>
  <c r="Y121" i="10"/>
  <c r="X121" i="10"/>
  <c r="W121" i="10"/>
  <c r="V121" i="10"/>
  <c r="AO120" i="10"/>
  <c r="AN120" i="10"/>
  <c r="AM120" i="10"/>
  <c r="AL120" i="10"/>
  <c r="AK120" i="10"/>
  <c r="AJ120" i="10"/>
  <c r="AI120" i="10"/>
  <c r="AH120" i="10"/>
  <c r="AG120" i="10"/>
  <c r="AF120" i="10"/>
  <c r="AE120" i="10"/>
  <c r="AD120" i="10"/>
  <c r="AC120" i="10"/>
  <c r="AB120" i="10"/>
  <c r="AA120" i="10"/>
  <c r="Z120" i="10"/>
  <c r="Y120" i="10"/>
  <c r="X120" i="10"/>
  <c r="W120" i="10"/>
  <c r="V120" i="10"/>
  <c r="AO119" i="10"/>
  <c r="AN119" i="10"/>
  <c r="AM119" i="10"/>
  <c r="AL119" i="10"/>
  <c r="AK119" i="10"/>
  <c r="AJ119" i="10"/>
  <c r="AI119" i="10"/>
  <c r="AH119" i="10"/>
  <c r="AG119" i="10"/>
  <c r="AF119" i="10"/>
  <c r="AE119" i="10"/>
  <c r="AD119" i="10"/>
  <c r="AC119" i="10"/>
  <c r="AB119" i="10"/>
  <c r="AA119" i="10"/>
  <c r="Z119" i="10"/>
  <c r="Y119" i="10"/>
  <c r="X119" i="10"/>
  <c r="W119" i="10"/>
  <c r="V119" i="10"/>
  <c r="AO118" i="10"/>
  <c r="AN118" i="10"/>
  <c r="AM118" i="10"/>
  <c r="AL118" i="10"/>
  <c r="AK118" i="10"/>
  <c r="AJ118" i="10"/>
  <c r="AI118" i="10"/>
  <c r="AH118" i="10"/>
  <c r="AG118" i="10"/>
  <c r="AF118" i="10"/>
  <c r="AE118" i="10"/>
  <c r="AD118" i="10"/>
  <c r="AC118" i="10"/>
  <c r="AB118" i="10"/>
  <c r="AA118" i="10"/>
  <c r="Z118" i="10"/>
  <c r="Y118" i="10"/>
  <c r="X118" i="10"/>
  <c r="W118" i="10"/>
  <c r="V118" i="10"/>
  <c r="AO117" i="10"/>
  <c r="AN117" i="10"/>
  <c r="AM117" i="10"/>
  <c r="AL117" i="10"/>
  <c r="AK117" i="10"/>
  <c r="AJ117" i="10"/>
  <c r="AI117" i="10"/>
  <c r="AH117" i="10"/>
  <c r="AG117" i="10"/>
  <c r="AF117" i="10"/>
  <c r="AE117" i="10"/>
  <c r="AD117" i="10"/>
  <c r="AC117" i="10"/>
  <c r="AB117" i="10"/>
  <c r="AA117" i="10"/>
  <c r="Z117" i="10"/>
  <c r="Y117" i="10"/>
  <c r="X117" i="10"/>
  <c r="W117" i="10"/>
  <c r="V117" i="10"/>
  <c r="AO116" i="10"/>
  <c r="AN116" i="10"/>
  <c r="AM116" i="10"/>
  <c r="AL116" i="10"/>
  <c r="AK116" i="10"/>
  <c r="AJ116" i="10"/>
  <c r="AI116" i="10"/>
  <c r="AH116" i="10"/>
  <c r="AG116" i="10"/>
  <c r="AF116" i="10"/>
  <c r="AE116" i="10"/>
  <c r="AD116" i="10"/>
  <c r="AC116" i="10"/>
  <c r="AB116" i="10"/>
  <c r="AA116" i="10"/>
  <c r="Z116" i="10"/>
  <c r="Y116" i="10"/>
  <c r="X116" i="10"/>
  <c r="W116" i="10"/>
  <c r="V116" i="10"/>
  <c r="AO115" i="10"/>
  <c r="AN115" i="10"/>
  <c r="AM115" i="10"/>
  <c r="AL115" i="10"/>
  <c r="AK115" i="10"/>
  <c r="AJ115" i="10"/>
  <c r="AI115" i="10"/>
  <c r="AH115" i="10"/>
  <c r="AG115" i="10"/>
  <c r="AF115" i="10"/>
  <c r="AE115" i="10"/>
  <c r="AD115" i="10"/>
  <c r="AC115" i="10"/>
  <c r="AB115" i="10"/>
  <c r="AA115" i="10"/>
  <c r="Z115" i="10"/>
  <c r="Y115" i="10"/>
  <c r="X115" i="10"/>
  <c r="W115" i="10"/>
  <c r="V115" i="10"/>
  <c r="AO114" i="10"/>
  <c r="AN114" i="10"/>
  <c r="AM114" i="10"/>
  <c r="AL114" i="10"/>
  <c r="AK114" i="10"/>
  <c r="AJ114" i="10"/>
  <c r="AI114" i="10"/>
  <c r="AH114" i="10"/>
  <c r="AG114" i="10"/>
  <c r="AF114" i="10"/>
  <c r="AE114" i="10"/>
  <c r="AD114" i="10"/>
  <c r="AC114" i="10"/>
  <c r="AB114" i="10"/>
  <c r="AA114" i="10"/>
  <c r="Z114" i="10"/>
  <c r="Y114" i="10"/>
  <c r="X114" i="10"/>
  <c r="W114" i="10"/>
  <c r="V114" i="10"/>
  <c r="AO113" i="10"/>
  <c r="AN113" i="10"/>
  <c r="AM113" i="10"/>
  <c r="AL113" i="10"/>
  <c r="AK113" i="10"/>
  <c r="AJ113" i="10"/>
  <c r="AI113" i="10"/>
  <c r="AH113" i="10"/>
  <c r="AG113" i="10"/>
  <c r="AF113" i="10"/>
  <c r="AE113" i="10"/>
  <c r="AD113" i="10"/>
  <c r="AC113" i="10"/>
  <c r="AB113" i="10"/>
  <c r="AA113" i="10"/>
  <c r="Z113" i="10"/>
  <c r="Y113" i="10"/>
  <c r="X113" i="10"/>
  <c r="W113" i="10"/>
  <c r="V113" i="10"/>
  <c r="AO112" i="10"/>
  <c r="AN112" i="10"/>
  <c r="AM112" i="10"/>
  <c r="AL112" i="10"/>
  <c r="AK112" i="10"/>
  <c r="AJ112" i="10"/>
  <c r="AI112" i="10"/>
  <c r="AH112" i="10"/>
  <c r="AG112" i="10"/>
  <c r="AF112" i="10"/>
  <c r="AE112" i="10"/>
  <c r="AD112" i="10"/>
  <c r="AC112" i="10"/>
  <c r="AB112" i="10"/>
  <c r="AA112" i="10"/>
  <c r="Z112" i="10"/>
  <c r="Y112" i="10"/>
  <c r="X112" i="10"/>
  <c r="W112" i="10"/>
  <c r="V112" i="10"/>
  <c r="AO111" i="10"/>
  <c r="AN111" i="10"/>
  <c r="AM111" i="10"/>
  <c r="AL111" i="10"/>
  <c r="AK111" i="10"/>
  <c r="AJ111" i="10"/>
  <c r="AI111" i="10"/>
  <c r="AH111" i="10"/>
  <c r="AG111" i="10"/>
  <c r="AF111" i="10"/>
  <c r="AE111" i="10"/>
  <c r="AD111" i="10"/>
  <c r="AC111" i="10"/>
  <c r="AB111" i="10"/>
  <c r="AA111" i="10"/>
  <c r="Z111" i="10"/>
  <c r="Y111" i="10"/>
  <c r="X111" i="10"/>
  <c r="W111" i="10"/>
  <c r="V111" i="10"/>
  <c r="AO110" i="10"/>
  <c r="AN110" i="10"/>
  <c r="AM110" i="10"/>
  <c r="AL110" i="10"/>
  <c r="AK110" i="10"/>
  <c r="AJ110" i="10"/>
  <c r="AI110" i="10"/>
  <c r="AH110" i="10"/>
  <c r="AG110" i="10"/>
  <c r="AF110" i="10"/>
  <c r="AE110" i="10"/>
  <c r="AD110" i="10"/>
  <c r="AC110" i="10"/>
  <c r="AB110" i="10"/>
  <c r="AA110" i="10"/>
  <c r="Z110" i="10"/>
  <c r="Y110" i="10"/>
  <c r="X110" i="10"/>
  <c r="W110" i="10"/>
  <c r="V110" i="10"/>
  <c r="AO109" i="10"/>
  <c r="AN109" i="10"/>
  <c r="AM109" i="10"/>
  <c r="AL109" i="10"/>
  <c r="AK109" i="10"/>
  <c r="AJ109" i="10"/>
  <c r="AI109" i="10"/>
  <c r="AH109" i="10"/>
  <c r="AG109" i="10"/>
  <c r="AF109" i="10"/>
  <c r="AE109" i="10"/>
  <c r="AD109" i="10"/>
  <c r="AC109" i="10"/>
  <c r="AB109" i="10"/>
  <c r="AA109" i="10"/>
  <c r="Z109" i="10"/>
  <c r="Y109" i="10"/>
  <c r="X109" i="10"/>
  <c r="W109" i="10"/>
  <c r="V109" i="10"/>
  <c r="AO108" i="10"/>
  <c r="AN108" i="10"/>
  <c r="AM108" i="10"/>
  <c r="AL108" i="10"/>
  <c r="AK108" i="10"/>
  <c r="AJ108" i="10"/>
  <c r="AI108" i="10"/>
  <c r="AH108" i="10"/>
  <c r="AG108" i="10"/>
  <c r="AF108" i="10"/>
  <c r="AE108" i="10"/>
  <c r="AD108" i="10"/>
  <c r="AC108" i="10"/>
  <c r="AB108" i="10"/>
  <c r="AA108" i="10"/>
  <c r="Z108" i="10"/>
  <c r="Y108" i="10"/>
  <c r="X108" i="10"/>
  <c r="W108" i="10"/>
  <c r="V108" i="10"/>
  <c r="AO107" i="10"/>
  <c r="AN107" i="10"/>
  <c r="AM107" i="10"/>
  <c r="AL107" i="10"/>
  <c r="AK107" i="10"/>
  <c r="AJ107" i="10"/>
  <c r="AI107" i="10"/>
  <c r="AH107" i="10"/>
  <c r="AG107" i="10"/>
  <c r="AF107" i="10"/>
  <c r="AE107" i="10"/>
  <c r="AD107" i="10"/>
  <c r="AC107" i="10"/>
  <c r="AB107" i="10"/>
  <c r="AA107" i="10"/>
  <c r="Z107" i="10"/>
  <c r="Y107" i="10"/>
  <c r="X107" i="10"/>
  <c r="W107" i="10"/>
  <c r="V107" i="10"/>
  <c r="AO106" i="10"/>
  <c r="AN106" i="10"/>
  <c r="AM106" i="10"/>
  <c r="AL106" i="10"/>
  <c r="AK106" i="10"/>
  <c r="AJ106" i="10"/>
  <c r="AI106" i="10"/>
  <c r="AH106" i="10"/>
  <c r="AG106" i="10"/>
  <c r="AF106" i="10"/>
  <c r="AE106" i="10"/>
  <c r="AD106" i="10"/>
  <c r="AC106" i="10"/>
  <c r="AB106" i="10"/>
  <c r="AA106" i="10"/>
  <c r="Z106" i="10"/>
  <c r="Y106" i="10"/>
  <c r="X106" i="10"/>
  <c r="W106" i="10"/>
  <c r="V106" i="10"/>
  <c r="AO105" i="10"/>
  <c r="AN105" i="10"/>
  <c r="AM105" i="10"/>
  <c r="AL105" i="10"/>
  <c r="AK105" i="10"/>
  <c r="AJ105" i="10"/>
  <c r="AI105" i="10"/>
  <c r="AH105" i="10"/>
  <c r="AG105" i="10"/>
  <c r="AF105" i="10"/>
  <c r="AE105" i="10"/>
  <c r="AD105" i="10"/>
  <c r="AC105" i="10"/>
  <c r="AB105" i="10"/>
  <c r="AA105" i="10"/>
  <c r="Z105" i="10"/>
  <c r="Y105" i="10"/>
  <c r="X105" i="10"/>
  <c r="W105" i="10"/>
  <c r="V105" i="10"/>
  <c r="AO104" i="10"/>
  <c r="AN104" i="10"/>
  <c r="AM104" i="10"/>
  <c r="AL104" i="10"/>
  <c r="AK104" i="10"/>
  <c r="AJ104" i="10"/>
  <c r="AI104" i="10"/>
  <c r="AH104" i="10"/>
  <c r="AG104" i="10"/>
  <c r="AF104" i="10"/>
  <c r="AE104" i="10"/>
  <c r="AD104" i="10"/>
  <c r="AC104" i="10"/>
  <c r="AB104" i="10"/>
  <c r="AA104" i="10"/>
  <c r="Z104" i="10"/>
  <c r="Y104" i="10"/>
  <c r="X104" i="10"/>
  <c r="W104" i="10"/>
  <c r="V104" i="10"/>
  <c r="AO103" i="10"/>
  <c r="AN103" i="10"/>
  <c r="AM103" i="10"/>
  <c r="AL103" i="10"/>
  <c r="AK103" i="10"/>
  <c r="AJ103" i="10"/>
  <c r="AI103" i="10"/>
  <c r="AH103" i="10"/>
  <c r="AG103" i="10"/>
  <c r="AF103" i="10"/>
  <c r="AE103" i="10"/>
  <c r="AD103" i="10"/>
  <c r="AC103" i="10"/>
  <c r="AB103" i="10"/>
  <c r="AA103" i="10"/>
  <c r="Z103" i="10"/>
  <c r="Y103" i="10"/>
  <c r="X103" i="10"/>
  <c r="W103" i="10"/>
  <c r="V103" i="10"/>
  <c r="AO102" i="10"/>
  <c r="AN102" i="10"/>
  <c r="AM102" i="10"/>
  <c r="AL102" i="10"/>
  <c r="AK102" i="10"/>
  <c r="AJ102" i="10"/>
  <c r="AI102" i="10"/>
  <c r="AH102" i="10"/>
  <c r="AG102" i="10"/>
  <c r="AF102" i="10"/>
  <c r="AE102" i="10"/>
  <c r="AD102" i="10"/>
  <c r="AC102" i="10"/>
  <c r="AB102" i="10"/>
  <c r="AA102" i="10"/>
  <c r="Z102" i="10"/>
  <c r="Y102" i="10"/>
  <c r="X102" i="10"/>
  <c r="W102" i="10"/>
  <c r="V102" i="10"/>
  <c r="AO101" i="10"/>
  <c r="AN101" i="10"/>
  <c r="AM101" i="10"/>
  <c r="AL101" i="10"/>
  <c r="AK101" i="10"/>
  <c r="AJ101" i="10"/>
  <c r="AI101" i="10"/>
  <c r="AH101" i="10"/>
  <c r="AG101" i="10"/>
  <c r="AF101" i="10"/>
  <c r="AE101" i="10"/>
  <c r="AD101" i="10"/>
  <c r="AC101" i="10"/>
  <c r="AB101" i="10"/>
  <c r="AA101" i="10"/>
  <c r="Z101" i="10"/>
  <c r="Y101" i="10"/>
  <c r="X101" i="10"/>
  <c r="W101" i="10"/>
  <c r="V101" i="10"/>
  <c r="AO100" i="10"/>
  <c r="AN100" i="10"/>
  <c r="AM100" i="10"/>
  <c r="AL100" i="10"/>
  <c r="AK100" i="10"/>
  <c r="AJ100" i="10"/>
  <c r="AI100" i="10"/>
  <c r="AH100" i="10"/>
  <c r="AG100" i="10"/>
  <c r="AF100" i="10"/>
  <c r="AE100" i="10"/>
  <c r="AD100" i="10"/>
  <c r="AC100" i="10"/>
  <c r="AB100" i="10"/>
  <c r="AA100" i="10"/>
  <c r="Z100" i="10"/>
  <c r="Y100" i="10"/>
  <c r="X100" i="10"/>
  <c r="W100" i="10"/>
  <c r="V100" i="10"/>
  <c r="AB95" i="10"/>
  <c r="Y95" i="10"/>
  <c r="AA94" i="10"/>
  <c r="Y92" i="10"/>
  <c r="AB90" i="10"/>
  <c r="AB87" i="10"/>
  <c r="Y87" i="10"/>
  <c r="Z82" i="10"/>
  <c r="Y82" i="10"/>
  <c r="X82" i="10"/>
  <c r="W82" i="10"/>
  <c r="V82" i="10"/>
  <c r="Z81" i="10"/>
  <c r="Y81" i="10"/>
  <c r="X81" i="10"/>
  <c r="W81" i="10"/>
  <c r="V81" i="10"/>
  <c r="Z80" i="10"/>
  <c r="Y80" i="10"/>
  <c r="X80" i="10"/>
  <c r="W80" i="10"/>
  <c r="V80" i="10"/>
  <c r="Z79" i="10"/>
  <c r="Y79" i="10"/>
  <c r="X79" i="10"/>
  <c r="W79" i="10"/>
  <c r="V79" i="10"/>
  <c r="Z78" i="10"/>
  <c r="Y78" i="10"/>
  <c r="X78" i="10"/>
  <c r="W78" i="10"/>
  <c r="V78" i="10"/>
  <c r="Z77" i="10"/>
  <c r="Y77" i="10"/>
  <c r="X77" i="10"/>
  <c r="W77" i="10"/>
  <c r="V77" i="10"/>
  <c r="Z76" i="10"/>
  <c r="Y76" i="10"/>
  <c r="X76" i="10"/>
  <c r="W76" i="10"/>
  <c r="V76" i="10"/>
  <c r="Z75" i="10"/>
  <c r="Y75" i="10"/>
  <c r="X75" i="10"/>
  <c r="W75" i="10"/>
  <c r="V75" i="10"/>
  <c r="Z74" i="10"/>
  <c r="Y74" i="10"/>
  <c r="X74" i="10"/>
  <c r="W74" i="10"/>
  <c r="V74" i="10"/>
  <c r="Z73" i="10"/>
  <c r="Y73" i="10"/>
  <c r="X73" i="10"/>
  <c r="W73" i="10"/>
  <c r="V73" i="10"/>
  <c r="Z68" i="10"/>
  <c r="Y68" i="10"/>
  <c r="X68" i="10"/>
  <c r="W68" i="10"/>
  <c r="V68" i="10"/>
  <c r="Z67" i="10"/>
  <c r="Y67" i="10"/>
  <c r="X67" i="10"/>
  <c r="W67" i="10"/>
  <c r="V67" i="10"/>
  <c r="Z66" i="10"/>
  <c r="Y66" i="10"/>
  <c r="X66" i="10"/>
  <c r="W66" i="10"/>
  <c r="V66" i="10"/>
  <c r="Z65" i="10"/>
  <c r="Y65" i="10"/>
  <c r="X65" i="10"/>
  <c r="W65" i="10"/>
  <c r="V65" i="10"/>
  <c r="Z64" i="10"/>
  <c r="Y64" i="10"/>
  <c r="X64" i="10"/>
  <c r="W64" i="10"/>
  <c r="V64" i="10"/>
  <c r="Z63" i="10"/>
  <c r="Y63" i="10"/>
  <c r="X63" i="10"/>
  <c r="W63" i="10"/>
  <c r="V63" i="10"/>
  <c r="Z62" i="10"/>
  <c r="Y62" i="10"/>
  <c r="X62" i="10"/>
  <c r="W62" i="10"/>
  <c r="V62" i="10"/>
  <c r="Z61" i="10"/>
  <c r="Y61" i="10"/>
  <c r="X61" i="10"/>
  <c r="W61" i="10"/>
  <c r="V61" i="10"/>
  <c r="Z60" i="10"/>
  <c r="Y60" i="10"/>
  <c r="X60" i="10"/>
  <c r="W60" i="10"/>
  <c r="V60" i="10"/>
  <c r="Z59" i="10"/>
  <c r="Y59" i="10"/>
  <c r="X59" i="10"/>
  <c r="W59" i="10"/>
  <c r="V59" i="10"/>
  <c r="AQ58" i="10"/>
  <c r="Z58" i="10"/>
  <c r="Y58" i="10"/>
  <c r="X58" i="10"/>
  <c r="W58" i="10"/>
  <c r="V58" i="10"/>
  <c r="Z57" i="10"/>
  <c r="Y57" i="10"/>
  <c r="X57" i="10"/>
  <c r="W57" i="10"/>
  <c r="V57" i="10"/>
  <c r="Z56" i="10"/>
  <c r="Y56" i="10"/>
  <c r="X56" i="10"/>
  <c r="W56" i="10"/>
  <c r="V56" i="10"/>
  <c r="AP44" i="10"/>
  <c r="B59" i="10" s="1"/>
  <c r="AP43" i="10"/>
  <c r="B58" i="10" s="1"/>
  <c r="AP42" i="10"/>
  <c r="B57" i="10" s="1"/>
  <c r="X42" i="10"/>
  <c r="AP41" i="10"/>
  <c r="B56" i="10" s="1"/>
  <c r="X41" i="10"/>
  <c r="AP40" i="10"/>
  <c r="B55" i="10" s="1"/>
  <c r="X40" i="10"/>
  <c r="B40" i="10"/>
  <c r="X39" i="10"/>
  <c r="X38" i="10"/>
  <c r="X37" i="10"/>
  <c r="X36" i="10"/>
  <c r="X35" i="10"/>
  <c r="Q35" i="10"/>
  <c r="P35" i="10"/>
  <c r="B35" i="10"/>
  <c r="X34" i="10"/>
  <c r="J34" i="10"/>
  <c r="X33" i="10"/>
  <c r="X32" i="10"/>
  <c r="AG31" i="10"/>
  <c r="X31" i="10"/>
  <c r="AC30" i="10"/>
  <c r="O99" i="10" s="1"/>
  <c r="X30" i="10"/>
  <c r="X29" i="10"/>
  <c r="B29" i="10"/>
  <c r="AQ27" i="10" s="1"/>
  <c r="X28" i="10"/>
  <c r="B27" i="10"/>
  <c r="P25" i="10"/>
  <c r="I24" i="10" s="1"/>
  <c r="G24" i="10"/>
  <c r="E24" i="10"/>
  <c r="C24" i="10"/>
  <c r="AB23" i="10"/>
  <c r="AA23" i="10"/>
  <c r="Z23" i="10"/>
  <c r="Y23" i="10"/>
  <c r="I23" i="10"/>
  <c r="G23" i="10"/>
  <c r="E23" i="10"/>
  <c r="C23" i="10"/>
  <c r="AB22" i="10"/>
  <c r="AA22" i="10"/>
  <c r="Z22" i="10"/>
  <c r="Y22" i="10"/>
  <c r="I22" i="10"/>
  <c r="G22" i="10"/>
  <c r="E22" i="10"/>
  <c r="C22" i="10"/>
  <c r="I21" i="10"/>
  <c r="G21" i="10"/>
  <c r="E21" i="10"/>
  <c r="C21" i="10"/>
  <c r="AQ20" i="10"/>
  <c r="AI20" i="10"/>
  <c r="I20" i="10"/>
  <c r="AQ19" i="10"/>
  <c r="AI19" i="10"/>
  <c r="AQ18" i="10"/>
  <c r="B47" i="10" s="1"/>
  <c r="AQ34" i="10" s="1"/>
  <c r="AI18" i="10"/>
  <c r="I18" i="10"/>
  <c r="AI17" i="10"/>
  <c r="AI16" i="10"/>
  <c r="AI15" i="10"/>
  <c r="AQ14" i="10"/>
  <c r="AI14" i="10"/>
  <c r="I14" i="10"/>
  <c r="AQ13" i="10"/>
  <c r="AI13" i="10"/>
  <c r="AQ12" i="10"/>
  <c r="B44" i="10" s="1"/>
  <c r="AQ31" i="10" s="1"/>
  <c r="AI12" i="10"/>
  <c r="AI11" i="10"/>
  <c r="AB11" i="10"/>
  <c r="AA11" i="10"/>
  <c r="Z11" i="10"/>
  <c r="Y11" i="10"/>
  <c r="AI10" i="10"/>
  <c r="AB10" i="10"/>
  <c r="AA10" i="10"/>
  <c r="Z10" i="10"/>
  <c r="Y10" i="10"/>
  <c r="AI9" i="10"/>
  <c r="AJ9" i="10" s="1"/>
  <c r="AB9" i="10"/>
  <c r="AA9" i="10"/>
  <c r="Z9" i="10"/>
  <c r="AC9" i="10" s="1"/>
  <c r="Y9" i="10"/>
  <c r="AQ8" i="10"/>
  <c r="B43" i="10" s="1"/>
  <c r="AQ30" i="10" s="1"/>
  <c r="AB8" i="10"/>
  <c r="AA8" i="10"/>
  <c r="Z8" i="10"/>
  <c r="Y8" i="10"/>
  <c r="AQ7" i="10"/>
  <c r="B42" i="10" s="1"/>
  <c r="AQ29" i="10" s="1"/>
  <c r="AQ6" i="10"/>
  <c r="B41" i="10" s="1"/>
  <c r="AQ28" i="10" s="1"/>
  <c r="AC30" i="8"/>
  <c r="G106" i="55" l="1"/>
  <c r="G104" i="55"/>
  <c r="I82" i="54"/>
  <c r="G110" i="54"/>
  <c r="G108" i="54"/>
  <c r="AV43" i="49"/>
  <c r="AY43" i="49" s="1"/>
  <c r="AV44" i="49"/>
  <c r="AX44" i="49" s="1"/>
  <c r="AV42" i="49"/>
  <c r="AY42" i="49" s="1"/>
  <c r="AV40" i="49"/>
  <c r="AZ40" i="49" s="1"/>
  <c r="AV41" i="49"/>
  <c r="AX41" i="49" s="1"/>
  <c r="D59" i="49"/>
  <c r="AZ44" i="49"/>
  <c r="AZ43" i="49"/>
  <c r="AX43" i="49"/>
  <c r="E58" i="49"/>
  <c r="D58" i="49"/>
  <c r="AW43" i="49"/>
  <c r="AY45" i="48"/>
  <c r="P115" i="48" s="1"/>
  <c r="AZ45" i="48"/>
  <c r="Q115" i="48" s="1"/>
  <c r="AX45" i="48"/>
  <c r="O115" i="48" s="1"/>
  <c r="AW45" i="48"/>
  <c r="N115" i="48" s="1"/>
  <c r="AY45" i="47"/>
  <c r="P115" i="47" s="1"/>
  <c r="AZ45" i="47"/>
  <c r="Q115" i="47" s="1"/>
  <c r="AX45" i="47"/>
  <c r="O115" i="47" s="1"/>
  <c r="AW45" i="47"/>
  <c r="N115" i="47" s="1"/>
  <c r="AR41" i="43"/>
  <c r="AR44" i="43"/>
  <c r="AR42" i="43"/>
  <c r="AR40" i="43"/>
  <c r="AR43" i="43"/>
  <c r="AU42" i="43"/>
  <c r="AU43" i="43"/>
  <c r="AU40" i="43"/>
  <c r="AU41" i="43"/>
  <c r="AU44" i="43"/>
  <c r="AS44" i="43"/>
  <c r="AS41" i="43"/>
  <c r="AS42" i="43"/>
  <c r="AS43" i="43"/>
  <c r="AS40" i="43"/>
  <c r="AT42" i="43"/>
  <c r="AT43" i="43"/>
  <c r="AT40" i="43"/>
  <c r="AT41" i="43"/>
  <c r="AT44" i="43"/>
  <c r="AV41" i="42"/>
  <c r="AW41" i="42" s="1"/>
  <c r="AV43" i="42"/>
  <c r="E58" i="42" s="1"/>
  <c r="AV42" i="42"/>
  <c r="AY42" i="42" s="1"/>
  <c r="AV40" i="42"/>
  <c r="AY40" i="42" s="1"/>
  <c r="AV44" i="42"/>
  <c r="AX44" i="42" s="1"/>
  <c r="AV40" i="41"/>
  <c r="AW40" i="41" s="1"/>
  <c r="AV41" i="41"/>
  <c r="AZ41" i="41" s="1"/>
  <c r="AV43" i="41"/>
  <c r="AY43" i="41" s="1"/>
  <c r="AV44" i="41"/>
  <c r="AY44" i="41" s="1"/>
  <c r="AV42" i="41"/>
  <c r="AX42" i="41" s="1"/>
  <c r="AV28" i="15"/>
  <c r="J40" i="27"/>
  <c r="D42" i="27" s="1"/>
  <c r="AU7" i="27"/>
  <c r="AT9" i="27"/>
  <c r="AT11" i="27" s="1"/>
  <c r="AS7" i="27"/>
  <c r="AS9" i="27" s="1"/>
  <c r="AS11" i="27" s="1"/>
  <c r="AU8" i="27"/>
  <c r="J41" i="27"/>
  <c r="E43" i="27" s="1"/>
  <c r="AT6" i="18"/>
  <c r="AT28" i="15"/>
  <c r="AS28" i="15"/>
  <c r="AS8" i="18"/>
  <c r="J41" i="18"/>
  <c r="AV28" i="18" s="1"/>
  <c r="J39" i="17"/>
  <c r="E41" i="17" s="1"/>
  <c r="AS7" i="12"/>
  <c r="J39" i="12"/>
  <c r="AU6" i="12"/>
  <c r="AU28" i="27"/>
  <c r="AS6" i="18"/>
  <c r="AS9" i="18" s="1"/>
  <c r="AS11" i="18" s="1"/>
  <c r="J40" i="12"/>
  <c r="D42" i="12" s="1"/>
  <c r="AU28" i="12"/>
  <c r="AU7" i="12"/>
  <c r="AS6" i="12"/>
  <c r="AT8" i="18"/>
  <c r="AS6" i="17"/>
  <c r="AC8" i="10"/>
  <c r="AJ18" i="10"/>
  <c r="AJ12" i="10"/>
  <c r="AJ15" i="10"/>
  <c r="AT6" i="17"/>
  <c r="AT8" i="17"/>
  <c r="AT6" i="15"/>
  <c r="AT9" i="15" s="1"/>
  <c r="AT11" i="15" s="1"/>
  <c r="J39" i="15"/>
  <c r="E41" i="15" s="1"/>
  <c r="AS6" i="15"/>
  <c r="AS9" i="15" s="1"/>
  <c r="AS11" i="15" s="1"/>
  <c r="AE94" i="10"/>
  <c r="AS8" i="17"/>
  <c r="AU8" i="24"/>
  <c r="AT8" i="24"/>
  <c r="AT9" i="24" s="1"/>
  <c r="AT11" i="24" s="1"/>
  <c r="D28" i="17"/>
  <c r="AU8" i="17"/>
  <c r="AU9" i="17" s="1"/>
  <c r="AU11" i="17" s="1"/>
  <c r="AV7" i="11"/>
  <c r="AS7" i="11" s="1"/>
  <c r="AV8" i="11"/>
  <c r="J41" i="11" s="1"/>
  <c r="AT28" i="11" s="1"/>
  <c r="AV28" i="12"/>
  <c r="AS28" i="12"/>
  <c r="D28" i="20"/>
  <c r="AC10" i="10"/>
  <c r="AD8" i="10" s="1"/>
  <c r="AB36" i="10" s="1"/>
  <c r="AC31" i="10" s="1"/>
  <c r="P99" i="10" s="1"/>
  <c r="AC22" i="10"/>
  <c r="AU6" i="24"/>
  <c r="J39" i="24"/>
  <c r="E41" i="24" s="1"/>
  <c r="AS6" i="24"/>
  <c r="AS9" i="24" s="1"/>
  <c r="AS11" i="24" s="1"/>
  <c r="J41" i="24"/>
  <c r="D43" i="24" s="1"/>
  <c r="AS5" i="10"/>
  <c r="AE87" i="10"/>
  <c r="AE90" i="10"/>
  <c r="AE95" i="10"/>
  <c r="AV13" i="26"/>
  <c r="AV12" i="26"/>
  <c r="AV14" i="26"/>
  <c r="E27" i="24"/>
  <c r="D27" i="24"/>
  <c r="J28" i="24"/>
  <c r="E28" i="24" s="1"/>
  <c r="D42" i="24"/>
  <c r="E42" i="24"/>
  <c r="J39" i="20"/>
  <c r="AS6" i="20"/>
  <c r="AT6" i="20"/>
  <c r="AU6" i="20"/>
  <c r="J40" i="20"/>
  <c r="AU7" i="20"/>
  <c r="AT7" i="20"/>
  <c r="AS7" i="20"/>
  <c r="J41" i="20"/>
  <c r="AU28" i="20" s="1"/>
  <c r="AS8" i="20"/>
  <c r="AT8" i="20"/>
  <c r="AU8" i="20"/>
  <c r="AU9" i="18"/>
  <c r="AU11" i="18" s="1"/>
  <c r="AV14" i="18" s="1"/>
  <c r="E41" i="18"/>
  <c r="D41" i="18"/>
  <c r="D42" i="18"/>
  <c r="E42" i="18"/>
  <c r="E42" i="17"/>
  <c r="D42" i="17"/>
  <c r="E43" i="17"/>
  <c r="D43" i="17"/>
  <c r="AU9" i="15"/>
  <c r="AU11" i="15" s="1"/>
  <c r="E43" i="15"/>
  <c r="D43" i="15"/>
  <c r="E42" i="15"/>
  <c r="D42" i="15"/>
  <c r="J39" i="13"/>
  <c r="AU6" i="13"/>
  <c r="AT6" i="13"/>
  <c r="AS6" i="13"/>
  <c r="AU8" i="13"/>
  <c r="AT8" i="13"/>
  <c r="AS8" i="13"/>
  <c r="J41" i="13"/>
  <c r="J40" i="13"/>
  <c r="AU7" i="13"/>
  <c r="AS7" i="13"/>
  <c r="AT7" i="13"/>
  <c r="E42" i="12"/>
  <c r="D43" i="12"/>
  <c r="E43" i="12"/>
  <c r="AT9" i="12"/>
  <c r="AT11" i="12" s="1"/>
  <c r="D28" i="12"/>
  <c r="E41" i="12"/>
  <c r="D41" i="12"/>
  <c r="AT6" i="11"/>
  <c r="J39" i="11"/>
  <c r="AU6" i="11"/>
  <c r="AS6" i="11"/>
  <c r="AE92" i="10"/>
  <c r="Z46" i="10" s="1"/>
  <c r="AC11" i="10"/>
  <c r="E18" i="10"/>
  <c r="AL9" i="10" s="1"/>
  <c r="AK9" i="10" s="1"/>
  <c r="AS26" i="10" s="1"/>
  <c r="AQ59" i="10"/>
  <c r="D40" i="10" s="1"/>
  <c r="AE91" i="10"/>
  <c r="B48" i="10"/>
  <c r="AQ35" i="10" s="1"/>
  <c r="B45" i="10"/>
  <c r="AQ32" i="10" s="1"/>
  <c r="AE93" i="10"/>
  <c r="B49" i="10"/>
  <c r="AQ36" i="10" s="1"/>
  <c r="P24" i="10"/>
  <c r="J35" i="10"/>
  <c r="E35" i="10"/>
  <c r="AE89" i="10"/>
  <c r="B46" i="10"/>
  <c r="AQ33" i="10" s="1"/>
  <c r="D35" i="10"/>
  <c r="V49" i="10"/>
  <c r="AC23" i="10"/>
  <c r="AD22" i="10" s="1"/>
  <c r="AB39" i="10" s="1"/>
  <c r="AC32" i="10" s="1"/>
  <c r="AE88" i="10"/>
  <c r="G106" i="54" l="1"/>
  <c r="G104" i="54"/>
  <c r="AY44" i="49"/>
  <c r="E59" i="49"/>
  <c r="AW44" i="49"/>
  <c r="AX42" i="49"/>
  <c r="D57" i="49"/>
  <c r="AZ42" i="49"/>
  <c r="E57" i="49"/>
  <c r="AW42" i="49"/>
  <c r="AX40" i="49"/>
  <c r="AZ41" i="49"/>
  <c r="AY41" i="49"/>
  <c r="AW40" i="49"/>
  <c r="D55" i="49"/>
  <c r="AY40" i="49"/>
  <c r="D56" i="49"/>
  <c r="E55" i="49"/>
  <c r="E56" i="49"/>
  <c r="AW41" i="49"/>
  <c r="AV43" i="43"/>
  <c r="AV40" i="43"/>
  <c r="AV42" i="43"/>
  <c r="AV44" i="43"/>
  <c r="AV41" i="43"/>
  <c r="AZ41" i="42"/>
  <c r="AY41" i="42"/>
  <c r="E56" i="42"/>
  <c r="D55" i="42"/>
  <c r="AZ42" i="42"/>
  <c r="D56" i="42"/>
  <c r="AX41" i="42"/>
  <c r="AS28" i="24"/>
  <c r="AW42" i="42"/>
  <c r="D57" i="42"/>
  <c r="E57" i="42"/>
  <c r="D58" i="42"/>
  <c r="AX43" i="42"/>
  <c r="AX42" i="42"/>
  <c r="AZ40" i="42"/>
  <c r="E55" i="42"/>
  <c r="AW43" i="42"/>
  <c r="AW40" i="42"/>
  <c r="AY43" i="42"/>
  <c r="AX40" i="42"/>
  <c r="AZ43" i="42"/>
  <c r="AW44" i="42"/>
  <c r="D59" i="42"/>
  <c r="E59" i="42"/>
  <c r="AY44" i="42"/>
  <c r="AZ44" i="42"/>
  <c r="E55" i="41"/>
  <c r="AY40" i="41"/>
  <c r="D55" i="41"/>
  <c r="AZ40" i="41"/>
  <c r="AX40" i="41"/>
  <c r="E57" i="41"/>
  <c r="AZ42" i="41"/>
  <c r="E56" i="41"/>
  <c r="AX43" i="41"/>
  <c r="AX41" i="41"/>
  <c r="AY41" i="41"/>
  <c r="E59" i="41"/>
  <c r="AW44" i="41"/>
  <c r="AW41" i="41"/>
  <c r="D59" i="41"/>
  <c r="D56" i="41"/>
  <c r="AZ43" i="41"/>
  <c r="AW42" i="41"/>
  <c r="AZ44" i="41"/>
  <c r="AW43" i="41"/>
  <c r="E58" i="41"/>
  <c r="D58" i="41"/>
  <c r="D57" i="41"/>
  <c r="AX44" i="41"/>
  <c r="AY42" i="41"/>
  <c r="AS9" i="12"/>
  <c r="AS11" i="12" s="1"/>
  <c r="E42" i="27"/>
  <c r="AU9" i="27"/>
  <c r="AU11" i="27" s="1"/>
  <c r="AV12" i="27" s="1"/>
  <c r="J42" i="27" s="1"/>
  <c r="AT29" i="27" s="1"/>
  <c r="AT9" i="18"/>
  <c r="AT11" i="18" s="1"/>
  <c r="AU28" i="18"/>
  <c r="AV28" i="20"/>
  <c r="AS28" i="20"/>
  <c r="AT28" i="20"/>
  <c r="AV28" i="27"/>
  <c r="AT28" i="27"/>
  <c r="AS28" i="27"/>
  <c r="D43" i="27"/>
  <c r="D43" i="18"/>
  <c r="E43" i="18"/>
  <c r="AS28" i="18"/>
  <c r="AT28" i="18"/>
  <c r="D41" i="17"/>
  <c r="AU9" i="12"/>
  <c r="AU11" i="12" s="1"/>
  <c r="AV12" i="12" s="1"/>
  <c r="AU28" i="11"/>
  <c r="AS28" i="11"/>
  <c r="AV28" i="11"/>
  <c r="AV28" i="24"/>
  <c r="AU28" i="24"/>
  <c r="AT28" i="24"/>
  <c r="AS29" i="27"/>
  <c r="AV29" i="27"/>
  <c r="AS9" i="17"/>
  <c r="AS11" i="17" s="1"/>
  <c r="AU7" i="11"/>
  <c r="D41" i="24"/>
  <c r="D41" i="15"/>
  <c r="AT7" i="11"/>
  <c r="J40" i="11"/>
  <c r="E42" i="11" s="1"/>
  <c r="AT9" i="17"/>
  <c r="AT11" i="17" s="1"/>
  <c r="E43" i="24"/>
  <c r="AV13" i="27"/>
  <c r="AT13" i="27" s="1"/>
  <c r="AT12" i="27"/>
  <c r="AT8" i="11"/>
  <c r="AU9" i="24"/>
  <c r="AU11" i="24" s="1"/>
  <c r="AV13" i="24" s="1"/>
  <c r="AS8" i="11"/>
  <c r="AS9" i="11" s="1"/>
  <c r="AS11" i="11" s="1"/>
  <c r="AU8" i="11"/>
  <c r="AT5" i="10"/>
  <c r="AV8" i="10" s="1"/>
  <c r="E44" i="27"/>
  <c r="J44" i="26"/>
  <c r="AS14" i="26"/>
  <c r="AT14" i="26"/>
  <c r="AU14" i="26"/>
  <c r="J42" i="26"/>
  <c r="AU12" i="26"/>
  <c r="AS12" i="26"/>
  <c r="AT12" i="26"/>
  <c r="J43" i="26"/>
  <c r="AU13" i="26"/>
  <c r="AT13" i="26"/>
  <c r="AS13" i="26"/>
  <c r="D28" i="24"/>
  <c r="AU9" i="20"/>
  <c r="AU11" i="20" s="1"/>
  <c r="AV13" i="20" s="1"/>
  <c r="AT9" i="20"/>
  <c r="AT11" i="20" s="1"/>
  <c r="E43" i="20"/>
  <c r="D43" i="20"/>
  <c r="AS9" i="20"/>
  <c r="AS11" i="20" s="1"/>
  <c r="D42" i="20"/>
  <c r="E42" i="20"/>
  <c r="E41" i="20"/>
  <c r="D41" i="20"/>
  <c r="AV13" i="18"/>
  <c r="J43" i="18" s="1"/>
  <c r="AV12" i="18"/>
  <c r="J42" i="18" s="1"/>
  <c r="AS14" i="18"/>
  <c r="J44" i="18"/>
  <c r="AT14" i="18"/>
  <c r="AU14" i="18"/>
  <c r="AV13" i="17"/>
  <c r="AV12" i="17"/>
  <c r="AV14" i="17"/>
  <c r="AV12" i="15"/>
  <c r="AV14" i="15"/>
  <c r="AV13" i="15"/>
  <c r="E43" i="13"/>
  <c r="D43" i="13"/>
  <c r="AT28" i="13"/>
  <c r="AV28" i="13"/>
  <c r="AS28" i="13"/>
  <c r="AU28" i="13"/>
  <c r="AS9" i="13"/>
  <c r="AS11" i="13" s="1"/>
  <c r="AT9" i="13"/>
  <c r="AT11" i="13" s="1"/>
  <c r="AU9" i="13"/>
  <c r="AU11" i="13" s="1"/>
  <c r="E42" i="13"/>
  <c r="D42" i="13"/>
  <c r="E41" i="13"/>
  <c r="D41" i="13"/>
  <c r="E41" i="11"/>
  <c r="D41" i="11"/>
  <c r="E43" i="11"/>
  <c r="D43" i="11"/>
  <c r="AL18" i="10"/>
  <c r="AK18" i="10" s="1"/>
  <c r="AV26" i="10" s="1"/>
  <c r="Q114" i="10" s="1"/>
  <c r="E40" i="10"/>
  <c r="AL12" i="10"/>
  <c r="AK12" i="10" s="1"/>
  <c r="AT26" i="10" s="1"/>
  <c r="O114" i="10" s="1"/>
  <c r="AL15" i="10"/>
  <c r="AK15" i="10" s="1"/>
  <c r="AU26" i="10" s="1"/>
  <c r="P114" i="10" s="1"/>
  <c r="AU5" i="10"/>
  <c r="Q99" i="10"/>
  <c r="G20" i="10"/>
  <c r="V47" i="10"/>
  <c r="V48" i="10" s="1"/>
  <c r="V51" i="10" s="1"/>
  <c r="J27" i="10" s="1"/>
  <c r="E36" i="10"/>
  <c r="D36" i="10"/>
  <c r="N114" i="10"/>
  <c r="AX45" i="49" l="1"/>
  <c r="O115" i="49" s="1"/>
  <c r="AZ45" i="49"/>
  <c r="Q115" i="49" s="1"/>
  <c r="AW45" i="49"/>
  <c r="N115" i="49" s="1"/>
  <c r="AY45" i="49"/>
  <c r="P115" i="49" s="1"/>
  <c r="AW43" i="43"/>
  <c r="D58" i="43"/>
  <c r="E58" i="43"/>
  <c r="AZ43" i="43"/>
  <c r="AY43" i="43"/>
  <c r="AX43" i="43"/>
  <c r="D56" i="43"/>
  <c r="AY41" i="43"/>
  <c r="AX41" i="43"/>
  <c r="AW41" i="43"/>
  <c r="E56" i="43"/>
  <c r="AZ41" i="43"/>
  <c r="AY44" i="43"/>
  <c r="AX44" i="43"/>
  <c r="AW44" i="43"/>
  <c r="E59" i="43"/>
  <c r="D59" i="43"/>
  <c r="AZ44" i="43"/>
  <c r="AZ42" i="43"/>
  <c r="E57" i="43"/>
  <c r="D57" i="43"/>
  <c r="AY42" i="43"/>
  <c r="AX42" i="43"/>
  <c r="AW42" i="43"/>
  <c r="AW40" i="43"/>
  <c r="AY40" i="43"/>
  <c r="E55" i="43"/>
  <c r="AZ40" i="43"/>
  <c r="D55" i="43"/>
  <c r="AX40" i="43"/>
  <c r="AX45" i="42"/>
  <c r="O115" i="42" s="1"/>
  <c r="AY45" i="42"/>
  <c r="P115" i="42" s="1"/>
  <c r="AW45" i="42"/>
  <c r="N115" i="42" s="1"/>
  <c r="AZ45" i="42"/>
  <c r="Q115" i="42" s="1"/>
  <c r="AX45" i="41"/>
  <c r="O115" i="41" s="1"/>
  <c r="AW45" i="41"/>
  <c r="N115" i="41" s="1"/>
  <c r="AY45" i="41"/>
  <c r="P115" i="41" s="1"/>
  <c r="AZ45" i="41"/>
  <c r="Q115" i="41" s="1"/>
  <c r="AV14" i="27"/>
  <c r="AU14" i="27" s="1"/>
  <c r="AU29" i="27"/>
  <c r="AS12" i="27"/>
  <c r="AU12" i="27"/>
  <c r="D44" i="27"/>
  <c r="AV35" i="26"/>
  <c r="AT36" i="26"/>
  <c r="AT35" i="26"/>
  <c r="AS35" i="26"/>
  <c r="AU30" i="26"/>
  <c r="AU33" i="26"/>
  <c r="AS30" i="26"/>
  <c r="AT33" i="26"/>
  <c r="AV36" i="26"/>
  <c r="AU36" i="26"/>
  <c r="AV30" i="26"/>
  <c r="AV33" i="26"/>
  <c r="AS36" i="26"/>
  <c r="AU35" i="26"/>
  <c r="AS33" i="26"/>
  <c r="AT30" i="26"/>
  <c r="AV30" i="18"/>
  <c r="AU36" i="18"/>
  <c r="AT36" i="18"/>
  <c r="AV35" i="18"/>
  <c r="AT33" i="18"/>
  <c r="AV33" i="18"/>
  <c r="AU33" i="18"/>
  <c r="AT35" i="18"/>
  <c r="AS36" i="18"/>
  <c r="AS30" i="18"/>
  <c r="AS35" i="18"/>
  <c r="AS33" i="18"/>
  <c r="AV36" i="18"/>
  <c r="AU30" i="18"/>
  <c r="AT30" i="18"/>
  <c r="AU35" i="18"/>
  <c r="AV14" i="12"/>
  <c r="AU14" i="12" s="1"/>
  <c r="AV13" i="12"/>
  <c r="J43" i="12" s="1"/>
  <c r="AV6" i="10"/>
  <c r="AT6" i="10" s="1"/>
  <c r="D42" i="11"/>
  <c r="AU9" i="11"/>
  <c r="AU11" i="11" s="1"/>
  <c r="AV12" i="11" s="1"/>
  <c r="AT12" i="11" s="1"/>
  <c r="AS13" i="27"/>
  <c r="AT31" i="26"/>
  <c r="AU31" i="26"/>
  <c r="AV31" i="26"/>
  <c r="AS31" i="26"/>
  <c r="AV29" i="26"/>
  <c r="AS29" i="26"/>
  <c r="AT29" i="26"/>
  <c r="AU29" i="26"/>
  <c r="AU31" i="18"/>
  <c r="AV31" i="18"/>
  <c r="AT31" i="18"/>
  <c r="AS31" i="18"/>
  <c r="AT29" i="18"/>
  <c r="AV29" i="18"/>
  <c r="AU29" i="18"/>
  <c r="AS29" i="18"/>
  <c r="AS14" i="27"/>
  <c r="J44" i="27"/>
  <c r="E46" i="27" s="1"/>
  <c r="AU13" i="27"/>
  <c r="AU15" i="27" s="1"/>
  <c r="AU17" i="27" s="1"/>
  <c r="AT14" i="27"/>
  <c r="AT15" i="27" s="1"/>
  <c r="AT17" i="27" s="1"/>
  <c r="J43" i="27"/>
  <c r="AV12" i="24"/>
  <c r="AT12" i="24" s="1"/>
  <c r="AT9" i="11"/>
  <c r="AT11" i="11" s="1"/>
  <c r="AV14" i="24"/>
  <c r="J44" i="24" s="1"/>
  <c r="AT13" i="18"/>
  <c r="AS12" i="18"/>
  <c r="AV7" i="10"/>
  <c r="J40" i="10" s="1"/>
  <c r="AT12" i="18"/>
  <c r="AU15" i="26"/>
  <c r="AU17" i="26" s="1"/>
  <c r="E45" i="26"/>
  <c r="D45" i="26"/>
  <c r="E44" i="26"/>
  <c r="D44" i="26"/>
  <c r="AT15" i="26"/>
  <c r="AT17" i="26" s="1"/>
  <c r="AS15" i="26"/>
  <c r="AS17" i="26" s="1"/>
  <c r="E46" i="26"/>
  <c r="D46" i="26"/>
  <c r="AU13" i="24"/>
  <c r="AS13" i="24"/>
  <c r="J43" i="24"/>
  <c r="AT13" i="24"/>
  <c r="AV14" i="20"/>
  <c r="J44" i="20" s="1"/>
  <c r="AV12" i="20"/>
  <c r="AU12" i="20" s="1"/>
  <c r="AU13" i="20"/>
  <c r="J43" i="20"/>
  <c r="AT13" i="20"/>
  <c r="AS13" i="20"/>
  <c r="AU13" i="18"/>
  <c r="AS13" i="18"/>
  <c r="AU12" i="18"/>
  <c r="E44" i="18"/>
  <c r="D44" i="18"/>
  <c r="E45" i="18"/>
  <c r="D45" i="18"/>
  <c r="E46" i="18"/>
  <c r="D46" i="18"/>
  <c r="J44" i="17"/>
  <c r="AU14" i="17"/>
  <c r="AS14" i="17"/>
  <c r="AT14" i="17"/>
  <c r="J42" i="17"/>
  <c r="AU12" i="17"/>
  <c r="AT12" i="17"/>
  <c r="AS12" i="17"/>
  <c r="J43" i="17"/>
  <c r="AU13" i="17"/>
  <c r="AS13" i="17"/>
  <c r="AT13" i="17"/>
  <c r="J43" i="15"/>
  <c r="AU13" i="15"/>
  <c r="AS13" i="15"/>
  <c r="AT13" i="15"/>
  <c r="J44" i="15"/>
  <c r="AT14" i="15"/>
  <c r="AS14" i="15"/>
  <c r="AU14" i="15"/>
  <c r="J42" i="15"/>
  <c r="AS12" i="15"/>
  <c r="AU12" i="15"/>
  <c r="AT12" i="15"/>
  <c r="AV12" i="13"/>
  <c r="AV13" i="13"/>
  <c r="AV14" i="13"/>
  <c r="J42" i="12"/>
  <c r="AT12" i="12"/>
  <c r="AS12" i="12"/>
  <c r="AU12" i="12"/>
  <c r="D27" i="10"/>
  <c r="J28" i="10"/>
  <c r="E28" i="10" s="1"/>
  <c r="E27" i="10"/>
  <c r="J41" i="10"/>
  <c r="AU8" i="10"/>
  <c r="AS8" i="10"/>
  <c r="AT8" i="10"/>
  <c r="AY45" i="43" l="1"/>
  <c r="P115" i="43" s="1"/>
  <c r="AW45" i="43"/>
  <c r="N115" i="43" s="1"/>
  <c r="AX45" i="43"/>
  <c r="O115" i="43" s="1"/>
  <c r="AZ45" i="43"/>
  <c r="Q115" i="43" s="1"/>
  <c r="AS30" i="20"/>
  <c r="AU35" i="20"/>
  <c r="AV33" i="20"/>
  <c r="AT35" i="20"/>
  <c r="AS33" i="20"/>
  <c r="AT36" i="20"/>
  <c r="AV30" i="20"/>
  <c r="AV36" i="20"/>
  <c r="AS35" i="20"/>
  <c r="AU33" i="20"/>
  <c r="AT30" i="20"/>
  <c r="AU30" i="20"/>
  <c r="AT33" i="20"/>
  <c r="AV35" i="20"/>
  <c r="AS36" i="20"/>
  <c r="AU36" i="20"/>
  <c r="E45" i="27"/>
  <c r="AU30" i="27"/>
  <c r="AS33" i="27"/>
  <c r="AT30" i="27"/>
  <c r="AT33" i="27"/>
  <c r="AU35" i="27"/>
  <c r="AV30" i="27"/>
  <c r="AS30" i="27"/>
  <c r="AU36" i="27"/>
  <c r="AT36" i="27"/>
  <c r="AT35" i="27"/>
  <c r="AV33" i="27"/>
  <c r="AS36" i="27"/>
  <c r="AU33" i="27"/>
  <c r="AV36" i="27"/>
  <c r="AS35" i="27"/>
  <c r="AV35" i="27"/>
  <c r="AV36" i="17"/>
  <c r="AV35" i="17"/>
  <c r="AT35" i="17"/>
  <c r="AV30" i="17"/>
  <c r="AT33" i="17"/>
  <c r="AU36" i="17"/>
  <c r="AT30" i="17"/>
  <c r="AS33" i="17"/>
  <c r="AU30" i="17"/>
  <c r="AT36" i="17"/>
  <c r="AU35" i="17"/>
  <c r="AV33" i="17"/>
  <c r="AS30" i="17"/>
  <c r="AS35" i="17"/>
  <c r="AS36" i="17"/>
  <c r="AU33" i="17"/>
  <c r="AT33" i="15"/>
  <c r="AU30" i="15"/>
  <c r="AT30" i="15"/>
  <c r="AU36" i="15"/>
  <c r="AS35" i="15"/>
  <c r="AS33" i="15"/>
  <c r="AV36" i="15"/>
  <c r="AU33" i="15"/>
  <c r="AU35" i="15"/>
  <c r="AT36" i="15"/>
  <c r="AS36" i="15"/>
  <c r="AV33" i="15"/>
  <c r="AT35" i="15"/>
  <c r="AV30" i="15"/>
  <c r="AV35" i="15"/>
  <c r="AS30" i="15"/>
  <c r="AT14" i="12"/>
  <c r="J44" i="12"/>
  <c r="AT31" i="12" s="1"/>
  <c r="AS14" i="12"/>
  <c r="AS13" i="12"/>
  <c r="AU35" i="12"/>
  <c r="AS35" i="12"/>
  <c r="AS36" i="12"/>
  <c r="AT35" i="12"/>
  <c r="AT36" i="12"/>
  <c r="AV36" i="12"/>
  <c r="AT30" i="12"/>
  <c r="AV33" i="12"/>
  <c r="AT33" i="12"/>
  <c r="AU33" i="12"/>
  <c r="AU36" i="12"/>
  <c r="AS30" i="12"/>
  <c r="AV30" i="12"/>
  <c r="AU30" i="12"/>
  <c r="AS33" i="12"/>
  <c r="AV35" i="12"/>
  <c r="AT13" i="12"/>
  <c r="AU13" i="12"/>
  <c r="AU15" i="12" s="1"/>
  <c r="AU17" i="12" s="1"/>
  <c r="AS6" i="10"/>
  <c r="AU6" i="10"/>
  <c r="J39" i="10"/>
  <c r="E41" i="10" s="1"/>
  <c r="AS15" i="27"/>
  <c r="AS17" i="27" s="1"/>
  <c r="AV20" i="27" s="1"/>
  <c r="J47" i="27" s="1"/>
  <c r="AT34" i="27" s="1"/>
  <c r="AS12" i="11"/>
  <c r="AU12" i="11"/>
  <c r="AV14" i="11"/>
  <c r="AS14" i="11" s="1"/>
  <c r="J42" i="11"/>
  <c r="AS29" i="11" s="1"/>
  <c r="AV13" i="11"/>
  <c r="AT13" i="11" s="1"/>
  <c r="AS36" i="24"/>
  <c r="AU35" i="24"/>
  <c r="AS30" i="24"/>
  <c r="AT30" i="24"/>
  <c r="AU36" i="24"/>
  <c r="AV30" i="24"/>
  <c r="AS33" i="24"/>
  <c r="AT36" i="24"/>
  <c r="AV33" i="24"/>
  <c r="AS35" i="24"/>
  <c r="AV36" i="24"/>
  <c r="AT35" i="24"/>
  <c r="AU30" i="24"/>
  <c r="AT33" i="24"/>
  <c r="AV35" i="24"/>
  <c r="AU33" i="24"/>
  <c r="AS31" i="20"/>
  <c r="AT31" i="20"/>
  <c r="AV31" i="20"/>
  <c r="AU31" i="20"/>
  <c r="D46" i="27"/>
  <c r="AS31" i="27"/>
  <c r="AU31" i="27"/>
  <c r="AV31" i="27"/>
  <c r="AT31" i="27"/>
  <c r="AV29" i="17"/>
  <c r="AS29" i="17"/>
  <c r="AU29" i="17"/>
  <c r="AT29" i="17"/>
  <c r="AU31" i="17"/>
  <c r="AV31" i="17"/>
  <c r="AS31" i="17"/>
  <c r="AT31" i="17"/>
  <c r="AT31" i="15"/>
  <c r="AU31" i="15"/>
  <c r="AS31" i="15"/>
  <c r="AV31" i="15"/>
  <c r="AS29" i="15"/>
  <c r="AT29" i="15"/>
  <c r="AV29" i="15"/>
  <c r="AU29" i="15"/>
  <c r="AV31" i="12"/>
  <c r="AS31" i="12"/>
  <c r="AS29" i="12"/>
  <c r="AV29" i="12"/>
  <c r="AT29" i="12"/>
  <c r="AU29" i="12"/>
  <c r="AU31" i="24"/>
  <c r="AV31" i="24"/>
  <c r="AT31" i="24"/>
  <c r="AS31" i="24"/>
  <c r="J42" i="24"/>
  <c r="D44" i="24" s="1"/>
  <c r="AU12" i="24"/>
  <c r="AS12" i="24"/>
  <c r="AS7" i="10"/>
  <c r="D45" i="27"/>
  <c r="AS14" i="24"/>
  <c r="AU14" i="24"/>
  <c r="AT14" i="24"/>
  <c r="AT15" i="24" s="1"/>
  <c r="AT17" i="24" s="1"/>
  <c r="AT15" i="18"/>
  <c r="AT17" i="18" s="1"/>
  <c r="AS15" i="18"/>
  <c r="AS17" i="18" s="1"/>
  <c r="AV20" i="18" s="1"/>
  <c r="AU7" i="10"/>
  <c r="AT7" i="10"/>
  <c r="AT9" i="10" s="1"/>
  <c r="AT11" i="10" s="1"/>
  <c r="AV28" i="10"/>
  <c r="AS28" i="10"/>
  <c r="AU28" i="10"/>
  <c r="AT28" i="10"/>
  <c r="AS14" i="20"/>
  <c r="AU14" i="20"/>
  <c r="AU15" i="20" s="1"/>
  <c r="AU17" i="20" s="1"/>
  <c r="AT14" i="20"/>
  <c r="AT15" i="15"/>
  <c r="AT17" i="15" s="1"/>
  <c r="AS12" i="20"/>
  <c r="AU15" i="18"/>
  <c r="AU17" i="18" s="1"/>
  <c r="AV20" i="26"/>
  <c r="AV19" i="26"/>
  <c r="AV18" i="26"/>
  <c r="AT12" i="20"/>
  <c r="J42" i="20"/>
  <c r="AS15" i="15"/>
  <c r="AS17" i="15" s="1"/>
  <c r="AV20" i="15" s="1"/>
  <c r="E45" i="24"/>
  <c r="D45" i="24"/>
  <c r="E46" i="24"/>
  <c r="D46" i="24"/>
  <c r="E46" i="20"/>
  <c r="D46" i="20"/>
  <c r="E45" i="20"/>
  <c r="D45" i="20"/>
  <c r="AU15" i="17"/>
  <c r="AU17" i="17" s="1"/>
  <c r="AS15" i="17"/>
  <c r="AS17" i="17" s="1"/>
  <c r="AT15" i="17"/>
  <c r="AT17" i="17" s="1"/>
  <c r="D45" i="17"/>
  <c r="E45" i="17"/>
  <c r="E44" i="17"/>
  <c r="D44" i="17"/>
  <c r="D46" i="17"/>
  <c r="E46" i="17"/>
  <c r="E45" i="15"/>
  <c r="D45" i="15"/>
  <c r="E44" i="15"/>
  <c r="D44" i="15"/>
  <c r="AU15" i="15"/>
  <c r="AU17" i="15" s="1"/>
  <c r="E46" i="15"/>
  <c r="D46" i="15"/>
  <c r="J44" i="13"/>
  <c r="AU14" i="13"/>
  <c r="AT14" i="13"/>
  <c r="AS14" i="13"/>
  <c r="J43" i="13"/>
  <c r="AU13" i="13"/>
  <c r="AS13" i="13"/>
  <c r="AT13" i="13"/>
  <c r="J42" i="13"/>
  <c r="AU12" i="13"/>
  <c r="AT12" i="13"/>
  <c r="AS12" i="13"/>
  <c r="D45" i="12"/>
  <c r="E45" i="12"/>
  <c r="D46" i="12"/>
  <c r="E46" i="12"/>
  <c r="E44" i="12"/>
  <c r="D44" i="12"/>
  <c r="D28" i="10"/>
  <c r="E42" i="10"/>
  <c r="D42" i="10"/>
  <c r="E43" i="10"/>
  <c r="D43" i="10"/>
  <c r="AS20" i="27" l="1"/>
  <c r="AV19" i="27"/>
  <c r="AT19" i="27" s="1"/>
  <c r="AU34" i="27"/>
  <c r="AU20" i="27"/>
  <c r="AS34" i="27"/>
  <c r="AV35" i="13"/>
  <c r="AS35" i="13"/>
  <c r="AT35" i="13"/>
  <c r="AU35" i="13"/>
  <c r="AS15" i="12"/>
  <c r="AS17" i="12" s="1"/>
  <c r="AU31" i="12"/>
  <c r="AT15" i="12"/>
  <c r="AT17" i="12" s="1"/>
  <c r="AS9" i="10"/>
  <c r="AS11" i="10" s="1"/>
  <c r="D41" i="10"/>
  <c r="AU9" i="10"/>
  <c r="AU11" i="10" s="1"/>
  <c r="AV12" i="10" s="1"/>
  <c r="AU12" i="10" s="1"/>
  <c r="D49" i="27"/>
  <c r="E49" i="27"/>
  <c r="AV34" i="27"/>
  <c r="AT20" i="27"/>
  <c r="AV18" i="27"/>
  <c r="AS18" i="27" s="1"/>
  <c r="AS13" i="11"/>
  <c r="AS15" i="11" s="1"/>
  <c r="AS17" i="11" s="1"/>
  <c r="J44" i="11"/>
  <c r="E46" i="11" s="1"/>
  <c r="AU29" i="11"/>
  <c r="AT29" i="11"/>
  <c r="AU14" i="11"/>
  <c r="AT14" i="11"/>
  <c r="AT15" i="11" s="1"/>
  <c r="AT17" i="11" s="1"/>
  <c r="D44" i="11"/>
  <c r="E44" i="11"/>
  <c r="J43" i="11"/>
  <c r="AU13" i="11"/>
  <c r="AV29" i="11"/>
  <c r="AU15" i="24"/>
  <c r="AU17" i="24" s="1"/>
  <c r="E44" i="20"/>
  <c r="AS29" i="20"/>
  <c r="AV29" i="20"/>
  <c r="AU29" i="20"/>
  <c r="AT29" i="20"/>
  <c r="AS31" i="11"/>
  <c r="E44" i="24"/>
  <c r="AS29" i="24"/>
  <c r="AU29" i="24"/>
  <c r="AV29" i="24"/>
  <c r="AT29" i="24"/>
  <c r="AV18" i="18"/>
  <c r="AU18" i="18" s="1"/>
  <c r="AS15" i="24"/>
  <c r="AS17" i="24" s="1"/>
  <c r="AV20" i="24" s="1"/>
  <c r="J47" i="24" s="1"/>
  <c r="AV19" i="18"/>
  <c r="AU19" i="18" s="1"/>
  <c r="AV18" i="15"/>
  <c r="AU18" i="15" s="1"/>
  <c r="AS15" i="20"/>
  <c r="AS17" i="20" s="1"/>
  <c r="AV20" i="20" s="1"/>
  <c r="J47" i="20" s="1"/>
  <c r="AT15" i="20"/>
  <c r="AT17" i="20" s="1"/>
  <c r="D46" i="11"/>
  <c r="D44" i="20"/>
  <c r="AV19" i="15"/>
  <c r="J46" i="15" s="1"/>
  <c r="J45" i="26"/>
  <c r="AT18" i="26"/>
  <c r="AU18" i="26"/>
  <c r="AS18" i="26"/>
  <c r="AU19" i="26"/>
  <c r="J46" i="26"/>
  <c r="AT19" i="26"/>
  <c r="AS19" i="26"/>
  <c r="J47" i="26"/>
  <c r="AU20" i="26"/>
  <c r="AT20" i="26"/>
  <c r="AS20" i="26"/>
  <c r="J47" i="18"/>
  <c r="AS20" i="18"/>
  <c r="AT20" i="18"/>
  <c r="AU20" i="18"/>
  <c r="AV18" i="17"/>
  <c r="AV20" i="17"/>
  <c r="AV19" i="17"/>
  <c r="J47" i="15"/>
  <c r="AT20" i="15"/>
  <c r="AS20" i="15"/>
  <c r="AU20" i="15"/>
  <c r="AS15" i="13"/>
  <c r="AS17" i="13" s="1"/>
  <c r="AV18" i="13" s="1"/>
  <c r="AT15" i="13"/>
  <c r="AT17" i="13" s="1"/>
  <c r="AU15" i="13"/>
  <c r="AU17" i="13" s="1"/>
  <c r="E44" i="13"/>
  <c r="D44" i="13"/>
  <c r="AU29" i="13"/>
  <c r="AT29" i="13"/>
  <c r="AV29" i="13"/>
  <c r="AS29" i="13"/>
  <c r="D45" i="13"/>
  <c r="E45" i="13"/>
  <c r="AS30" i="13"/>
  <c r="AU30" i="13"/>
  <c r="AU36" i="13"/>
  <c r="AV36" i="13"/>
  <c r="AT30" i="13"/>
  <c r="AT36" i="13"/>
  <c r="AS36" i="13"/>
  <c r="AV30" i="13"/>
  <c r="AS33" i="13"/>
  <c r="AV33" i="13"/>
  <c r="AT33" i="13"/>
  <c r="AU33" i="13"/>
  <c r="D46" i="13"/>
  <c r="E46" i="13"/>
  <c r="AS31" i="13"/>
  <c r="AV31" i="13"/>
  <c r="AT31" i="13"/>
  <c r="AU31" i="13"/>
  <c r="AV18" i="12"/>
  <c r="AV19" i="12"/>
  <c r="AV20" i="12"/>
  <c r="AS19" i="27" l="1"/>
  <c r="AS21" i="27" s="1"/>
  <c r="O100" i="27" s="1"/>
  <c r="AU19" i="27"/>
  <c r="AT18" i="27"/>
  <c r="AT21" i="27" s="1"/>
  <c r="P100" i="27" s="1"/>
  <c r="J45" i="27"/>
  <c r="AU32" i="27" s="1"/>
  <c r="J46" i="27"/>
  <c r="E48" i="27" s="1"/>
  <c r="AU18" i="27"/>
  <c r="AV31" i="11"/>
  <c r="AS12" i="10"/>
  <c r="AT12" i="10"/>
  <c r="J42" i="10"/>
  <c r="AS29" i="10" s="1"/>
  <c r="AV13" i="10"/>
  <c r="AU13" i="10" s="1"/>
  <c r="AV14" i="10"/>
  <c r="AU14" i="10" s="1"/>
  <c r="AU15" i="11"/>
  <c r="AU17" i="11" s="1"/>
  <c r="E45" i="11"/>
  <c r="AV36" i="11"/>
  <c r="AS30" i="11"/>
  <c r="AT30" i="11"/>
  <c r="AS35" i="11"/>
  <c r="AU30" i="11"/>
  <c r="AT36" i="11"/>
  <c r="AS36" i="11"/>
  <c r="AV30" i="11"/>
  <c r="AV35" i="11"/>
  <c r="AS33" i="11"/>
  <c r="AU33" i="11"/>
  <c r="AU35" i="11"/>
  <c r="AU36" i="11"/>
  <c r="AT33" i="11"/>
  <c r="AT35" i="11"/>
  <c r="AV33" i="11"/>
  <c r="AV20" i="11"/>
  <c r="J47" i="11" s="1"/>
  <c r="AV18" i="11"/>
  <c r="AU18" i="11" s="1"/>
  <c r="AU31" i="11"/>
  <c r="D45" i="11"/>
  <c r="AT31" i="11"/>
  <c r="AV19" i="11"/>
  <c r="AS19" i="11" s="1"/>
  <c r="AV18" i="24"/>
  <c r="J45" i="24" s="1"/>
  <c r="AS32" i="24" s="1"/>
  <c r="AT20" i="24"/>
  <c r="AU20" i="24"/>
  <c r="AV34" i="20"/>
  <c r="AT34" i="20"/>
  <c r="AU34" i="20"/>
  <c r="AS34" i="20"/>
  <c r="AU29" i="10"/>
  <c r="AV29" i="10"/>
  <c r="AT29" i="10"/>
  <c r="AS20" i="24"/>
  <c r="E47" i="27"/>
  <c r="AV34" i="26"/>
  <c r="AS34" i="26"/>
  <c r="AT34" i="26"/>
  <c r="AU34" i="26"/>
  <c r="AT32" i="26"/>
  <c r="AS32" i="26"/>
  <c r="AV32" i="26"/>
  <c r="AU32" i="26"/>
  <c r="AT34" i="18"/>
  <c r="AU34" i="18"/>
  <c r="AS34" i="18"/>
  <c r="AV34" i="18"/>
  <c r="AS34" i="15"/>
  <c r="AU34" i="15"/>
  <c r="AT34" i="15"/>
  <c r="AV34" i="15"/>
  <c r="AS34" i="24"/>
  <c r="AU34" i="24"/>
  <c r="AV34" i="24"/>
  <c r="AT34" i="24"/>
  <c r="AV19" i="24"/>
  <c r="AT19" i="24" s="1"/>
  <c r="J45" i="18"/>
  <c r="D47" i="18" s="1"/>
  <c r="AS18" i="18"/>
  <c r="AT18" i="18"/>
  <c r="AT18" i="15"/>
  <c r="AS19" i="18"/>
  <c r="J46" i="18"/>
  <c r="E48" i="18" s="1"/>
  <c r="AS18" i="15"/>
  <c r="J45" i="15"/>
  <c r="AT19" i="18"/>
  <c r="AS20" i="20"/>
  <c r="AT20" i="20"/>
  <c r="AU20" i="20"/>
  <c r="AV19" i="20"/>
  <c r="J46" i="20" s="1"/>
  <c r="D48" i="20" s="1"/>
  <c r="AV18" i="20"/>
  <c r="J45" i="20" s="1"/>
  <c r="AS19" i="15"/>
  <c r="AT19" i="15"/>
  <c r="AU19" i="15"/>
  <c r="AU21" i="15" s="1"/>
  <c r="Q100" i="15" s="1"/>
  <c r="AU21" i="26"/>
  <c r="Q100" i="26" s="1"/>
  <c r="D48" i="26"/>
  <c r="E48" i="26"/>
  <c r="AT21" i="26"/>
  <c r="P100" i="26" s="1"/>
  <c r="AS21" i="26"/>
  <c r="O100" i="26" s="1"/>
  <c r="E49" i="26"/>
  <c r="D49" i="26"/>
  <c r="D47" i="26"/>
  <c r="E47" i="26"/>
  <c r="E49" i="24"/>
  <c r="D49" i="24"/>
  <c r="E49" i="20"/>
  <c r="D49" i="20"/>
  <c r="AU21" i="18"/>
  <c r="Q100" i="18" s="1"/>
  <c r="E49" i="18"/>
  <c r="D49" i="18"/>
  <c r="J47" i="17"/>
  <c r="AT20" i="17"/>
  <c r="AS20" i="17"/>
  <c r="AU20" i="17"/>
  <c r="J45" i="17"/>
  <c r="AU18" i="17"/>
  <c r="AT18" i="17"/>
  <c r="AS18" i="17"/>
  <c r="J46" i="17"/>
  <c r="AT19" i="17"/>
  <c r="AS19" i="17"/>
  <c r="AU19" i="17"/>
  <c r="E49" i="15"/>
  <c r="D49" i="15"/>
  <c r="D48" i="15"/>
  <c r="E48" i="15"/>
  <c r="AV19" i="13"/>
  <c r="J46" i="13" s="1"/>
  <c r="AV20" i="13"/>
  <c r="J47" i="13" s="1"/>
  <c r="J45" i="13"/>
  <c r="AU18" i="13"/>
  <c r="AT18" i="13"/>
  <c r="AS18" i="13"/>
  <c r="J47" i="12"/>
  <c r="AS20" i="12"/>
  <c r="AU20" i="12"/>
  <c r="AT20" i="12"/>
  <c r="AS18" i="12"/>
  <c r="J45" i="12"/>
  <c r="AU18" i="12"/>
  <c r="AT18" i="12"/>
  <c r="J46" i="12"/>
  <c r="AU19" i="12"/>
  <c r="AT19" i="12"/>
  <c r="AS19" i="12"/>
  <c r="AU21" i="27" l="1"/>
  <c r="Q100" i="27" s="1"/>
  <c r="AT32" i="27"/>
  <c r="AV32" i="27"/>
  <c r="D48" i="27"/>
  <c r="AS32" i="27"/>
  <c r="D47" i="27"/>
  <c r="AS14" i="10"/>
  <c r="D44" i="10"/>
  <c r="E44" i="10"/>
  <c r="J45" i="11"/>
  <c r="AT32" i="11" s="1"/>
  <c r="J44" i="10"/>
  <c r="AU31" i="10" s="1"/>
  <c r="AU15" i="10"/>
  <c r="AU17" i="10" s="1"/>
  <c r="AT14" i="10"/>
  <c r="J43" i="10"/>
  <c r="AS30" i="10" s="1"/>
  <c r="AT13" i="10"/>
  <c r="AS13" i="10"/>
  <c r="E47" i="18"/>
  <c r="AV35" i="10"/>
  <c r="AT30" i="10"/>
  <c r="AV33" i="10"/>
  <c r="AS36" i="10"/>
  <c r="AU36" i="10"/>
  <c r="AS33" i="10"/>
  <c r="AU35" i="10"/>
  <c r="AU30" i="10"/>
  <c r="AT35" i="10"/>
  <c r="AT18" i="11"/>
  <c r="AU20" i="11"/>
  <c r="AT19" i="11"/>
  <c r="J46" i="11"/>
  <c r="E48" i="11" s="1"/>
  <c r="AU19" i="11"/>
  <c r="AT20" i="11"/>
  <c r="AS20" i="11"/>
  <c r="AS18" i="11"/>
  <c r="AU32" i="24"/>
  <c r="AT32" i="24"/>
  <c r="AV32" i="24"/>
  <c r="AU18" i="24"/>
  <c r="AS19" i="24"/>
  <c r="AT18" i="24"/>
  <c r="AT21" i="24" s="1"/>
  <c r="P100" i="24" s="1"/>
  <c r="AS18" i="24"/>
  <c r="E47" i="24"/>
  <c r="D47" i="24"/>
  <c r="E47" i="20"/>
  <c r="AV32" i="20"/>
  <c r="AT32" i="20"/>
  <c r="AS32" i="20"/>
  <c r="AU32" i="20"/>
  <c r="AU19" i="24"/>
  <c r="J46" i="24"/>
  <c r="D48" i="24" s="1"/>
  <c r="AU32" i="18"/>
  <c r="AT32" i="18"/>
  <c r="AS32" i="18"/>
  <c r="AV32" i="18"/>
  <c r="AS32" i="17"/>
  <c r="AT32" i="17"/>
  <c r="AV32" i="17"/>
  <c r="AU32" i="17"/>
  <c r="AS34" i="17"/>
  <c r="AU34" i="17"/>
  <c r="AV34" i="17"/>
  <c r="AT34" i="17"/>
  <c r="D47" i="15"/>
  <c r="AS32" i="15"/>
  <c r="AT32" i="15"/>
  <c r="AU32" i="15"/>
  <c r="AV32" i="15"/>
  <c r="AS32" i="12"/>
  <c r="AT32" i="12"/>
  <c r="AU32" i="12"/>
  <c r="AV32" i="12"/>
  <c r="AV34" i="12"/>
  <c r="AU34" i="12"/>
  <c r="AT34" i="12"/>
  <c r="AS34" i="12"/>
  <c r="AU34" i="11"/>
  <c r="AV34" i="11"/>
  <c r="AS34" i="11"/>
  <c r="AT34" i="11"/>
  <c r="AS32" i="11"/>
  <c r="AV32" i="11"/>
  <c r="AU32" i="11"/>
  <c r="AT21" i="18"/>
  <c r="P100" i="18" s="1"/>
  <c r="AS21" i="18"/>
  <c r="O100" i="18" s="1"/>
  <c r="D48" i="18"/>
  <c r="AT21" i="15"/>
  <c r="P100" i="15" s="1"/>
  <c r="AS21" i="15"/>
  <c r="O100" i="15" s="1"/>
  <c r="E47" i="15"/>
  <c r="AS19" i="20"/>
  <c r="D47" i="20"/>
  <c r="AU18" i="20"/>
  <c r="AU19" i="20"/>
  <c r="AT18" i="20"/>
  <c r="E48" i="20"/>
  <c r="AS18" i="20"/>
  <c r="AT19" i="20"/>
  <c r="AT21" i="12"/>
  <c r="P100" i="12" s="1"/>
  <c r="D45" i="10"/>
  <c r="AS20" i="13"/>
  <c r="AT19" i="13"/>
  <c r="AU21" i="17"/>
  <c r="Q100" i="17" s="1"/>
  <c r="AS21" i="17"/>
  <c r="O100" i="17" s="1"/>
  <c r="AT21" i="17"/>
  <c r="P100" i="17" s="1"/>
  <c r="D48" i="17"/>
  <c r="E48" i="17"/>
  <c r="E47" i="17"/>
  <c r="D47" i="17"/>
  <c r="D49" i="17"/>
  <c r="E49" i="17"/>
  <c r="AU19" i="13"/>
  <c r="AS19" i="13"/>
  <c r="AU20" i="13"/>
  <c r="AT20" i="13"/>
  <c r="E47" i="13"/>
  <c r="D47" i="13"/>
  <c r="AS32" i="13"/>
  <c r="AV32" i="13"/>
  <c r="AT32" i="13"/>
  <c r="AU32" i="13"/>
  <c r="D49" i="13"/>
  <c r="E49" i="13"/>
  <c r="AU34" i="13"/>
  <c r="AT34" i="13"/>
  <c r="AV34" i="13"/>
  <c r="AS34" i="13"/>
  <c r="D48" i="13"/>
  <c r="E48" i="13"/>
  <c r="AU21" i="12"/>
  <c r="Q100" i="12" s="1"/>
  <c r="E47" i="12"/>
  <c r="D47" i="12"/>
  <c r="E48" i="12"/>
  <c r="D48" i="12"/>
  <c r="AS21" i="12"/>
  <c r="O100" i="12" s="1"/>
  <c r="D49" i="12"/>
  <c r="E49" i="12"/>
  <c r="E49" i="11"/>
  <c r="D49" i="11"/>
  <c r="AS15" i="10" l="1"/>
  <c r="AS17" i="10" s="1"/>
  <c r="AV18" i="10" s="1"/>
  <c r="AT18" i="10" s="1"/>
  <c r="AV30" i="10"/>
  <c r="AT36" i="10"/>
  <c r="AT33" i="10"/>
  <c r="D46" i="10"/>
  <c r="AT31" i="10"/>
  <c r="AV31" i="10"/>
  <c r="E46" i="10"/>
  <c r="E45" i="10"/>
  <c r="AS31" i="10"/>
  <c r="AT15" i="10"/>
  <c r="AT17" i="10" s="1"/>
  <c r="AT21" i="11"/>
  <c r="P100" i="11" s="1"/>
  <c r="E47" i="11"/>
  <c r="D47" i="11"/>
  <c r="D48" i="11"/>
  <c r="AU21" i="11"/>
  <c r="Q100" i="11" s="1"/>
  <c r="AV36" i="10"/>
  <c r="AS35" i="10"/>
  <c r="AU33" i="10"/>
  <c r="AS21" i="11"/>
  <c r="O100" i="11" s="1"/>
  <c r="AU21" i="24"/>
  <c r="Q100" i="24" s="1"/>
  <c r="AS21" i="24"/>
  <c r="O100" i="24" s="1"/>
  <c r="E48" i="24"/>
  <c r="AS21" i="20"/>
  <c r="O100" i="20" s="1"/>
  <c r="AT21" i="13"/>
  <c r="P100" i="13" s="1"/>
  <c r="AS18" i="10"/>
  <c r="AV20" i="10"/>
  <c r="AU20" i="10" s="1"/>
  <c r="AT21" i="20"/>
  <c r="P100" i="20" s="1"/>
  <c r="AU21" i="20"/>
  <c r="Q100" i="20" s="1"/>
  <c r="AS21" i="13"/>
  <c r="O100" i="13" s="1"/>
  <c r="AU21" i="13"/>
  <c r="Q100" i="13" s="1"/>
  <c r="J45" i="10"/>
  <c r="AU18" i="10"/>
  <c r="AV19" i="10" l="1"/>
  <c r="J46" i="10" s="1"/>
  <c r="D48" i="10" s="1"/>
  <c r="E47" i="10"/>
  <c r="AS32" i="10"/>
  <c r="AT32" i="10"/>
  <c r="AU32" i="10"/>
  <c r="AV32" i="10"/>
  <c r="AT19" i="10"/>
  <c r="AT20" i="10"/>
  <c r="AS20" i="10"/>
  <c r="J47" i="10"/>
  <c r="E48" i="10"/>
  <c r="D47" i="10"/>
  <c r="AS19" i="10"/>
  <c r="AO179" i="8"/>
  <c r="AN179" i="8"/>
  <c r="AM179" i="8"/>
  <c r="AL179" i="8"/>
  <c r="AK179" i="8"/>
  <c r="AJ179" i="8"/>
  <c r="AI179" i="8"/>
  <c r="AH179" i="8"/>
  <c r="AG179" i="8"/>
  <c r="AF179" i="8"/>
  <c r="AE179" i="8"/>
  <c r="AD179" i="8"/>
  <c r="AC179" i="8"/>
  <c r="AB179" i="8"/>
  <c r="AA179" i="8"/>
  <c r="Z179" i="8"/>
  <c r="Y179" i="8"/>
  <c r="X179" i="8"/>
  <c r="W179" i="8"/>
  <c r="V179" i="8"/>
  <c r="AO178" i="8"/>
  <c r="AN178" i="8"/>
  <c r="AM178" i="8"/>
  <c r="AL178" i="8"/>
  <c r="AK178" i="8"/>
  <c r="AJ178" i="8"/>
  <c r="AI178" i="8"/>
  <c r="AH178" i="8"/>
  <c r="AG178" i="8"/>
  <c r="AF178" i="8"/>
  <c r="AE178" i="8"/>
  <c r="AD178" i="8"/>
  <c r="AC178" i="8"/>
  <c r="AB178" i="8"/>
  <c r="AA178" i="8"/>
  <c r="Z178" i="8"/>
  <c r="Y178" i="8"/>
  <c r="X178" i="8"/>
  <c r="W178" i="8"/>
  <c r="V178" i="8"/>
  <c r="AO177" i="8"/>
  <c r="AN177" i="8"/>
  <c r="AM177" i="8"/>
  <c r="AL177" i="8"/>
  <c r="AK177" i="8"/>
  <c r="AJ177" i="8"/>
  <c r="AI177" i="8"/>
  <c r="AH177" i="8"/>
  <c r="AG177" i="8"/>
  <c r="AF177" i="8"/>
  <c r="AE177" i="8"/>
  <c r="AD177" i="8"/>
  <c r="AC177" i="8"/>
  <c r="AB177" i="8"/>
  <c r="AA177" i="8"/>
  <c r="Z177" i="8"/>
  <c r="Y177" i="8"/>
  <c r="X177" i="8"/>
  <c r="W177" i="8"/>
  <c r="V177" i="8"/>
  <c r="AO176" i="8"/>
  <c r="AN176" i="8"/>
  <c r="AM176" i="8"/>
  <c r="AL176" i="8"/>
  <c r="AK176" i="8"/>
  <c r="AJ176" i="8"/>
  <c r="AI176" i="8"/>
  <c r="AH176" i="8"/>
  <c r="AG176" i="8"/>
  <c r="AF176" i="8"/>
  <c r="AE176" i="8"/>
  <c r="AD176" i="8"/>
  <c r="AC176" i="8"/>
  <c r="AB176" i="8"/>
  <c r="AA176" i="8"/>
  <c r="Z176" i="8"/>
  <c r="Y176" i="8"/>
  <c r="X176" i="8"/>
  <c r="W176" i="8"/>
  <c r="V176" i="8"/>
  <c r="AO175" i="8"/>
  <c r="AN175" i="8"/>
  <c r="AM175" i="8"/>
  <c r="AL175" i="8"/>
  <c r="AK175" i="8"/>
  <c r="AJ175" i="8"/>
  <c r="AI175" i="8"/>
  <c r="AH175" i="8"/>
  <c r="AG175" i="8"/>
  <c r="AF175" i="8"/>
  <c r="AE175" i="8"/>
  <c r="AD175" i="8"/>
  <c r="AC175" i="8"/>
  <c r="AB175" i="8"/>
  <c r="AA175" i="8"/>
  <c r="Z175" i="8"/>
  <c r="Y175" i="8"/>
  <c r="X175" i="8"/>
  <c r="W175" i="8"/>
  <c r="V175" i="8"/>
  <c r="AO174" i="8"/>
  <c r="AN174" i="8"/>
  <c r="AM174" i="8"/>
  <c r="AL174" i="8"/>
  <c r="AK174" i="8"/>
  <c r="AJ174" i="8"/>
  <c r="AI174" i="8"/>
  <c r="AH174" i="8"/>
  <c r="AG174" i="8"/>
  <c r="AF174" i="8"/>
  <c r="AE174" i="8"/>
  <c r="AD174" i="8"/>
  <c r="AC174" i="8"/>
  <c r="AB174" i="8"/>
  <c r="AA174" i="8"/>
  <c r="Z174" i="8"/>
  <c r="Y174" i="8"/>
  <c r="X174" i="8"/>
  <c r="W174" i="8"/>
  <c r="V174" i="8"/>
  <c r="AO173" i="8"/>
  <c r="AN173" i="8"/>
  <c r="AM173" i="8"/>
  <c r="AL173" i="8"/>
  <c r="AK173" i="8"/>
  <c r="AJ173" i="8"/>
  <c r="AI173" i="8"/>
  <c r="AH173" i="8"/>
  <c r="AG173" i="8"/>
  <c r="AF173" i="8"/>
  <c r="AE173" i="8"/>
  <c r="AD173" i="8"/>
  <c r="AC173" i="8"/>
  <c r="AB173" i="8"/>
  <c r="AA173" i="8"/>
  <c r="Z173" i="8"/>
  <c r="Y173" i="8"/>
  <c r="X173" i="8"/>
  <c r="W173" i="8"/>
  <c r="V173" i="8"/>
  <c r="AO172" i="8"/>
  <c r="AN172" i="8"/>
  <c r="AM172" i="8"/>
  <c r="AL172" i="8"/>
  <c r="AK172" i="8"/>
  <c r="AJ172" i="8"/>
  <c r="AI172" i="8"/>
  <c r="AH172" i="8"/>
  <c r="AG172" i="8"/>
  <c r="AF172" i="8"/>
  <c r="AE172" i="8"/>
  <c r="AD172" i="8"/>
  <c r="AC172" i="8"/>
  <c r="AB172" i="8"/>
  <c r="AA172" i="8"/>
  <c r="Z172" i="8"/>
  <c r="Y172" i="8"/>
  <c r="X172" i="8"/>
  <c r="W172" i="8"/>
  <c r="V172" i="8"/>
  <c r="AO171" i="8"/>
  <c r="AN171" i="8"/>
  <c r="AM171" i="8"/>
  <c r="AL171" i="8"/>
  <c r="AK171" i="8"/>
  <c r="AJ171" i="8"/>
  <c r="AI171" i="8"/>
  <c r="AH171" i="8"/>
  <c r="AG171" i="8"/>
  <c r="AF171" i="8"/>
  <c r="AE171" i="8"/>
  <c r="AD171" i="8"/>
  <c r="AC171" i="8"/>
  <c r="AB171" i="8"/>
  <c r="AA171" i="8"/>
  <c r="Z171" i="8"/>
  <c r="Y171" i="8"/>
  <c r="X171" i="8"/>
  <c r="W171" i="8"/>
  <c r="V171" i="8"/>
  <c r="AO170" i="8"/>
  <c r="AN170" i="8"/>
  <c r="AM170" i="8"/>
  <c r="AL170" i="8"/>
  <c r="AK170" i="8"/>
  <c r="AJ170" i="8"/>
  <c r="AI170" i="8"/>
  <c r="AH170" i="8"/>
  <c r="AG170" i="8"/>
  <c r="AF170" i="8"/>
  <c r="AE170" i="8"/>
  <c r="AD170" i="8"/>
  <c r="AC170" i="8"/>
  <c r="AB170" i="8"/>
  <c r="AA170" i="8"/>
  <c r="Z170" i="8"/>
  <c r="Y170" i="8"/>
  <c r="X170" i="8"/>
  <c r="W170" i="8"/>
  <c r="V170" i="8"/>
  <c r="AO169" i="8"/>
  <c r="AN169" i="8"/>
  <c r="AM169" i="8"/>
  <c r="AL169" i="8"/>
  <c r="AK169" i="8"/>
  <c r="AJ169" i="8"/>
  <c r="AI169" i="8"/>
  <c r="AH169" i="8"/>
  <c r="AG169" i="8"/>
  <c r="AF169" i="8"/>
  <c r="AE169" i="8"/>
  <c r="AD169" i="8"/>
  <c r="AC169" i="8"/>
  <c r="AB169" i="8"/>
  <c r="AA169" i="8"/>
  <c r="Z169" i="8"/>
  <c r="Y169" i="8"/>
  <c r="X169" i="8"/>
  <c r="W169" i="8"/>
  <c r="V169" i="8"/>
  <c r="AO168" i="8"/>
  <c r="AN168" i="8"/>
  <c r="AM168" i="8"/>
  <c r="AL168" i="8"/>
  <c r="X95" i="8" s="1"/>
  <c r="AK168" i="8"/>
  <c r="AJ168" i="8"/>
  <c r="AI168" i="8"/>
  <c r="AH168" i="8"/>
  <c r="AG168" i="8"/>
  <c r="AF168" i="8"/>
  <c r="AE168" i="8"/>
  <c r="AD168" i="8"/>
  <c r="AD95" i="8" s="1"/>
  <c r="AC168" i="8"/>
  <c r="AC95" i="8" s="1"/>
  <c r="AB168" i="8"/>
  <c r="AB95" i="8" s="1"/>
  <c r="AA168" i="8"/>
  <c r="Z168" i="8"/>
  <c r="Z95" i="8" s="1"/>
  <c r="Y168" i="8"/>
  <c r="Y95" i="8" s="1"/>
  <c r="X168" i="8"/>
  <c r="W168" i="8"/>
  <c r="W95" i="8" s="1"/>
  <c r="V168" i="8"/>
  <c r="V95" i="8" s="1"/>
  <c r="AO167" i="8"/>
  <c r="AN167" i="8"/>
  <c r="AM167" i="8"/>
  <c r="AL167" i="8"/>
  <c r="X94" i="8" s="1"/>
  <c r="AK167" i="8"/>
  <c r="AJ167" i="8"/>
  <c r="AI167" i="8"/>
  <c r="AH167" i="8"/>
  <c r="AG167" i="8"/>
  <c r="AF167" i="8"/>
  <c r="AE167" i="8"/>
  <c r="AD167" i="8"/>
  <c r="AD94" i="8" s="1"/>
  <c r="AC167" i="8"/>
  <c r="AC94" i="8" s="1"/>
  <c r="AB167" i="8"/>
  <c r="AB94" i="8" s="1"/>
  <c r="AA167" i="8"/>
  <c r="AA94" i="8" s="1"/>
  <c r="Z167" i="8"/>
  <c r="Z94" i="8" s="1"/>
  <c r="Y167" i="8"/>
  <c r="Y94" i="8" s="1"/>
  <c r="X167" i="8"/>
  <c r="W167" i="8"/>
  <c r="W94" i="8" s="1"/>
  <c r="V167" i="8"/>
  <c r="V94" i="8" s="1"/>
  <c r="AO166" i="8"/>
  <c r="AN166" i="8"/>
  <c r="AM166" i="8"/>
  <c r="AL166" i="8"/>
  <c r="X93" i="8" s="1"/>
  <c r="AK166" i="8"/>
  <c r="AJ166" i="8"/>
  <c r="AI166" i="8"/>
  <c r="AH166" i="8"/>
  <c r="AG166" i="8"/>
  <c r="AF166" i="8"/>
  <c r="AE166" i="8"/>
  <c r="AD166" i="8"/>
  <c r="AD93" i="8" s="1"/>
  <c r="AC166" i="8"/>
  <c r="AC93" i="8" s="1"/>
  <c r="AB166" i="8"/>
  <c r="AB93" i="8" s="1"/>
  <c r="AA166" i="8"/>
  <c r="AA93" i="8" s="1"/>
  <c r="Z166" i="8"/>
  <c r="Z93" i="8" s="1"/>
  <c r="Y166" i="8"/>
  <c r="X166" i="8"/>
  <c r="W166" i="8"/>
  <c r="W93" i="8" s="1"/>
  <c r="V166" i="8"/>
  <c r="AO165" i="8"/>
  <c r="AN165" i="8"/>
  <c r="AM165" i="8"/>
  <c r="AL165" i="8"/>
  <c r="X92" i="8" s="1"/>
  <c r="AK165" i="8"/>
  <c r="AJ165" i="8"/>
  <c r="AI165" i="8"/>
  <c r="AH165" i="8"/>
  <c r="AG165" i="8"/>
  <c r="AF165" i="8"/>
  <c r="AE165" i="8"/>
  <c r="AD165" i="8"/>
  <c r="AD92" i="8" s="1"/>
  <c r="AC165" i="8"/>
  <c r="AB165" i="8"/>
  <c r="AB92" i="8" s="1"/>
  <c r="AA165" i="8"/>
  <c r="AA92" i="8" s="1"/>
  <c r="Z165" i="8"/>
  <c r="Z92" i="8" s="1"/>
  <c r="Y165" i="8"/>
  <c r="Y92" i="8" s="1"/>
  <c r="X165" i="8"/>
  <c r="W165" i="8"/>
  <c r="W92" i="8" s="1"/>
  <c r="V165" i="8"/>
  <c r="V92" i="8" s="1"/>
  <c r="AO164" i="8"/>
  <c r="AN164" i="8"/>
  <c r="AM164" i="8"/>
  <c r="AL164" i="8"/>
  <c r="X91" i="8" s="1"/>
  <c r="AK164" i="8"/>
  <c r="AJ164" i="8"/>
  <c r="AI164" i="8"/>
  <c r="AH164" i="8"/>
  <c r="AG164" i="8"/>
  <c r="AF164" i="8"/>
  <c r="AE164" i="8"/>
  <c r="AD164" i="8"/>
  <c r="AD91" i="8" s="1"/>
  <c r="AC164" i="8"/>
  <c r="AC91" i="8" s="1"/>
  <c r="AB164" i="8"/>
  <c r="AB91" i="8" s="1"/>
  <c r="AA164" i="8"/>
  <c r="AA91" i="8" s="1"/>
  <c r="Z164" i="8"/>
  <c r="Z91" i="8" s="1"/>
  <c r="Y164" i="8"/>
  <c r="Y91" i="8" s="1"/>
  <c r="X164" i="8"/>
  <c r="W164" i="8"/>
  <c r="W91" i="8" s="1"/>
  <c r="V164" i="8"/>
  <c r="V91" i="8" s="1"/>
  <c r="AO163" i="8"/>
  <c r="AN163" i="8"/>
  <c r="AM163" i="8"/>
  <c r="AL163" i="8"/>
  <c r="X90" i="8" s="1"/>
  <c r="AK163" i="8"/>
  <c r="AJ163" i="8"/>
  <c r="AI163" i="8"/>
  <c r="AH163" i="8"/>
  <c r="AG163" i="8"/>
  <c r="AF163" i="8"/>
  <c r="AE163" i="8"/>
  <c r="AD163" i="8"/>
  <c r="AD90" i="8" s="1"/>
  <c r="AC163" i="8"/>
  <c r="AC90" i="8" s="1"/>
  <c r="AB163" i="8"/>
  <c r="AB90" i="8" s="1"/>
  <c r="AA163" i="8"/>
  <c r="AA90" i="8" s="1"/>
  <c r="Z163" i="8"/>
  <c r="Z90" i="8" s="1"/>
  <c r="Y163" i="8"/>
  <c r="Y90" i="8" s="1"/>
  <c r="X163" i="8"/>
  <c r="W163" i="8"/>
  <c r="W90" i="8" s="1"/>
  <c r="V163" i="8"/>
  <c r="V90" i="8" s="1"/>
  <c r="AO162" i="8"/>
  <c r="AN162" i="8"/>
  <c r="AM162" i="8"/>
  <c r="AL162" i="8"/>
  <c r="X89" i="8" s="1"/>
  <c r="AK162" i="8"/>
  <c r="AJ162" i="8"/>
  <c r="AI162" i="8"/>
  <c r="AH162" i="8"/>
  <c r="AG162" i="8"/>
  <c r="AF162" i="8"/>
  <c r="AE162" i="8"/>
  <c r="AD162" i="8"/>
  <c r="AD89" i="8" s="1"/>
  <c r="AC162" i="8"/>
  <c r="AC89" i="8" s="1"/>
  <c r="AB162" i="8"/>
  <c r="AB89" i="8" s="1"/>
  <c r="AA162" i="8"/>
  <c r="AA89" i="8" s="1"/>
  <c r="Z162" i="8"/>
  <c r="Z89" i="8" s="1"/>
  <c r="Y162" i="8"/>
  <c r="Y89" i="8" s="1"/>
  <c r="X162" i="8"/>
  <c r="W162" i="8"/>
  <c r="W89" i="8" s="1"/>
  <c r="V162" i="8"/>
  <c r="V89" i="8" s="1"/>
  <c r="AO161" i="8"/>
  <c r="AN161" i="8"/>
  <c r="AM161" i="8"/>
  <c r="AL161" i="8"/>
  <c r="X88" i="8" s="1"/>
  <c r="AK161" i="8"/>
  <c r="AJ161" i="8"/>
  <c r="AI161" i="8"/>
  <c r="AH161" i="8"/>
  <c r="AG161" i="8"/>
  <c r="AF161" i="8"/>
  <c r="AE161" i="8"/>
  <c r="AD161" i="8"/>
  <c r="AD88" i="8" s="1"/>
  <c r="AC161" i="8"/>
  <c r="AC88" i="8" s="1"/>
  <c r="AB161" i="8"/>
  <c r="AB88" i="8" s="1"/>
  <c r="AA161" i="8"/>
  <c r="AA88" i="8" s="1"/>
  <c r="Z161" i="8"/>
  <c r="Z88" i="8" s="1"/>
  <c r="Y161" i="8"/>
  <c r="X161" i="8"/>
  <c r="W161" i="8"/>
  <c r="W88" i="8" s="1"/>
  <c r="V161" i="8"/>
  <c r="V88" i="8" s="1"/>
  <c r="AO160" i="8"/>
  <c r="AN160" i="8"/>
  <c r="AM160" i="8"/>
  <c r="AL160" i="8"/>
  <c r="X87" i="8" s="1"/>
  <c r="AK160" i="8"/>
  <c r="AJ160" i="8"/>
  <c r="AI160" i="8"/>
  <c r="AH160" i="8"/>
  <c r="AG160" i="8"/>
  <c r="AF160" i="8"/>
  <c r="AE160" i="8"/>
  <c r="AD160" i="8"/>
  <c r="AD87" i="8" s="1"/>
  <c r="AC160" i="8"/>
  <c r="AC87" i="8" s="1"/>
  <c r="AB160" i="8"/>
  <c r="AB87" i="8" s="1"/>
  <c r="AA160" i="8"/>
  <c r="AA87" i="8" s="1"/>
  <c r="Z160" i="8"/>
  <c r="Z87" i="8" s="1"/>
  <c r="Y160" i="8"/>
  <c r="Y87" i="8" s="1"/>
  <c r="X160" i="8"/>
  <c r="W160" i="8"/>
  <c r="W87" i="8" s="1"/>
  <c r="V160" i="8"/>
  <c r="V87" i="8" s="1"/>
  <c r="AO159" i="8"/>
  <c r="AN159" i="8"/>
  <c r="AM159" i="8"/>
  <c r="AL159" i="8"/>
  <c r="AK159" i="8"/>
  <c r="AJ159" i="8"/>
  <c r="AI159" i="8"/>
  <c r="AH159" i="8"/>
  <c r="AG159" i="8"/>
  <c r="AF159" i="8"/>
  <c r="AE159" i="8"/>
  <c r="AD159" i="8"/>
  <c r="AC159" i="8"/>
  <c r="AB159" i="8"/>
  <c r="AA159" i="8"/>
  <c r="Z159" i="8"/>
  <c r="Y159" i="8"/>
  <c r="X159" i="8"/>
  <c r="W159" i="8"/>
  <c r="V159" i="8"/>
  <c r="AO158" i="8"/>
  <c r="AN158" i="8"/>
  <c r="AM158" i="8"/>
  <c r="AL158" i="8"/>
  <c r="AK158" i="8"/>
  <c r="AJ158" i="8"/>
  <c r="AI158" i="8"/>
  <c r="AH158" i="8"/>
  <c r="AG158" i="8"/>
  <c r="AF158" i="8"/>
  <c r="AE158" i="8"/>
  <c r="AD158" i="8"/>
  <c r="AC158" i="8"/>
  <c r="AB158" i="8"/>
  <c r="AA158" i="8"/>
  <c r="Z158" i="8"/>
  <c r="Y158" i="8"/>
  <c r="X158" i="8"/>
  <c r="W158" i="8"/>
  <c r="V158" i="8"/>
  <c r="AO157" i="8"/>
  <c r="AN157" i="8"/>
  <c r="AM157" i="8"/>
  <c r="AL157" i="8"/>
  <c r="AK157" i="8"/>
  <c r="AJ157" i="8"/>
  <c r="AI157" i="8"/>
  <c r="AH157" i="8"/>
  <c r="AG157" i="8"/>
  <c r="AF157" i="8"/>
  <c r="AE157" i="8"/>
  <c r="AD157" i="8"/>
  <c r="AC157" i="8"/>
  <c r="AB157" i="8"/>
  <c r="AA157" i="8"/>
  <c r="Z157" i="8"/>
  <c r="Y157" i="8"/>
  <c r="X157" i="8"/>
  <c r="W157" i="8"/>
  <c r="V157" i="8"/>
  <c r="AO156" i="8"/>
  <c r="AN156" i="8"/>
  <c r="AM156" i="8"/>
  <c r="AL156" i="8"/>
  <c r="AK156" i="8"/>
  <c r="AJ156" i="8"/>
  <c r="AI156" i="8"/>
  <c r="AH156" i="8"/>
  <c r="AG156" i="8"/>
  <c r="AF156" i="8"/>
  <c r="AE156" i="8"/>
  <c r="AD156" i="8"/>
  <c r="AC156" i="8"/>
  <c r="AB156" i="8"/>
  <c r="AA156" i="8"/>
  <c r="Z156" i="8"/>
  <c r="Y156" i="8"/>
  <c r="X156" i="8"/>
  <c r="W156" i="8"/>
  <c r="V156" i="8"/>
  <c r="AO155" i="8"/>
  <c r="AN155" i="8"/>
  <c r="AM155" i="8"/>
  <c r="AL155" i="8"/>
  <c r="AK155" i="8"/>
  <c r="AJ155" i="8"/>
  <c r="AI155" i="8"/>
  <c r="AH155" i="8"/>
  <c r="AG155" i="8"/>
  <c r="AF155" i="8"/>
  <c r="AE155" i="8"/>
  <c r="AD155" i="8"/>
  <c r="AC155" i="8"/>
  <c r="AB155" i="8"/>
  <c r="AA155" i="8"/>
  <c r="Z155" i="8"/>
  <c r="Y155" i="8"/>
  <c r="X155" i="8"/>
  <c r="W155" i="8"/>
  <c r="V155" i="8"/>
  <c r="AO154" i="8"/>
  <c r="AN154" i="8"/>
  <c r="AM154" i="8"/>
  <c r="AL154" i="8"/>
  <c r="AK154" i="8"/>
  <c r="AJ154" i="8"/>
  <c r="AI154" i="8"/>
  <c r="AH154" i="8"/>
  <c r="AG154" i="8"/>
  <c r="AF154" i="8"/>
  <c r="AE154" i="8"/>
  <c r="AD154" i="8"/>
  <c r="AC154" i="8"/>
  <c r="AB154" i="8"/>
  <c r="AA154" i="8"/>
  <c r="Z154" i="8"/>
  <c r="Y154" i="8"/>
  <c r="X154" i="8"/>
  <c r="W154" i="8"/>
  <c r="V154" i="8"/>
  <c r="AO153" i="8"/>
  <c r="AN153" i="8"/>
  <c r="AM153" i="8"/>
  <c r="AL153" i="8"/>
  <c r="AK153" i="8"/>
  <c r="AJ153" i="8"/>
  <c r="AI153" i="8"/>
  <c r="AH153" i="8"/>
  <c r="AG153" i="8"/>
  <c r="AF153" i="8"/>
  <c r="AE153" i="8"/>
  <c r="AD153" i="8"/>
  <c r="AC153" i="8"/>
  <c r="AB153" i="8"/>
  <c r="AA153" i="8"/>
  <c r="Z153" i="8"/>
  <c r="Y153" i="8"/>
  <c r="X153" i="8"/>
  <c r="W153" i="8"/>
  <c r="V153" i="8"/>
  <c r="AO152" i="8"/>
  <c r="AN152" i="8"/>
  <c r="AM152" i="8"/>
  <c r="AL152" i="8"/>
  <c r="AK152" i="8"/>
  <c r="AJ152" i="8"/>
  <c r="AI152" i="8"/>
  <c r="AH152" i="8"/>
  <c r="AG152" i="8"/>
  <c r="AF152" i="8"/>
  <c r="AE152" i="8"/>
  <c r="AD152" i="8"/>
  <c r="AC152" i="8"/>
  <c r="AB152" i="8"/>
  <c r="AA152" i="8"/>
  <c r="Z152" i="8"/>
  <c r="Y152" i="8"/>
  <c r="X152" i="8"/>
  <c r="W152" i="8"/>
  <c r="V152" i="8"/>
  <c r="AO151" i="8"/>
  <c r="AN151" i="8"/>
  <c r="AM151" i="8"/>
  <c r="AL151" i="8"/>
  <c r="AK151" i="8"/>
  <c r="AJ151" i="8"/>
  <c r="AI151" i="8"/>
  <c r="AH151" i="8"/>
  <c r="AG151" i="8"/>
  <c r="AF151" i="8"/>
  <c r="AE151" i="8"/>
  <c r="AD151" i="8"/>
  <c r="AC151" i="8"/>
  <c r="AB151" i="8"/>
  <c r="AA151" i="8"/>
  <c r="Z151" i="8"/>
  <c r="Y151" i="8"/>
  <c r="X151" i="8"/>
  <c r="W151" i="8"/>
  <c r="V151" i="8"/>
  <c r="AO150" i="8"/>
  <c r="AN150" i="8"/>
  <c r="AM150" i="8"/>
  <c r="AL150" i="8"/>
  <c r="AK150" i="8"/>
  <c r="AJ150" i="8"/>
  <c r="AI150" i="8"/>
  <c r="AH150" i="8"/>
  <c r="AG150" i="8"/>
  <c r="AF150" i="8"/>
  <c r="AE150" i="8"/>
  <c r="AD150" i="8"/>
  <c r="AC150" i="8"/>
  <c r="AB150" i="8"/>
  <c r="AA150" i="8"/>
  <c r="Z150" i="8"/>
  <c r="Y150" i="8"/>
  <c r="X150" i="8"/>
  <c r="W150" i="8"/>
  <c r="V150" i="8"/>
  <c r="AO149" i="8"/>
  <c r="AN149" i="8"/>
  <c r="AM149" i="8"/>
  <c r="AL149" i="8"/>
  <c r="AK149" i="8"/>
  <c r="AJ149" i="8"/>
  <c r="AI149" i="8"/>
  <c r="AH149" i="8"/>
  <c r="AG149" i="8"/>
  <c r="AF149" i="8"/>
  <c r="AE149" i="8"/>
  <c r="AD149" i="8"/>
  <c r="AC149" i="8"/>
  <c r="AB149" i="8"/>
  <c r="AA149" i="8"/>
  <c r="Z149" i="8"/>
  <c r="Y149" i="8"/>
  <c r="X149" i="8"/>
  <c r="W149" i="8"/>
  <c r="V149" i="8"/>
  <c r="AO148" i="8"/>
  <c r="AN148" i="8"/>
  <c r="AM148" i="8"/>
  <c r="AL148" i="8"/>
  <c r="AK148" i="8"/>
  <c r="AJ148" i="8"/>
  <c r="AI148" i="8"/>
  <c r="AH148" i="8"/>
  <c r="AG148" i="8"/>
  <c r="AF148" i="8"/>
  <c r="AE148" i="8"/>
  <c r="AD148" i="8"/>
  <c r="AC148" i="8"/>
  <c r="AB148" i="8"/>
  <c r="AA148" i="8"/>
  <c r="Z148" i="8"/>
  <c r="Y148" i="8"/>
  <c r="X148" i="8"/>
  <c r="W148" i="8"/>
  <c r="V148" i="8"/>
  <c r="AO147" i="8"/>
  <c r="AN147" i="8"/>
  <c r="AM147" i="8"/>
  <c r="AL147" i="8"/>
  <c r="AK147" i="8"/>
  <c r="AJ147" i="8"/>
  <c r="AI147" i="8"/>
  <c r="AH147" i="8"/>
  <c r="AG147" i="8"/>
  <c r="AF147" i="8"/>
  <c r="AE147" i="8"/>
  <c r="AD147" i="8"/>
  <c r="AC147" i="8"/>
  <c r="AB147" i="8"/>
  <c r="AA147" i="8"/>
  <c r="Z147" i="8"/>
  <c r="Y147" i="8"/>
  <c r="X147" i="8"/>
  <c r="W147" i="8"/>
  <c r="V147" i="8"/>
  <c r="AO146" i="8"/>
  <c r="AN146" i="8"/>
  <c r="AM146" i="8"/>
  <c r="AL146" i="8"/>
  <c r="AK146" i="8"/>
  <c r="AJ146" i="8"/>
  <c r="AI146" i="8"/>
  <c r="AH146" i="8"/>
  <c r="AG146" i="8"/>
  <c r="AF146" i="8"/>
  <c r="AE146" i="8"/>
  <c r="AD146" i="8"/>
  <c r="AC146" i="8"/>
  <c r="AB146" i="8"/>
  <c r="AA146" i="8"/>
  <c r="Z146" i="8"/>
  <c r="Y146" i="8"/>
  <c r="X146" i="8"/>
  <c r="W146" i="8"/>
  <c r="V146" i="8"/>
  <c r="AO145" i="8"/>
  <c r="AN145" i="8"/>
  <c r="AM145" i="8"/>
  <c r="AL145" i="8"/>
  <c r="AK145" i="8"/>
  <c r="AJ145" i="8"/>
  <c r="AI145" i="8"/>
  <c r="AH145" i="8"/>
  <c r="AG145" i="8"/>
  <c r="AF145" i="8"/>
  <c r="AE145" i="8"/>
  <c r="AD145" i="8"/>
  <c r="AC145" i="8"/>
  <c r="AB145" i="8"/>
  <c r="AA145" i="8"/>
  <c r="Z145" i="8"/>
  <c r="Y145" i="8"/>
  <c r="X145" i="8"/>
  <c r="W145" i="8"/>
  <c r="V145" i="8"/>
  <c r="AO144" i="8"/>
  <c r="AN144" i="8"/>
  <c r="AM144" i="8"/>
  <c r="AL144" i="8"/>
  <c r="AK144" i="8"/>
  <c r="AJ144" i="8"/>
  <c r="AI144" i="8"/>
  <c r="AH144" i="8"/>
  <c r="AG144" i="8"/>
  <c r="AF144" i="8"/>
  <c r="AE144" i="8"/>
  <c r="AD144" i="8"/>
  <c r="AC144" i="8"/>
  <c r="AB144" i="8"/>
  <c r="AA144" i="8"/>
  <c r="Z144" i="8"/>
  <c r="Y144" i="8"/>
  <c r="X144" i="8"/>
  <c r="W144" i="8"/>
  <c r="V144" i="8"/>
  <c r="AO143" i="8"/>
  <c r="AN143" i="8"/>
  <c r="AM143" i="8"/>
  <c r="AL143" i="8"/>
  <c r="AK143" i="8"/>
  <c r="AJ143" i="8"/>
  <c r="AI143" i="8"/>
  <c r="AH143" i="8"/>
  <c r="AG143" i="8"/>
  <c r="AF143" i="8"/>
  <c r="AE143" i="8"/>
  <c r="AD143" i="8"/>
  <c r="AC143" i="8"/>
  <c r="AB143" i="8"/>
  <c r="AA143" i="8"/>
  <c r="Z143" i="8"/>
  <c r="Y143" i="8"/>
  <c r="X143" i="8"/>
  <c r="W143" i="8"/>
  <c r="V143" i="8"/>
  <c r="AO142" i="8"/>
  <c r="AN142" i="8"/>
  <c r="AM142" i="8"/>
  <c r="AL142" i="8"/>
  <c r="AK142" i="8"/>
  <c r="AJ142" i="8"/>
  <c r="AI142" i="8"/>
  <c r="AH142" i="8"/>
  <c r="AG142" i="8"/>
  <c r="AF142" i="8"/>
  <c r="AE142" i="8"/>
  <c r="AD142" i="8"/>
  <c r="AC142" i="8"/>
  <c r="AB142" i="8"/>
  <c r="AA142" i="8"/>
  <c r="Z142" i="8"/>
  <c r="Y142" i="8"/>
  <c r="X142" i="8"/>
  <c r="W142" i="8"/>
  <c r="V142" i="8"/>
  <c r="AO141" i="8"/>
  <c r="AN141" i="8"/>
  <c r="AM141" i="8"/>
  <c r="AL141" i="8"/>
  <c r="AK141" i="8"/>
  <c r="AJ141" i="8"/>
  <c r="AI141" i="8"/>
  <c r="AH141" i="8"/>
  <c r="AG141" i="8"/>
  <c r="AF141" i="8"/>
  <c r="AE141" i="8"/>
  <c r="AD141" i="8"/>
  <c r="AC141" i="8"/>
  <c r="AB141" i="8"/>
  <c r="AA141" i="8"/>
  <c r="Z141" i="8"/>
  <c r="Y141" i="8"/>
  <c r="X141" i="8"/>
  <c r="W141" i="8"/>
  <c r="V141" i="8"/>
  <c r="AO140" i="8"/>
  <c r="AN140" i="8"/>
  <c r="AM140" i="8"/>
  <c r="AL140" i="8"/>
  <c r="AK140" i="8"/>
  <c r="AJ140" i="8"/>
  <c r="AI140" i="8"/>
  <c r="AH140" i="8"/>
  <c r="AG140" i="8"/>
  <c r="AF140" i="8"/>
  <c r="AE140" i="8"/>
  <c r="AD140" i="8"/>
  <c r="AC140" i="8"/>
  <c r="AB140" i="8"/>
  <c r="AA140" i="8"/>
  <c r="Z140" i="8"/>
  <c r="Y140" i="8"/>
  <c r="X140" i="8"/>
  <c r="W140" i="8"/>
  <c r="V140" i="8"/>
  <c r="AO139" i="8"/>
  <c r="AN139" i="8"/>
  <c r="AM139" i="8"/>
  <c r="AL139" i="8"/>
  <c r="AK139" i="8"/>
  <c r="AJ139" i="8"/>
  <c r="AI139" i="8"/>
  <c r="AH139" i="8"/>
  <c r="AG139" i="8"/>
  <c r="AF139" i="8"/>
  <c r="AE139" i="8"/>
  <c r="AD139" i="8"/>
  <c r="AC139" i="8"/>
  <c r="AB139" i="8"/>
  <c r="AA139" i="8"/>
  <c r="Z139" i="8"/>
  <c r="Y139" i="8"/>
  <c r="X139" i="8"/>
  <c r="W139" i="8"/>
  <c r="V139" i="8"/>
  <c r="AO138" i="8"/>
  <c r="AN138" i="8"/>
  <c r="AM138" i="8"/>
  <c r="AL138" i="8"/>
  <c r="AK138" i="8"/>
  <c r="AJ138" i="8"/>
  <c r="AI138" i="8"/>
  <c r="AH138" i="8"/>
  <c r="AG138" i="8"/>
  <c r="AF138" i="8"/>
  <c r="AE138" i="8"/>
  <c r="AD138" i="8"/>
  <c r="AC138" i="8"/>
  <c r="AB138" i="8"/>
  <c r="AA138" i="8"/>
  <c r="Z138" i="8"/>
  <c r="Y138" i="8"/>
  <c r="X138" i="8"/>
  <c r="W138" i="8"/>
  <c r="V138" i="8"/>
  <c r="AO137" i="8"/>
  <c r="AN137" i="8"/>
  <c r="AM137" i="8"/>
  <c r="AL137" i="8"/>
  <c r="AK137" i="8"/>
  <c r="AJ137" i="8"/>
  <c r="AI137" i="8"/>
  <c r="AH137" i="8"/>
  <c r="AG137" i="8"/>
  <c r="AF137" i="8"/>
  <c r="AE137" i="8"/>
  <c r="AD137" i="8"/>
  <c r="AC137" i="8"/>
  <c r="AB137" i="8"/>
  <c r="AA137" i="8"/>
  <c r="Z137" i="8"/>
  <c r="Y137" i="8"/>
  <c r="X137" i="8"/>
  <c r="W137" i="8"/>
  <c r="V137" i="8"/>
  <c r="AO136" i="8"/>
  <c r="AN136" i="8"/>
  <c r="AM136" i="8"/>
  <c r="AL136" i="8"/>
  <c r="AK136" i="8"/>
  <c r="AJ136" i="8"/>
  <c r="AI136" i="8"/>
  <c r="AH136" i="8"/>
  <c r="AG136" i="8"/>
  <c r="AF136" i="8"/>
  <c r="AE136" i="8"/>
  <c r="AD136" i="8"/>
  <c r="AC136" i="8"/>
  <c r="AB136" i="8"/>
  <c r="AA136" i="8"/>
  <c r="Z136" i="8"/>
  <c r="Y136" i="8"/>
  <c r="X136" i="8"/>
  <c r="W136" i="8"/>
  <c r="V136" i="8"/>
  <c r="AO135" i="8"/>
  <c r="AN135" i="8"/>
  <c r="AM135" i="8"/>
  <c r="AL135" i="8"/>
  <c r="AK135" i="8"/>
  <c r="AJ135" i="8"/>
  <c r="AI135" i="8"/>
  <c r="AH135" i="8"/>
  <c r="AG135" i="8"/>
  <c r="AF135" i="8"/>
  <c r="AE135" i="8"/>
  <c r="AD135" i="8"/>
  <c r="AC135" i="8"/>
  <c r="AB135" i="8"/>
  <c r="AA135" i="8"/>
  <c r="Z135" i="8"/>
  <c r="Y135" i="8"/>
  <c r="X135" i="8"/>
  <c r="W135" i="8"/>
  <c r="V135" i="8"/>
  <c r="AO134" i="8"/>
  <c r="AN134" i="8"/>
  <c r="AM134" i="8"/>
  <c r="AL134" i="8"/>
  <c r="AK134" i="8"/>
  <c r="AJ134" i="8"/>
  <c r="AI134" i="8"/>
  <c r="AH134" i="8"/>
  <c r="AG134" i="8"/>
  <c r="AF134" i="8"/>
  <c r="AE134" i="8"/>
  <c r="AD134" i="8"/>
  <c r="AC134" i="8"/>
  <c r="AB134" i="8"/>
  <c r="AA134" i="8"/>
  <c r="Z134" i="8"/>
  <c r="Y134" i="8"/>
  <c r="X134" i="8"/>
  <c r="W134" i="8"/>
  <c r="V134" i="8"/>
  <c r="AO133" i="8"/>
  <c r="AN133" i="8"/>
  <c r="AM133" i="8"/>
  <c r="AL133" i="8"/>
  <c r="AK133" i="8"/>
  <c r="AJ133" i="8"/>
  <c r="AI133" i="8"/>
  <c r="AH133" i="8"/>
  <c r="AG133" i="8"/>
  <c r="AF133" i="8"/>
  <c r="AE133" i="8"/>
  <c r="AD133" i="8"/>
  <c r="AC133" i="8"/>
  <c r="AB133" i="8"/>
  <c r="AA133" i="8"/>
  <c r="Z133" i="8"/>
  <c r="Y133" i="8"/>
  <c r="X133" i="8"/>
  <c r="W133" i="8"/>
  <c r="V133" i="8"/>
  <c r="AO132" i="8"/>
  <c r="AN132" i="8"/>
  <c r="AM132" i="8"/>
  <c r="AL132" i="8"/>
  <c r="AK132" i="8"/>
  <c r="AJ132" i="8"/>
  <c r="AI132" i="8"/>
  <c r="AH132" i="8"/>
  <c r="AG132" i="8"/>
  <c r="AF132" i="8"/>
  <c r="AE132" i="8"/>
  <c r="AD132" i="8"/>
  <c r="AC132" i="8"/>
  <c r="AB132" i="8"/>
  <c r="AA132" i="8"/>
  <c r="Z132" i="8"/>
  <c r="Y132" i="8"/>
  <c r="X132" i="8"/>
  <c r="W132" i="8"/>
  <c r="V132" i="8"/>
  <c r="AO131" i="8"/>
  <c r="AN131" i="8"/>
  <c r="AM131" i="8"/>
  <c r="AL131" i="8"/>
  <c r="AK131" i="8"/>
  <c r="AJ131" i="8"/>
  <c r="AI131" i="8"/>
  <c r="AH131" i="8"/>
  <c r="AG131" i="8"/>
  <c r="AF131" i="8"/>
  <c r="AE131" i="8"/>
  <c r="AD131" i="8"/>
  <c r="AC131" i="8"/>
  <c r="AB131" i="8"/>
  <c r="AA131" i="8"/>
  <c r="Z131" i="8"/>
  <c r="Y131" i="8"/>
  <c r="X131" i="8"/>
  <c r="W131" i="8"/>
  <c r="V131" i="8"/>
  <c r="AO130" i="8"/>
  <c r="AN130" i="8"/>
  <c r="AM130" i="8"/>
  <c r="AL130" i="8"/>
  <c r="AK130" i="8"/>
  <c r="AJ130" i="8"/>
  <c r="AI130" i="8"/>
  <c r="AH130" i="8"/>
  <c r="AG130" i="8"/>
  <c r="AF130" i="8"/>
  <c r="AE130" i="8"/>
  <c r="AD130" i="8"/>
  <c r="AC130" i="8"/>
  <c r="AB130" i="8"/>
  <c r="AA130" i="8"/>
  <c r="Z130" i="8"/>
  <c r="Y130" i="8"/>
  <c r="X130" i="8"/>
  <c r="W130" i="8"/>
  <c r="V130" i="8"/>
  <c r="AO129" i="8"/>
  <c r="AN129" i="8"/>
  <c r="AM129" i="8"/>
  <c r="AL129" i="8"/>
  <c r="AK129" i="8"/>
  <c r="AJ129" i="8"/>
  <c r="AI129" i="8"/>
  <c r="AH129" i="8"/>
  <c r="AG129" i="8"/>
  <c r="AF129" i="8"/>
  <c r="AE129" i="8"/>
  <c r="AD129" i="8"/>
  <c r="AC129" i="8"/>
  <c r="AB129" i="8"/>
  <c r="AA129" i="8"/>
  <c r="Z129" i="8"/>
  <c r="Y129" i="8"/>
  <c r="X129" i="8"/>
  <c r="W129" i="8"/>
  <c r="V129" i="8"/>
  <c r="AO128" i="8"/>
  <c r="AN128" i="8"/>
  <c r="AM128" i="8"/>
  <c r="AL128" i="8"/>
  <c r="AK128" i="8"/>
  <c r="AJ128" i="8"/>
  <c r="AI128" i="8"/>
  <c r="AH128" i="8"/>
  <c r="AG128" i="8"/>
  <c r="AF128" i="8"/>
  <c r="AE128" i="8"/>
  <c r="AD128" i="8"/>
  <c r="AC128" i="8"/>
  <c r="AB128" i="8"/>
  <c r="AA128" i="8"/>
  <c r="Z128" i="8"/>
  <c r="Y128" i="8"/>
  <c r="X128" i="8"/>
  <c r="W128" i="8"/>
  <c r="V128" i="8"/>
  <c r="AO127" i="8"/>
  <c r="AN127" i="8"/>
  <c r="AM127" i="8"/>
  <c r="AL127" i="8"/>
  <c r="AK127" i="8"/>
  <c r="AJ127" i="8"/>
  <c r="AI127" i="8"/>
  <c r="AH127" i="8"/>
  <c r="AG127" i="8"/>
  <c r="AF127" i="8"/>
  <c r="AE127" i="8"/>
  <c r="AD127" i="8"/>
  <c r="AC127" i="8"/>
  <c r="AB127" i="8"/>
  <c r="AA127" i="8"/>
  <c r="Z127" i="8"/>
  <c r="Y127" i="8"/>
  <c r="X127" i="8"/>
  <c r="W127" i="8"/>
  <c r="V127" i="8"/>
  <c r="AO126" i="8"/>
  <c r="AN126" i="8"/>
  <c r="AM126" i="8"/>
  <c r="AL126" i="8"/>
  <c r="AK126" i="8"/>
  <c r="AJ126" i="8"/>
  <c r="AI126" i="8"/>
  <c r="AH126" i="8"/>
  <c r="AG126" i="8"/>
  <c r="AF126" i="8"/>
  <c r="AE126" i="8"/>
  <c r="AD126" i="8"/>
  <c r="AC126" i="8"/>
  <c r="AB126" i="8"/>
  <c r="AA126" i="8"/>
  <c r="Z126" i="8"/>
  <c r="Y126" i="8"/>
  <c r="X126" i="8"/>
  <c r="W126" i="8"/>
  <c r="V126" i="8"/>
  <c r="AO125" i="8"/>
  <c r="AN125" i="8"/>
  <c r="AM125" i="8"/>
  <c r="AL125" i="8"/>
  <c r="AK125" i="8"/>
  <c r="AJ125" i="8"/>
  <c r="AI125" i="8"/>
  <c r="AH125" i="8"/>
  <c r="AG125" i="8"/>
  <c r="AF125" i="8"/>
  <c r="AE125" i="8"/>
  <c r="AD125" i="8"/>
  <c r="AC125" i="8"/>
  <c r="AB125" i="8"/>
  <c r="AA125" i="8"/>
  <c r="Z125" i="8"/>
  <c r="Y125" i="8"/>
  <c r="X125" i="8"/>
  <c r="W125" i="8"/>
  <c r="V125" i="8"/>
  <c r="AO124" i="8"/>
  <c r="AN124" i="8"/>
  <c r="AM124" i="8"/>
  <c r="AL124" i="8"/>
  <c r="AK124" i="8"/>
  <c r="AJ124" i="8"/>
  <c r="AI124" i="8"/>
  <c r="AH124" i="8"/>
  <c r="AG124" i="8"/>
  <c r="AF124" i="8"/>
  <c r="AE124" i="8"/>
  <c r="AD124" i="8"/>
  <c r="AC124" i="8"/>
  <c r="AB124" i="8"/>
  <c r="AA124" i="8"/>
  <c r="Z124" i="8"/>
  <c r="Y124" i="8"/>
  <c r="X124" i="8"/>
  <c r="W124" i="8"/>
  <c r="V124" i="8"/>
  <c r="AO123" i="8"/>
  <c r="AN123" i="8"/>
  <c r="AM123" i="8"/>
  <c r="AL123" i="8"/>
  <c r="AK123" i="8"/>
  <c r="AJ123" i="8"/>
  <c r="AI123" i="8"/>
  <c r="AH123" i="8"/>
  <c r="AG123" i="8"/>
  <c r="AF123" i="8"/>
  <c r="AE123" i="8"/>
  <c r="AD123" i="8"/>
  <c r="AC123" i="8"/>
  <c r="AB123" i="8"/>
  <c r="AA123" i="8"/>
  <c r="Z123" i="8"/>
  <c r="Y123" i="8"/>
  <c r="X123" i="8"/>
  <c r="W123" i="8"/>
  <c r="V123" i="8"/>
  <c r="AO122" i="8"/>
  <c r="AN122" i="8"/>
  <c r="AM122" i="8"/>
  <c r="AL122" i="8"/>
  <c r="AK122" i="8"/>
  <c r="AJ122" i="8"/>
  <c r="AI122" i="8"/>
  <c r="AH122" i="8"/>
  <c r="AG122" i="8"/>
  <c r="AF122" i="8"/>
  <c r="AE122" i="8"/>
  <c r="AD122" i="8"/>
  <c r="AC122" i="8"/>
  <c r="AB122" i="8"/>
  <c r="AA122" i="8"/>
  <c r="Z122" i="8"/>
  <c r="Y122" i="8"/>
  <c r="X122" i="8"/>
  <c r="W122" i="8"/>
  <c r="V122" i="8"/>
  <c r="AO121" i="8"/>
  <c r="AN121" i="8"/>
  <c r="AM121" i="8"/>
  <c r="AL121" i="8"/>
  <c r="AK121" i="8"/>
  <c r="AJ121" i="8"/>
  <c r="AI121" i="8"/>
  <c r="AH121" i="8"/>
  <c r="AG121" i="8"/>
  <c r="AF121" i="8"/>
  <c r="AE121" i="8"/>
  <c r="AD121" i="8"/>
  <c r="AC121" i="8"/>
  <c r="AB121" i="8"/>
  <c r="AA121" i="8"/>
  <c r="Z121" i="8"/>
  <c r="Y121" i="8"/>
  <c r="X121" i="8"/>
  <c r="W121" i="8"/>
  <c r="V121" i="8"/>
  <c r="AO120" i="8"/>
  <c r="AN120" i="8"/>
  <c r="AM120" i="8"/>
  <c r="AL120" i="8"/>
  <c r="AK120" i="8"/>
  <c r="AJ120" i="8"/>
  <c r="AI120" i="8"/>
  <c r="AH120" i="8"/>
  <c r="AG120" i="8"/>
  <c r="AF120" i="8"/>
  <c r="AE120" i="8"/>
  <c r="AD120" i="8"/>
  <c r="AC120" i="8"/>
  <c r="AB120" i="8"/>
  <c r="AA120" i="8"/>
  <c r="Z120" i="8"/>
  <c r="Y120" i="8"/>
  <c r="X120" i="8"/>
  <c r="W120" i="8"/>
  <c r="V120" i="8"/>
  <c r="AO119" i="8"/>
  <c r="AN119" i="8"/>
  <c r="AM119" i="8"/>
  <c r="AL119" i="8"/>
  <c r="AK119" i="8"/>
  <c r="AJ119" i="8"/>
  <c r="AI119" i="8"/>
  <c r="AH119" i="8"/>
  <c r="AG119" i="8"/>
  <c r="AF119" i="8"/>
  <c r="AE119" i="8"/>
  <c r="AD119" i="8"/>
  <c r="AC119" i="8"/>
  <c r="AB119" i="8"/>
  <c r="AA119" i="8"/>
  <c r="Z119" i="8"/>
  <c r="Y119" i="8"/>
  <c r="X119" i="8"/>
  <c r="W119" i="8"/>
  <c r="V119" i="8"/>
  <c r="AO118" i="8"/>
  <c r="AN118" i="8"/>
  <c r="AM118" i="8"/>
  <c r="AL118" i="8"/>
  <c r="AK118" i="8"/>
  <c r="AJ118" i="8"/>
  <c r="AI118" i="8"/>
  <c r="AH118" i="8"/>
  <c r="AG118" i="8"/>
  <c r="AF118" i="8"/>
  <c r="AE118" i="8"/>
  <c r="AD118" i="8"/>
  <c r="AC118" i="8"/>
  <c r="AB118" i="8"/>
  <c r="AA118" i="8"/>
  <c r="Z118" i="8"/>
  <c r="Y118" i="8"/>
  <c r="X118" i="8"/>
  <c r="W118" i="8"/>
  <c r="V118" i="8"/>
  <c r="AO117" i="8"/>
  <c r="AN117" i="8"/>
  <c r="AM117" i="8"/>
  <c r="AL117" i="8"/>
  <c r="AK117" i="8"/>
  <c r="AJ117" i="8"/>
  <c r="AI117" i="8"/>
  <c r="AH117" i="8"/>
  <c r="AG117" i="8"/>
  <c r="AF117" i="8"/>
  <c r="AE117" i="8"/>
  <c r="AD117" i="8"/>
  <c r="AC117" i="8"/>
  <c r="AB117" i="8"/>
  <c r="AA117" i="8"/>
  <c r="Z117" i="8"/>
  <c r="Y117" i="8"/>
  <c r="X117" i="8"/>
  <c r="W117" i="8"/>
  <c r="V117" i="8"/>
  <c r="AO116" i="8"/>
  <c r="AN116" i="8"/>
  <c r="AM116" i="8"/>
  <c r="AL116" i="8"/>
  <c r="AK116" i="8"/>
  <c r="AJ116" i="8"/>
  <c r="AI116" i="8"/>
  <c r="AH116" i="8"/>
  <c r="AG116" i="8"/>
  <c r="AF116" i="8"/>
  <c r="AE116" i="8"/>
  <c r="AD116" i="8"/>
  <c r="AC116" i="8"/>
  <c r="AB116" i="8"/>
  <c r="AA116" i="8"/>
  <c r="Z116" i="8"/>
  <c r="Y116" i="8"/>
  <c r="X116" i="8"/>
  <c r="W116" i="8"/>
  <c r="V116" i="8"/>
  <c r="AO115" i="8"/>
  <c r="AN115" i="8"/>
  <c r="AM115" i="8"/>
  <c r="AL115" i="8"/>
  <c r="AK115" i="8"/>
  <c r="AJ115" i="8"/>
  <c r="AI115" i="8"/>
  <c r="AH115" i="8"/>
  <c r="AG115" i="8"/>
  <c r="AF115" i="8"/>
  <c r="AE115" i="8"/>
  <c r="AD115" i="8"/>
  <c r="AC115" i="8"/>
  <c r="AB115" i="8"/>
  <c r="AA115" i="8"/>
  <c r="Z115" i="8"/>
  <c r="Y115" i="8"/>
  <c r="X115" i="8"/>
  <c r="W115" i="8"/>
  <c r="V115" i="8"/>
  <c r="AO114" i="8"/>
  <c r="AN114" i="8"/>
  <c r="AM114" i="8"/>
  <c r="AL114" i="8"/>
  <c r="AK114" i="8"/>
  <c r="AJ114" i="8"/>
  <c r="AI114" i="8"/>
  <c r="AH114" i="8"/>
  <c r="AG114" i="8"/>
  <c r="AF114" i="8"/>
  <c r="AE114" i="8"/>
  <c r="AD114" i="8"/>
  <c r="AC114" i="8"/>
  <c r="AB114" i="8"/>
  <c r="AA114" i="8"/>
  <c r="Z114" i="8"/>
  <c r="Y114" i="8"/>
  <c r="X114" i="8"/>
  <c r="W114" i="8"/>
  <c r="V114" i="8"/>
  <c r="AO113" i="8"/>
  <c r="AN113" i="8"/>
  <c r="AM113" i="8"/>
  <c r="AL113" i="8"/>
  <c r="AK113" i="8"/>
  <c r="AJ113" i="8"/>
  <c r="AI113" i="8"/>
  <c r="AH113" i="8"/>
  <c r="AG113" i="8"/>
  <c r="AF113" i="8"/>
  <c r="AE113" i="8"/>
  <c r="AD113" i="8"/>
  <c r="AC113" i="8"/>
  <c r="AB113" i="8"/>
  <c r="AA113" i="8"/>
  <c r="Z113" i="8"/>
  <c r="Y113" i="8"/>
  <c r="X113" i="8"/>
  <c r="W113" i="8"/>
  <c r="V113" i="8"/>
  <c r="AO112" i="8"/>
  <c r="AN112" i="8"/>
  <c r="AM112" i="8"/>
  <c r="AL112" i="8"/>
  <c r="AK112" i="8"/>
  <c r="AJ112" i="8"/>
  <c r="AI112" i="8"/>
  <c r="AH112" i="8"/>
  <c r="AG112" i="8"/>
  <c r="AF112" i="8"/>
  <c r="AE112" i="8"/>
  <c r="AD112" i="8"/>
  <c r="AC112" i="8"/>
  <c r="AB112" i="8"/>
  <c r="AA112" i="8"/>
  <c r="Z112" i="8"/>
  <c r="Y112" i="8"/>
  <c r="X112" i="8"/>
  <c r="W112" i="8"/>
  <c r="V112" i="8"/>
  <c r="AO111" i="8"/>
  <c r="AN111" i="8"/>
  <c r="AM111" i="8"/>
  <c r="AL111" i="8"/>
  <c r="AK111" i="8"/>
  <c r="AJ111" i="8"/>
  <c r="AI111" i="8"/>
  <c r="AH111" i="8"/>
  <c r="AG111" i="8"/>
  <c r="AF111" i="8"/>
  <c r="AE111" i="8"/>
  <c r="AD111" i="8"/>
  <c r="AC111" i="8"/>
  <c r="AB111" i="8"/>
  <c r="AA111" i="8"/>
  <c r="Z111" i="8"/>
  <c r="Y111" i="8"/>
  <c r="X111" i="8"/>
  <c r="W111" i="8"/>
  <c r="V111" i="8"/>
  <c r="AO110" i="8"/>
  <c r="AN110" i="8"/>
  <c r="AM110" i="8"/>
  <c r="AL110" i="8"/>
  <c r="AK110" i="8"/>
  <c r="AJ110" i="8"/>
  <c r="AI110" i="8"/>
  <c r="AH110" i="8"/>
  <c r="AG110" i="8"/>
  <c r="AF110" i="8"/>
  <c r="AE110" i="8"/>
  <c r="AD110" i="8"/>
  <c r="AC110" i="8"/>
  <c r="AB110" i="8"/>
  <c r="AA110" i="8"/>
  <c r="Z110" i="8"/>
  <c r="Y110" i="8"/>
  <c r="X110" i="8"/>
  <c r="W110" i="8"/>
  <c r="V110" i="8"/>
  <c r="AO109" i="8"/>
  <c r="AN109" i="8"/>
  <c r="AM109" i="8"/>
  <c r="AL109" i="8"/>
  <c r="AK109" i="8"/>
  <c r="AJ109" i="8"/>
  <c r="AI109" i="8"/>
  <c r="AH109" i="8"/>
  <c r="AG109" i="8"/>
  <c r="AF109" i="8"/>
  <c r="AE109" i="8"/>
  <c r="AD109" i="8"/>
  <c r="AC109" i="8"/>
  <c r="AB109" i="8"/>
  <c r="AA109" i="8"/>
  <c r="Z109" i="8"/>
  <c r="Y109" i="8"/>
  <c r="X109" i="8"/>
  <c r="W109" i="8"/>
  <c r="V109" i="8"/>
  <c r="AO108" i="8"/>
  <c r="AN108" i="8"/>
  <c r="AM108" i="8"/>
  <c r="AL108" i="8"/>
  <c r="AK108" i="8"/>
  <c r="AJ108" i="8"/>
  <c r="AI108" i="8"/>
  <c r="AH108" i="8"/>
  <c r="AG108" i="8"/>
  <c r="AF108" i="8"/>
  <c r="AE108" i="8"/>
  <c r="AD108" i="8"/>
  <c r="AC108" i="8"/>
  <c r="AB108" i="8"/>
  <c r="AA108" i="8"/>
  <c r="Z108" i="8"/>
  <c r="Y108" i="8"/>
  <c r="X108" i="8"/>
  <c r="W108" i="8"/>
  <c r="V108" i="8"/>
  <c r="AO107" i="8"/>
  <c r="AN107" i="8"/>
  <c r="AM107" i="8"/>
  <c r="AL107" i="8"/>
  <c r="AK107" i="8"/>
  <c r="AJ107" i="8"/>
  <c r="AI107" i="8"/>
  <c r="AH107" i="8"/>
  <c r="AG107" i="8"/>
  <c r="AF107" i="8"/>
  <c r="AE107" i="8"/>
  <c r="AD107" i="8"/>
  <c r="AC107" i="8"/>
  <c r="AB107" i="8"/>
  <c r="AA107" i="8"/>
  <c r="Z107" i="8"/>
  <c r="Y107" i="8"/>
  <c r="X107" i="8"/>
  <c r="W107" i="8"/>
  <c r="V107" i="8"/>
  <c r="AO106" i="8"/>
  <c r="AN106" i="8"/>
  <c r="AM106" i="8"/>
  <c r="AL106" i="8"/>
  <c r="AK106" i="8"/>
  <c r="AJ106" i="8"/>
  <c r="AI106" i="8"/>
  <c r="AH106" i="8"/>
  <c r="AG106" i="8"/>
  <c r="AF106" i="8"/>
  <c r="AE106" i="8"/>
  <c r="AD106" i="8"/>
  <c r="AC106" i="8"/>
  <c r="AB106" i="8"/>
  <c r="AA106" i="8"/>
  <c r="Z106" i="8"/>
  <c r="Y106" i="8"/>
  <c r="X106" i="8"/>
  <c r="W106" i="8"/>
  <c r="V106" i="8"/>
  <c r="AO105" i="8"/>
  <c r="AN105" i="8"/>
  <c r="AM105" i="8"/>
  <c r="AL105" i="8"/>
  <c r="AK105" i="8"/>
  <c r="AJ105" i="8"/>
  <c r="AI105" i="8"/>
  <c r="AH105" i="8"/>
  <c r="AG105" i="8"/>
  <c r="AF105" i="8"/>
  <c r="AE105" i="8"/>
  <c r="AD105" i="8"/>
  <c r="AC105" i="8"/>
  <c r="AB105" i="8"/>
  <c r="AA105" i="8"/>
  <c r="Z105" i="8"/>
  <c r="Y105" i="8"/>
  <c r="X105" i="8"/>
  <c r="W105" i="8"/>
  <c r="V105" i="8"/>
  <c r="AO104" i="8"/>
  <c r="AN104" i="8"/>
  <c r="AM104" i="8"/>
  <c r="AL104" i="8"/>
  <c r="AK104" i="8"/>
  <c r="AJ104" i="8"/>
  <c r="AI104" i="8"/>
  <c r="AH104" i="8"/>
  <c r="AG104" i="8"/>
  <c r="AF104" i="8"/>
  <c r="AE104" i="8"/>
  <c r="AD104" i="8"/>
  <c r="AC104" i="8"/>
  <c r="AB104" i="8"/>
  <c r="AA104" i="8"/>
  <c r="Z104" i="8"/>
  <c r="Y104" i="8"/>
  <c r="X104" i="8"/>
  <c r="W104" i="8"/>
  <c r="V104" i="8"/>
  <c r="AO103" i="8"/>
  <c r="AN103" i="8"/>
  <c r="AM103" i="8"/>
  <c r="AL103" i="8"/>
  <c r="AK103" i="8"/>
  <c r="AJ103" i="8"/>
  <c r="AI103" i="8"/>
  <c r="AH103" i="8"/>
  <c r="AG103" i="8"/>
  <c r="AF103" i="8"/>
  <c r="AE103" i="8"/>
  <c r="AD103" i="8"/>
  <c r="AC103" i="8"/>
  <c r="AB103" i="8"/>
  <c r="AA103" i="8"/>
  <c r="Z103" i="8"/>
  <c r="Y103" i="8"/>
  <c r="X103" i="8"/>
  <c r="W103" i="8"/>
  <c r="V103" i="8"/>
  <c r="AO102" i="8"/>
  <c r="AN102" i="8"/>
  <c r="AM102" i="8"/>
  <c r="AL102" i="8"/>
  <c r="AK102" i="8"/>
  <c r="AJ102" i="8"/>
  <c r="AI102" i="8"/>
  <c r="AH102" i="8"/>
  <c r="AG102" i="8"/>
  <c r="AF102" i="8"/>
  <c r="AE102" i="8"/>
  <c r="AD102" i="8"/>
  <c r="AC102" i="8"/>
  <c r="AB102" i="8"/>
  <c r="AA102" i="8"/>
  <c r="Z102" i="8"/>
  <c r="Y102" i="8"/>
  <c r="X102" i="8"/>
  <c r="W102" i="8"/>
  <c r="V102" i="8"/>
  <c r="AO101" i="8"/>
  <c r="AN101" i="8"/>
  <c r="AM101" i="8"/>
  <c r="AL101" i="8"/>
  <c r="AK101" i="8"/>
  <c r="AJ101" i="8"/>
  <c r="AI101" i="8"/>
  <c r="AH101" i="8"/>
  <c r="AG101" i="8"/>
  <c r="AF101" i="8"/>
  <c r="AE101" i="8"/>
  <c r="AD101" i="8"/>
  <c r="AC101" i="8"/>
  <c r="AB101" i="8"/>
  <c r="AA101" i="8"/>
  <c r="Z101" i="8"/>
  <c r="Y101" i="8"/>
  <c r="X101" i="8"/>
  <c r="W101" i="8"/>
  <c r="V101" i="8"/>
  <c r="AO100" i="8"/>
  <c r="AN100" i="8"/>
  <c r="AM100" i="8"/>
  <c r="AL100" i="8"/>
  <c r="AK100" i="8"/>
  <c r="AJ100" i="8"/>
  <c r="AI100" i="8"/>
  <c r="AH100" i="8"/>
  <c r="AG100" i="8"/>
  <c r="AF100" i="8"/>
  <c r="AE100" i="8"/>
  <c r="AD100" i="8"/>
  <c r="AC100" i="8"/>
  <c r="AB100" i="8"/>
  <c r="AA100" i="8"/>
  <c r="Z100" i="8"/>
  <c r="Y100" i="8"/>
  <c r="X100" i="8"/>
  <c r="W100" i="8"/>
  <c r="V100" i="8"/>
  <c r="AA95" i="8"/>
  <c r="Y93" i="8"/>
  <c r="V93" i="8"/>
  <c r="AC92" i="8"/>
  <c r="Y88" i="8"/>
  <c r="Z82" i="8"/>
  <c r="Y82" i="8"/>
  <c r="X82" i="8"/>
  <c r="W82" i="8"/>
  <c r="V82" i="8"/>
  <c r="Z81" i="8"/>
  <c r="Y81" i="8"/>
  <c r="X81" i="8"/>
  <c r="W81" i="8"/>
  <c r="V81" i="8"/>
  <c r="Z80" i="8"/>
  <c r="Y80" i="8"/>
  <c r="X80" i="8"/>
  <c r="W80" i="8"/>
  <c r="V80" i="8"/>
  <c r="Z79" i="8"/>
  <c r="Y79" i="8"/>
  <c r="X79" i="8"/>
  <c r="W79" i="8"/>
  <c r="V79" i="8"/>
  <c r="Z78" i="8"/>
  <c r="Y78" i="8"/>
  <c r="X78" i="8"/>
  <c r="W78" i="8"/>
  <c r="V78" i="8"/>
  <c r="Z77" i="8"/>
  <c r="Y77" i="8"/>
  <c r="X77" i="8"/>
  <c r="W77" i="8"/>
  <c r="V77" i="8"/>
  <c r="Z76" i="8"/>
  <c r="Y76" i="8"/>
  <c r="X76" i="8"/>
  <c r="W76" i="8"/>
  <c r="V76" i="8"/>
  <c r="Z75" i="8"/>
  <c r="Y75" i="8"/>
  <c r="X75" i="8"/>
  <c r="W75" i="8"/>
  <c r="V75" i="8"/>
  <c r="Z74" i="8"/>
  <c r="Y74" i="8"/>
  <c r="X74" i="8"/>
  <c r="W74" i="8"/>
  <c r="V74" i="8"/>
  <c r="Z73" i="8"/>
  <c r="Y73" i="8"/>
  <c r="X73" i="8"/>
  <c r="W73" i="8"/>
  <c r="V73" i="8"/>
  <c r="Z68" i="8"/>
  <c r="Y68" i="8"/>
  <c r="X68" i="8"/>
  <c r="W68" i="8"/>
  <c r="V68" i="8"/>
  <c r="Z67" i="8"/>
  <c r="Y67" i="8"/>
  <c r="X67" i="8"/>
  <c r="W67" i="8"/>
  <c r="V67" i="8"/>
  <c r="Z66" i="8"/>
  <c r="Y66" i="8"/>
  <c r="X66" i="8"/>
  <c r="W66" i="8"/>
  <c r="V66" i="8"/>
  <c r="Z65" i="8"/>
  <c r="Y65" i="8"/>
  <c r="X65" i="8"/>
  <c r="W65" i="8"/>
  <c r="V65" i="8"/>
  <c r="Z64" i="8"/>
  <c r="Y64" i="8"/>
  <c r="X64" i="8"/>
  <c r="W64" i="8"/>
  <c r="V64" i="8"/>
  <c r="Z63" i="8"/>
  <c r="Y63" i="8"/>
  <c r="X63" i="8"/>
  <c r="W63" i="8"/>
  <c r="V63" i="8"/>
  <c r="Z62" i="8"/>
  <c r="Y62" i="8"/>
  <c r="X62" i="8"/>
  <c r="W62" i="8"/>
  <c r="V62" i="8"/>
  <c r="Z61" i="8"/>
  <c r="Y61" i="8"/>
  <c r="X61" i="8"/>
  <c r="W61" i="8"/>
  <c r="V61" i="8"/>
  <c r="Z60" i="8"/>
  <c r="Y60" i="8"/>
  <c r="X60" i="8"/>
  <c r="W60" i="8"/>
  <c r="V60" i="8"/>
  <c r="Z59" i="8"/>
  <c r="Y59" i="8"/>
  <c r="X59" i="8"/>
  <c r="W59" i="8"/>
  <c r="V59" i="8"/>
  <c r="AQ58" i="8"/>
  <c r="Z58" i="8"/>
  <c r="Y58" i="8"/>
  <c r="X58" i="8"/>
  <c r="W58" i="8"/>
  <c r="V58" i="8"/>
  <c r="Z57" i="8"/>
  <c r="Y57" i="8"/>
  <c r="X57" i="8"/>
  <c r="W57" i="8"/>
  <c r="V57" i="8"/>
  <c r="Z56" i="8"/>
  <c r="Y56" i="8"/>
  <c r="X56" i="8"/>
  <c r="W56" i="8"/>
  <c r="V56" i="8"/>
  <c r="AP44" i="8"/>
  <c r="B59" i="8" s="1"/>
  <c r="AP43" i="8"/>
  <c r="B58" i="8" s="1"/>
  <c r="AP42" i="8"/>
  <c r="B57" i="8" s="1"/>
  <c r="AP41" i="8"/>
  <c r="B56" i="8" s="1"/>
  <c r="AP40" i="8"/>
  <c r="B55" i="8" s="1"/>
  <c r="B40" i="8"/>
  <c r="X39" i="8"/>
  <c r="X38" i="8"/>
  <c r="X37" i="8"/>
  <c r="X36" i="8"/>
  <c r="X35" i="8"/>
  <c r="Q35" i="8"/>
  <c r="P35" i="8"/>
  <c r="B35" i="8"/>
  <c r="X34" i="8"/>
  <c r="J34" i="8"/>
  <c r="E35" i="8" s="1"/>
  <c r="X33" i="8"/>
  <c r="X32" i="8"/>
  <c r="AG31" i="8"/>
  <c r="X31" i="8"/>
  <c r="O99" i="8"/>
  <c r="X30" i="8"/>
  <c r="X29" i="8"/>
  <c r="B29" i="8"/>
  <c r="AQ27" i="8" s="1"/>
  <c r="X28" i="8"/>
  <c r="B27" i="8"/>
  <c r="P25" i="8"/>
  <c r="P24" i="8" s="1"/>
  <c r="G20" i="8" s="1"/>
  <c r="G24" i="8"/>
  <c r="E24" i="8"/>
  <c r="C24" i="8"/>
  <c r="AB23" i="8"/>
  <c r="AA23" i="8"/>
  <c r="Z23" i="8"/>
  <c r="Y23" i="8"/>
  <c r="I23" i="8"/>
  <c r="G23" i="8"/>
  <c r="E23" i="8"/>
  <c r="C23" i="8"/>
  <c r="AB22" i="8"/>
  <c r="AA22" i="8"/>
  <c r="Z22" i="8"/>
  <c r="Y22" i="8"/>
  <c r="I22" i="8"/>
  <c r="G22" i="8"/>
  <c r="E22" i="8"/>
  <c r="C22" i="8"/>
  <c r="I21" i="8"/>
  <c r="G21" i="8"/>
  <c r="E21" i="8"/>
  <c r="C21" i="8"/>
  <c r="AQ20" i="8"/>
  <c r="B49" i="8" s="1"/>
  <c r="AQ36" i="8" s="1"/>
  <c r="AI20" i="8"/>
  <c r="I20" i="8"/>
  <c r="AQ19" i="8"/>
  <c r="B48" i="8" s="1"/>
  <c r="AQ35" i="8" s="1"/>
  <c r="AI19" i="8"/>
  <c r="AQ18" i="8"/>
  <c r="AI18" i="8"/>
  <c r="AJ18" i="8" s="1"/>
  <c r="I18" i="8"/>
  <c r="AI17" i="8"/>
  <c r="AI16" i="8"/>
  <c r="AI15" i="8"/>
  <c r="AQ14" i="8"/>
  <c r="B46" i="8" s="1"/>
  <c r="AQ33" i="8" s="1"/>
  <c r="AI14" i="8"/>
  <c r="I14" i="8"/>
  <c r="AQ13" i="8"/>
  <c r="B45" i="8" s="1"/>
  <c r="AQ32" i="8" s="1"/>
  <c r="AI13" i="8"/>
  <c r="AQ12" i="8"/>
  <c r="AI12" i="8"/>
  <c r="AI11" i="8"/>
  <c r="AB11" i="8"/>
  <c r="AA11" i="8"/>
  <c r="Z11" i="8"/>
  <c r="Y11" i="8"/>
  <c r="AI10" i="8"/>
  <c r="AB10" i="8"/>
  <c r="AA10" i="8"/>
  <c r="Z10" i="8"/>
  <c r="Y10" i="8"/>
  <c r="AI9" i="8"/>
  <c r="AJ9" i="8" s="1"/>
  <c r="AB9" i="8"/>
  <c r="AA9" i="8"/>
  <c r="Z9" i="8"/>
  <c r="Y9" i="8"/>
  <c r="AQ8" i="8"/>
  <c r="AB8" i="8"/>
  <c r="AA8" i="8"/>
  <c r="Z8" i="8"/>
  <c r="AC8" i="8" s="1"/>
  <c r="Y8" i="8"/>
  <c r="AQ7" i="8"/>
  <c r="B42" i="8" s="1"/>
  <c r="AQ29" i="8" s="1"/>
  <c r="AQ6" i="8"/>
  <c r="AU19" i="10" l="1"/>
  <c r="AU21" i="10" s="1"/>
  <c r="Q100" i="10" s="1"/>
  <c r="E49" i="10"/>
  <c r="AU34" i="10"/>
  <c r="AT34" i="10"/>
  <c r="AV34" i="10"/>
  <c r="AS34" i="10"/>
  <c r="AJ12" i="8"/>
  <c r="AJ15" i="8"/>
  <c r="AC9" i="8"/>
  <c r="D49" i="10"/>
  <c r="AS21" i="10"/>
  <c r="O100" i="10" s="1"/>
  <c r="AT21" i="10"/>
  <c r="P100" i="10" s="1"/>
  <c r="J35" i="8"/>
  <c r="E36" i="8" s="1"/>
  <c r="AC23" i="8"/>
  <c r="AE92" i="8"/>
  <c r="I24" i="8"/>
  <c r="AC11" i="8"/>
  <c r="AC22" i="8"/>
  <c r="E18" i="8"/>
  <c r="AL15" i="8" s="1"/>
  <c r="AK15" i="8" s="1"/>
  <c r="AU26" i="8" s="1"/>
  <c r="P114" i="8" s="1"/>
  <c r="AE88" i="8"/>
  <c r="AE89" i="8"/>
  <c r="AE93" i="8"/>
  <c r="AC10" i="8"/>
  <c r="AD8" i="8" s="1"/>
  <c r="AB36" i="8" s="1"/>
  <c r="AC31" i="8" s="1"/>
  <c r="AQ59" i="8"/>
  <c r="AE90" i="8"/>
  <c r="AE94" i="8"/>
  <c r="AE87" i="8"/>
  <c r="AE91" i="8"/>
  <c r="AE95" i="8"/>
  <c r="AS5" i="8"/>
  <c r="B43" i="8"/>
  <c r="AQ30" i="8" s="1"/>
  <c r="B41" i="8"/>
  <c r="AQ28" i="8" s="1"/>
  <c r="B44" i="8"/>
  <c r="AQ31" i="8" s="1"/>
  <c r="B47" i="8"/>
  <c r="AQ34" i="8" s="1"/>
  <c r="V49" i="8"/>
  <c r="V47" i="8" s="1"/>
  <c r="V48" i="8" s="1"/>
  <c r="V51" i="8" s="1"/>
  <c r="J27" i="8" s="1"/>
  <c r="D35" i="8"/>
  <c r="AD22" i="8" l="1"/>
  <c r="AB39" i="8" s="1"/>
  <c r="AC32" i="8" s="1"/>
  <c r="Q99" i="8" s="1"/>
  <c r="Z46" i="8"/>
  <c r="D36" i="8"/>
  <c r="AL9" i="8"/>
  <c r="AK9" i="8" s="1"/>
  <c r="AS26" i="8" s="1"/>
  <c r="N114" i="8" s="1"/>
  <c r="AL12" i="8"/>
  <c r="AK12" i="8" s="1"/>
  <c r="AT26" i="8" s="1"/>
  <c r="O114" i="8" s="1"/>
  <c r="AL18" i="8"/>
  <c r="AK18" i="8" s="1"/>
  <c r="AV26" i="8" s="1"/>
  <c r="Q114" i="8" s="1"/>
  <c r="E40" i="8"/>
  <c r="D40" i="8"/>
  <c r="P99" i="8"/>
  <c r="AT5" i="8"/>
  <c r="J28" i="8"/>
  <c r="E28" i="8" s="1"/>
  <c r="E27" i="8"/>
  <c r="D27" i="8"/>
  <c r="AU5" i="8" l="1"/>
  <c r="AV7" i="8"/>
  <c r="AV8" i="8"/>
  <c r="AV6" i="8"/>
  <c r="D28" i="8"/>
  <c r="J40" i="8" l="1"/>
  <c r="AU7" i="8"/>
  <c r="AT7" i="8"/>
  <c r="AS7" i="8"/>
  <c r="J39" i="8"/>
  <c r="AU6" i="8"/>
  <c r="AS6" i="8"/>
  <c r="AT6" i="8"/>
  <c r="J41" i="8"/>
  <c r="AT8" i="8"/>
  <c r="AS8" i="8"/>
  <c r="AU8" i="8"/>
  <c r="AS28" i="8" l="1"/>
  <c r="AU28" i="8"/>
  <c r="AT28" i="8"/>
  <c r="AV28" i="8"/>
  <c r="AU9" i="8"/>
  <c r="AU11" i="8" s="1"/>
  <c r="AV12" i="8" s="1"/>
  <c r="E43" i="8"/>
  <c r="D43" i="8"/>
  <c r="D41" i="8"/>
  <c r="E41" i="8"/>
  <c r="AT9" i="8"/>
  <c r="AT11" i="8" s="1"/>
  <c r="AS9" i="8"/>
  <c r="AS11" i="8" s="1"/>
  <c r="E42" i="8"/>
  <c r="D42" i="8"/>
  <c r="AV13" i="8" l="1"/>
  <c r="AS13" i="8" s="1"/>
  <c r="AV14" i="8"/>
  <c r="J44" i="8" s="1"/>
  <c r="J42" i="8"/>
  <c r="AS12" i="8"/>
  <c r="AU12" i="8"/>
  <c r="AT12" i="8"/>
  <c r="AS29" i="8" l="1"/>
  <c r="AV29" i="8"/>
  <c r="AT29" i="8"/>
  <c r="AU29" i="8"/>
  <c r="AV31" i="8"/>
  <c r="AS31" i="8"/>
  <c r="AT31" i="8"/>
  <c r="AU31" i="8"/>
  <c r="AU13" i="8"/>
  <c r="J43" i="8"/>
  <c r="AS14" i="8"/>
  <c r="AS15" i="8" s="1"/>
  <c r="AS17" i="8" s="1"/>
  <c r="AV18" i="8" s="1"/>
  <c r="AT14" i="8"/>
  <c r="AU14" i="8"/>
  <c r="AT13" i="8"/>
  <c r="E46" i="8"/>
  <c r="D46" i="8"/>
  <c r="D44" i="8"/>
  <c r="E44" i="8"/>
  <c r="E45" i="8" l="1"/>
  <c r="AS33" i="8"/>
  <c r="AU36" i="8"/>
  <c r="AV36" i="8"/>
  <c r="AS30" i="8"/>
  <c r="AT36" i="8"/>
  <c r="AV33" i="8"/>
  <c r="AT30" i="8"/>
  <c r="AS36" i="8"/>
  <c r="AV30" i="8"/>
  <c r="AU35" i="8"/>
  <c r="AV35" i="8"/>
  <c r="AT33" i="8"/>
  <c r="AU33" i="8"/>
  <c r="AT35" i="8"/>
  <c r="AU30" i="8"/>
  <c r="AS35" i="8"/>
  <c r="AU15" i="8"/>
  <c r="AU17" i="8" s="1"/>
  <c r="D45" i="8"/>
  <c r="AT15" i="8"/>
  <c r="AT17" i="8" s="1"/>
  <c r="AV19" i="8"/>
  <c r="J46" i="8" s="1"/>
  <c r="AV20" i="8"/>
  <c r="J47" i="8" s="1"/>
  <c r="J45" i="8"/>
  <c r="AU18" i="8"/>
  <c r="AS18" i="8"/>
  <c r="AT18" i="8"/>
  <c r="AV34" i="8" l="1"/>
  <c r="AU34" i="8"/>
  <c r="AS34" i="8"/>
  <c r="AT34" i="8"/>
  <c r="AU32" i="8"/>
  <c r="AT32" i="8"/>
  <c r="AV32" i="8"/>
  <c r="AS32" i="8"/>
  <c r="AS20" i="8"/>
  <c r="AU19" i="8"/>
  <c r="AS19" i="8"/>
  <c r="AU20" i="8"/>
  <c r="AT19" i="8"/>
  <c r="AT20" i="8"/>
  <c r="E47" i="8"/>
  <c r="D47" i="8"/>
  <c r="E49" i="8"/>
  <c r="D49" i="8"/>
  <c r="D48" i="8"/>
  <c r="E48" i="8"/>
  <c r="AS21" i="8" l="1"/>
  <c r="O100" i="8" s="1"/>
  <c r="AU21" i="8"/>
  <c r="Q100" i="8" s="1"/>
  <c r="AT21" i="8"/>
  <c r="P100" i="8" s="1"/>
  <c r="AO179" i="7"/>
  <c r="AN179" i="7"/>
  <c r="AM179" i="7"/>
  <c r="AL179" i="7"/>
  <c r="AK179" i="7"/>
  <c r="AJ179" i="7"/>
  <c r="AI179" i="7"/>
  <c r="AH179" i="7"/>
  <c r="AG179" i="7"/>
  <c r="AF179" i="7"/>
  <c r="AE179" i="7"/>
  <c r="AD179" i="7"/>
  <c r="AC179" i="7"/>
  <c r="AB179" i="7"/>
  <c r="AA179" i="7"/>
  <c r="Z179" i="7"/>
  <c r="Y179" i="7"/>
  <c r="X179" i="7"/>
  <c r="W179" i="7"/>
  <c r="V179" i="7"/>
  <c r="AO178" i="7"/>
  <c r="AN178" i="7"/>
  <c r="AM178" i="7"/>
  <c r="AL178" i="7"/>
  <c r="AK178" i="7"/>
  <c r="AJ178" i="7"/>
  <c r="AI178" i="7"/>
  <c r="AH178" i="7"/>
  <c r="AG178" i="7"/>
  <c r="AF178" i="7"/>
  <c r="AE178" i="7"/>
  <c r="AD178" i="7"/>
  <c r="AC178" i="7"/>
  <c r="AB178" i="7"/>
  <c r="AA178" i="7"/>
  <c r="Z178" i="7"/>
  <c r="Y178" i="7"/>
  <c r="X178" i="7"/>
  <c r="W178" i="7"/>
  <c r="V178" i="7"/>
  <c r="AO177" i="7"/>
  <c r="AN177" i="7"/>
  <c r="AM177" i="7"/>
  <c r="AL177" i="7"/>
  <c r="AK177" i="7"/>
  <c r="AJ177" i="7"/>
  <c r="AI177" i="7"/>
  <c r="AH177" i="7"/>
  <c r="AG177" i="7"/>
  <c r="AF177" i="7"/>
  <c r="AE177" i="7"/>
  <c r="AD177" i="7"/>
  <c r="AC177" i="7"/>
  <c r="AB177" i="7"/>
  <c r="AA177" i="7"/>
  <c r="Z177" i="7"/>
  <c r="Y177" i="7"/>
  <c r="X177" i="7"/>
  <c r="W177" i="7"/>
  <c r="V177" i="7"/>
  <c r="AO176" i="7"/>
  <c r="AN176" i="7"/>
  <c r="AM176" i="7"/>
  <c r="AL176" i="7"/>
  <c r="AK176" i="7"/>
  <c r="AJ176" i="7"/>
  <c r="AI176" i="7"/>
  <c r="AH176" i="7"/>
  <c r="AG176" i="7"/>
  <c r="AF176" i="7"/>
  <c r="AE176" i="7"/>
  <c r="AD176" i="7"/>
  <c r="AC176" i="7"/>
  <c r="AB176" i="7"/>
  <c r="AA176" i="7"/>
  <c r="Z176" i="7"/>
  <c r="Y176" i="7"/>
  <c r="X176" i="7"/>
  <c r="W176" i="7"/>
  <c r="V176" i="7"/>
  <c r="AO175" i="7"/>
  <c r="AN175" i="7"/>
  <c r="AM175" i="7"/>
  <c r="AL175" i="7"/>
  <c r="AK175" i="7"/>
  <c r="AJ175" i="7"/>
  <c r="AI175" i="7"/>
  <c r="AH175" i="7"/>
  <c r="AG175" i="7"/>
  <c r="AF175" i="7"/>
  <c r="AE175" i="7"/>
  <c r="AD175" i="7"/>
  <c r="AC175" i="7"/>
  <c r="AB175" i="7"/>
  <c r="AA175" i="7"/>
  <c r="Z175" i="7"/>
  <c r="Y175" i="7"/>
  <c r="X175" i="7"/>
  <c r="W175" i="7"/>
  <c r="V175" i="7"/>
  <c r="AO174" i="7"/>
  <c r="AN174" i="7"/>
  <c r="AM174" i="7"/>
  <c r="AL174" i="7"/>
  <c r="AK174" i="7"/>
  <c r="AJ174" i="7"/>
  <c r="AI174" i="7"/>
  <c r="AH174" i="7"/>
  <c r="AG174" i="7"/>
  <c r="AF174" i="7"/>
  <c r="AE174" i="7"/>
  <c r="AD174" i="7"/>
  <c r="AC174" i="7"/>
  <c r="AB174" i="7"/>
  <c r="AA174" i="7"/>
  <c r="Z174" i="7"/>
  <c r="Y174" i="7"/>
  <c r="X174" i="7"/>
  <c r="W174" i="7"/>
  <c r="V174" i="7"/>
  <c r="AO173" i="7"/>
  <c r="AN173" i="7"/>
  <c r="AM173" i="7"/>
  <c r="AL173" i="7"/>
  <c r="AK173" i="7"/>
  <c r="AJ173" i="7"/>
  <c r="AI173" i="7"/>
  <c r="AH173" i="7"/>
  <c r="AG173" i="7"/>
  <c r="AF173" i="7"/>
  <c r="AE173" i="7"/>
  <c r="AD173" i="7"/>
  <c r="AC173" i="7"/>
  <c r="AB173" i="7"/>
  <c r="AA173" i="7"/>
  <c r="Z173" i="7"/>
  <c r="Y173" i="7"/>
  <c r="X173" i="7"/>
  <c r="W173" i="7"/>
  <c r="V173" i="7"/>
  <c r="AO172" i="7"/>
  <c r="AN172" i="7"/>
  <c r="AM172" i="7"/>
  <c r="AL172" i="7"/>
  <c r="AK172" i="7"/>
  <c r="AJ172" i="7"/>
  <c r="AI172" i="7"/>
  <c r="AH172" i="7"/>
  <c r="AG172" i="7"/>
  <c r="AF172" i="7"/>
  <c r="AE172" i="7"/>
  <c r="AD172" i="7"/>
  <c r="AC172" i="7"/>
  <c r="AB172" i="7"/>
  <c r="AA172" i="7"/>
  <c r="Z172" i="7"/>
  <c r="Y172" i="7"/>
  <c r="X172" i="7"/>
  <c r="W172" i="7"/>
  <c r="V172" i="7"/>
  <c r="AO171" i="7"/>
  <c r="AN171" i="7"/>
  <c r="AM171" i="7"/>
  <c r="AL171" i="7"/>
  <c r="AK171" i="7"/>
  <c r="AJ171" i="7"/>
  <c r="AI171" i="7"/>
  <c r="AH171" i="7"/>
  <c r="AG171" i="7"/>
  <c r="AF171" i="7"/>
  <c r="AE171" i="7"/>
  <c r="AD171" i="7"/>
  <c r="AC171" i="7"/>
  <c r="AB171" i="7"/>
  <c r="AA171" i="7"/>
  <c r="Z171" i="7"/>
  <c r="Y171" i="7"/>
  <c r="X171" i="7"/>
  <c r="W171" i="7"/>
  <c r="V171" i="7"/>
  <c r="AO170" i="7"/>
  <c r="AN170" i="7"/>
  <c r="AM170" i="7"/>
  <c r="AL170" i="7"/>
  <c r="AK170" i="7"/>
  <c r="AJ170" i="7"/>
  <c r="AI170" i="7"/>
  <c r="AH170" i="7"/>
  <c r="AG170" i="7"/>
  <c r="AF170" i="7"/>
  <c r="AE170" i="7"/>
  <c r="AD170" i="7"/>
  <c r="AC170" i="7"/>
  <c r="AB170" i="7"/>
  <c r="AA170" i="7"/>
  <c r="Z170" i="7"/>
  <c r="Y170" i="7"/>
  <c r="X170" i="7"/>
  <c r="W170" i="7"/>
  <c r="V170" i="7"/>
  <c r="AO169" i="7"/>
  <c r="AN169" i="7"/>
  <c r="AM169" i="7"/>
  <c r="AL169" i="7"/>
  <c r="AK169" i="7"/>
  <c r="AJ169" i="7"/>
  <c r="AI169" i="7"/>
  <c r="AH169" i="7"/>
  <c r="AG169" i="7"/>
  <c r="AF169" i="7"/>
  <c r="AE169" i="7"/>
  <c r="AD169" i="7"/>
  <c r="AC169" i="7"/>
  <c r="AB169" i="7"/>
  <c r="AA169" i="7"/>
  <c r="Z169" i="7"/>
  <c r="Y169" i="7"/>
  <c r="X169" i="7"/>
  <c r="W169" i="7"/>
  <c r="V169" i="7"/>
  <c r="AO168" i="7"/>
  <c r="AN168" i="7"/>
  <c r="AM168" i="7"/>
  <c r="AL168" i="7"/>
  <c r="X95" i="7" s="1"/>
  <c r="AK168" i="7"/>
  <c r="AJ168" i="7"/>
  <c r="AI168" i="7"/>
  <c r="AH168" i="7"/>
  <c r="AG168" i="7"/>
  <c r="AF168" i="7"/>
  <c r="AE168" i="7"/>
  <c r="AD168" i="7"/>
  <c r="AD95" i="7" s="1"/>
  <c r="AC168" i="7"/>
  <c r="AC95" i="7" s="1"/>
  <c r="AB168" i="7"/>
  <c r="AB95" i="7" s="1"/>
  <c r="AA168" i="7"/>
  <c r="AA95" i="7" s="1"/>
  <c r="Z168" i="7"/>
  <c r="Z95" i="7" s="1"/>
  <c r="Y168" i="7"/>
  <c r="Y95" i="7" s="1"/>
  <c r="X168" i="7"/>
  <c r="W168" i="7"/>
  <c r="W95" i="7" s="1"/>
  <c r="V168" i="7"/>
  <c r="V95" i="7" s="1"/>
  <c r="AO167" i="7"/>
  <c r="AN167" i="7"/>
  <c r="AM167" i="7"/>
  <c r="AL167" i="7"/>
  <c r="X94" i="7" s="1"/>
  <c r="AK167" i="7"/>
  <c r="AJ167" i="7"/>
  <c r="AI167" i="7"/>
  <c r="AH167" i="7"/>
  <c r="AG167" i="7"/>
  <c r="AF167" i="7"/>
  <c r="AE167" i="7"/>
  <c r="AD167" i="7"/>
  <c r="AD94" i="7" s="1"/>
  <c r="AC167" i="7"/>
  <c r="AC94" i="7" s="1"/>
  <c r="AB167" i="7"/>
  <c r="AB94" i="7" s="1"/>
  <c r="AA167" i="7"/>
  <c r="AA94" i="7" s="1"/>
  <c r="Z167" i="7"/>
  <c r="Z94" i="7" s="1"/>
  <c r="Y167" i="7"/>
  <c r="Y94" i="7" s="1"/>
  <c r="X167" i="7"/>
  <c r="W167" i="7"/>
  <c r="W94" i="7" s="1"/>
  <c r="V167" i="7"/>
  <c r="V94" i="7" s="1"/>
  <c r="AO166" i="7"/>
  <c r="AN166" i="7"/>
  <c r="AM166" i="7"/>
  <c r="AL166" i="7"/>
  <c r="X93" i="7" s="1"/>
  <c r="AK166" i="7"/>
  <c r="AJ166" i="7"/>
  <c r="AI166" i="7"/>
  <c r="AH166" i="7"/>
  <c r="AG166" i="7"/>
  <c r="AF166" i="7"/>
  <c r="AE166" i="7"/>
  <c r="AD166" i="7"/>
  <c r="AD93" i="7" s="1"/>
  <c r="AC166" i="7"/>
  <c r="AC93" i="7" s="1"/>
  <c r="AB166" i="7"/>
  <c r="AB93" i="7" s="1"/>
  <c r="AA166" i="7"/>
  <c r="AA93" i="7" s="1"/>
  <c r="Z166" i="7"/>
  <c r="Z93" i="7" s="1"/>
  <c r="Y166" i="7"/>
  <c r="Y93" i="7" s="1"/>
  <c r="X166" i="7"/>
  <c r="W166" i="7"/>
  <c r="W93" i="7" s="1"/>
  <c r="V166" i="7"/>
  <c r="V93" i="7" s="1"/>
  <c r="AO165" i="7"/>
  <c r="AN165" i="7"/>
  <c r="AM165" i="7"/>
  <c r="AL165" i="7"/>
  <c r="X92" i="7" s="1"/>
  <c r="AK165" i="7"/>
  <c r="AJ165" i="7"/>
  <c r="AI165" i="7"/>
  <c r="AH165" i="7"/>
  <c r="AG165" i="7"/>
  <c r="AF165" i="7"/>
  <c r="AE165" i="7"/>
  <c r="AD165" i="7"/>
  <c r="AD92" i="7" s="1"/>
  <c r="AC165" i="7"/>
  <c r="AC92" i="7" s="1"/>
  <c r="AB165" i="7"/>
  <c r="AB92" i="7" s="1"/>
  <c r="AA165" i="7"/>
  <c r="AA92" i="7" s="1"/>
  <c r="Z165" i="7"/>
  <c r="Z92" i="7" s="1"/>
  <c r="Y165" i="7"/>
  <c r="Y92" i="7" s="1"/>
  <c r="X165" i="7"/>
  <c r="W165" i="7"/>
  <c r="W92" i="7" s="1"/>
  <c r="V165" i="7"/>
  <c r="V92" i="7" s="1"/>
  <c r="AO164" i="7"/>
  <c r="AN164" i="7"/>
  <c r="AM164" i="7"/>
  <c r="AL164" i="7"/>
  <c r="X91" i="7" s="1"/>
  <c r="AK164" i="7"/>
  <c r="AJ164" i="7"/>
  <c r="AI164" i="7"/>
  <c r="AH164" i="7"/>
  <c r="AG164" i="7"/>
  <c r="AF164" i="7"/>
  <c r="AE164" i="7"/>
  <c r="AD164" i="7"/>
  <c r="AD91" i="7" s="1"/>
  <c r="AC164" i="7"/>
  <c r="AC91" i="7" s="1"/>
  <c r="AB164" i="7"/>
  <c r="AB91" i="7" s="1"/>
  <c r="AA164" i="7"/>
  <c r="AA91" i="7" s="1"/>
  <c r="Z164" i="7"/>
  <c r="Z91" i="7" s="1"/>
  <c r="Y164" i="7"/>
  <c r="Y91" i="7" s="1"/>
  <c r="X164" i="7"/>
  <c r="W164" i="7"/>
  <c r="W91" i="7" s="1"/>
  <c r="V164" i="7"/>
  <c r="V91" i="7" s="1"/>
  <c r="AO163" i="7"/>
  <c r="AN163" i="7"/>
  <c r="AM163" i="7"/>
  <c r="AL163" i="7"/>
  <c r="X90" i="7" s="1"/>
  <c r="AK163" i="7"/>
  <c r="AJ163" i="7"/>
  <c r="AI163" i="7"/>
  <c r="AH163" i="7"/>
  <c r="AG163" i="7"/>
  <c r="AF163" i="7"/>
  <c r="AE163" i="7"/>
  <c r="AD163" i="7"/>
  <c r="AD90" i="7" s="1"/>
  <c r="AC163" i="7"/>
  <c r="AC90" i="7" s="1"/>
  <c r="AB163" i="7"/>
  <c r="AB90" i="7" s="1"/>
  <c r="AA163" i="7"/>
  <c r="AA90" i="7" s="1"/>
  <c r="Z163" i="7"/>
  <c r="Z90" i="7" s="1"/>
  <c r="Y163" i="7"/>
  <c r="Y90" i="7" s="1"/>
  <c r="X163" i="7"/>
  <c r="W163" i="7"/>
  <c r="W90" i="7" s="1"/>
  <c r="V163" i="7"/>
  <c r="V90" i="7" s="1"/>
  <c r="AO162" i="7"/>
  <c r="AN162" i="7"/>
  <c r="AM162" i="7"/>
  <c r="AL162" i="7"/>
  <c r="X89" i="7" s="1"/>
  <c r="AK162" i="7"/>
  <c r="AJ162" i="7"/>
  <c r="AI162" i="7"/>
  <c r="AH162" i="7"/>
  <c r="AG162" i="7"/>
  <c r="AF162" i="7"/>
  <c r="AE162" i="7"/>
  <c r="AD162" i="7"/>
  <c r="AD89" i="7" s="1"/>
  <c r="AC162" i="7"/>
  <c r="AC89" i="7" s="1"/>
  <c r="AB162" i="7"/>
  <c r="AB89" i="7" s="1"/>
  <c r="AA162" i="7"/>
  <c r="AA89" i="7" s="1"/>
  <c r="Z162" i="7"/>
  <c r="Z89" i="7" s="1"/>
  <c r="Y162" i="7"/>
  <c r="Y89" i="7" s="1"/>
  <c r="X162" i="7"/>
  <c r="W162" i="7"/>
  <c r="W89" i="7" s="1"/>
  <c r="V162" i="7"/>
  <c r="V89" i="7" s="1"/>
  <c r="AO161" i="7"/>
  <c r="AN161" i="7"/>
  <c r="AM161" i="7"/>
  <c r="AL161" i="7"/>
  <c r="X88" i="7" s="1"/>
  <c r="AK161" i="7"/>
  <c r="AJ161" i="7"/>
  <c r="AI161" i="7"/>
  <c r="AH161" i="7"/>
  <c r="AG161" i="7"/>
  <c r="AF161" i="7"/>
  <c r="AE161" i="7"/>
  <c r="AD161" i="7"/>
  <c r="AD88" i="7" s="1"/>
  <c r="AC161" i="7"/>
  <c r="AC88" i="7" s="1"/>
  <c r="AB161" i="7"/>
  <c r="AB88" i="7" s="1"/>
  <c r="AA161" i="7"/>
  <c r="AA88" i="7" s="1"/>
  <c r="Z161" i="7"/>
  <c r="Z88" i="7" s="1"/>
  <c r="Y161" i="7"/>
  <c r="Y88" i="7" s="1"/>
  <c r="X161" i="7"/>
  <c r="W161" i="7"/>
  <c r="W88" i="7" s="1"/>
  <c r="V161" i="7"/>
  <c r="V88" i="7" s="1"/>
  <c r="AO160" i="7"/>
  <c r="AN160" i="7"/>
  <c r="AM160" i="7"/>
  <c r="AL160" i="7"/>
  <c r="X87" i="7" s="1"/>
  <c r="AK160" i="7"/>
  <c r="AJ160" i="7"/>
  <c r="AI160" i="7"/>
  <c r="AH160" i="7"/>
  <c r="AG160" i="7"/>
  <c r="AF160" i="7"/>
  <c r="AE160" i="7"/>
  <c r="AD160" i="7"/>
  <c r="AD87" i="7" s="1"/>
  <c r="AC160" i="7"/>
  <c r="AC87" i="7" s="1"/>
  <c r="AB160" i="7"/>
  <c r="AB87" i="7" s="1"/>
  <c r="AA160" i="7"/>
  <c r="AA87" i="7" s="1"/>
  <c r="Z160" i="7"/>
  <c r="Z87" i="7" s="1"/>
  <c r="Y160" i="7"/>
  <c r="Y87" i="7" s="1"/>
  <c r="X160" i="7"/>
  <c r="W160" i="7"/>
  <c r="W87" i="7" s="1"/>
  <c r="V160" i="7"/>
  <c r="V87" i="7" s="1"/>
  <c r="AO159" i="7"/>
  <c r="AN159" i="7"/>
  <c r="AM159" i="7"/>
  <c r="AL159" i="7"/>
  <c r="AK159" i="7"/>
  <c r="AJ159" i="7"/>
  <c r="AI159" i="7"/>
  <c r="AH159" i="7"/>
  <c r="AG159" i="7"/>
  <c r="AF159" i="7"/>
  <c r="AE159" i="7"/>
  <c r="AD159" i="7"/>
  <c r="AC159" i="7"/>
  <c r="AB159" i="7"/>
  <c r="AA159" i="7"/>
  <c r="Z159" i="7"/>
  <c r="Y159" i="7"/>
  <c r="X159" i="7"/>
  <c r="W159" i="7"/>
  <c r="V159" i="7"/>
  <c r="AO158" i="7"/>
  <c r="AN158" i="7"/>
  <c r="AM158" i="7"/>
  <c r="AL158" i="7"/>
  <c r="AK158" i="7"/>
  <c r="AJ158" i="7"/>
  <c r="AI158" i="7"/>
  <c r="AH158" i="7"/>
  <c r="AG158" i="7"/>
  <c r="AF158" i="7"/>
  <c r="AE158" i="7"/>
  <c r="AD158" i="7"/>
  <c r="AC158" i="7"/>
  <c r="AB158" i="7"/>
  <c r="AA158" i="7"/>
  <c r="Z158" i="7"/>
  <c r="Y158" i="7"/>
  <c r="X158" i="7"/>
  <c r="W158" i="7"/>
  <c r="V158" i="7"/>
  <c r="AO157" i="7"/>
  <c r="AN157" i="7"/>
  <c r="AM157" i="7"/>
  <c r="AL157" i="7"/>
  <c r="AK157" i="7"/>
  <c r="AJ157" i="7"/>
  <c r="AI157" i="7"/>
  <c r="AH157" i="7"/>
  <c r="AG157" i="7"/>
  <c r="AF157" i="7"/>
  <c r="AE157" i="7"/>
  <c r="AD157" i="7"/>
  <c r="AC157" i="7"/>
  <c r="AB157" i="7"/>
  <c r="AA157" i="7"/>
  <c r="Z157" i="7"/>
  <c r="Y157" i="7"/>
  <c r="X157" i="7"/>
  <c r="W157" i="7"/>
  <c r="V157" i="7"/>
  <c r="AO156" i="7"/>
  <c r="AN156" i="7"/>
  <c r="AM156" i="7"/>
  <c r="AL156" i="7"/>
  <c r="AK156" i="7"/>
  <c r="AJ156" i="7"/>
  <c r="AI156" i="7"/>
  <c r="AH156" i="7"/>
  <c r="AG156" i="7"/>
  <c r="AF156" i="7"/>
  <c r="AE156" i="7"/>
  <c r="AD156" i="7"/>
  <c r="AC156" i="7"/>
  <c r="AB156" i="7"/>
  <c r="AA156" i="7"/>
  <c r="Z156" i="7"/>
  <c r="Y156" i="7"/>
  <c r="X156" i="7"/>
  <c r="W156" i="7"/>
  <c r="V156" i="7"/>
  <c r="AO155" i="7"/>
  <c r="AN155" i="7"/>
  <c r="AM155" i="7"/>
  <c r="AL155" i="7"/>
  <c r="AK155" i="7"/>
  <c r="AJ155" i="7"/>
  <c r="AI155" i="7"/>
  <c r="AH155" i="7"/>
  <c r="AG155" i="7"/>
  <c r="AF155" i="7"/>
  <c r="AE155" i="7"/>
  <c r="AD155" i="7"/>
  <c r="AC155" i="7"/>
  <c r="AB155" i="7"/>
  <c r="AA155" i="7"/>
  <c r="Z155" i="7"/>
  <c r="Y155" i="7"/>
  <c r="X155" i="7"/>
  <c r="W155" i="7"/>
  <c r="V155" i="7"/>
  <c r="AO154" i="7"/>
  <c r="AN154" i="7"/>
  <c r="AM154" i="7"/>
  <c r="AL154" i="7"/>
  <c r="AK154" i="7"/>
  <c r="AJ154" i="7"/>
  <c r="AI154" i="7"/>
  <c r="AH154" i="7"/>
  <c r="AG154" i="7"/>
  <c r="AF154" i="7"/>
  <c r="AE154" i="7"/>
  <c r="AD154" i="7"/>
  <c r="AC154" i="7"/>
  <c r="AB154" i="7"/>
  <c r="AA154" i="7"/>
  <c r="Z154" i="7"/>
  <c r="Y154" i="7"/>
  <c r="X154" i="7"/>
  <c r="W154" i="7"/>
  <c r="V154" i="7"/>
  <c r="AO153" i="7"/>
  <c r="AN153" i="7"/>
  <c r="AM153" i="7"/>
  <c r="AL153" i="7"/>
  <c r="AK153" i="7"/>
  <c r="AJ153" i="7"/>
  <c r="AI153" i="7"/>
  <c r="AH153" i="7"/>
  <c r="AG153" i="7"/>
  <c r="AF153" i="7"/>
  <c r="AE153" i="7"/>
  <c r="AD153" i="7"/>
  <c r="AC153" i="7"/>
  <c r="AB153" i="7"/>
  <c r="AA153" i="7"/>
  <c r="Z153" i="7"/>
  <c r="Y153" i="7"/>
  <c r="X153" i="7"/>
  <c r="W153" i="7"/>
  <c r="V153" i="7"/>
  <c r="AO152" i="7"/>
  <c r="AN152" i="7"/>
  <c r="AM152" i="7"/>
  <c r="AL152" i="7"/>
  <c r="AK152" i="7"/>
  <c r="AJ152" i="7"/>
  <c r="AI152" i="7"/>
  <c r="AH152" i="7"/>
  <c r="AG152" i="7"/>
  <c r="AF152" i="7"/>
  <c r="AE152" i="7"/>
  <c r="AD152" i="7"/>
  <c r="AC152" i="7"/>
  <c r="AB152" i="7"/>
  <c r="AA152" i="7"/>
  <c r="Z152" i="7"/>
  <c r="Y152" i="7"/>
  <c r="X152" i="7"/>
  <c r="W152" i="7"/>
  <c r="V152" i="7"/>
  <c r="AO151" i="7"/>
  <c r="AN151" i="7"/>
  <c r="AM151" i="7"/>
  <c r="AL151" i="7"/>
  <c r="AK151" i="7"/>
  <c r="AJ151" i="7"/>
  <c r="AI151" i="7"/>
  <c r="AH151" i="7"/>
  <c r="AG151" i="7"/>
  <c r="AF151" i="7"/>
  <c r="AE151" i="7"/>
  <c r="AD151" i="7"/>
  <c r="AC151" i="7"/>
  <c r="AB151" i="7"/>
  <c r="AA151" i="7"/>
  <c r="Z151" i="7"/>
  <c r="Y151" i="7"/>
  <c r="X151" i="7"/>
  <c r="W151" i="7"/>
  <c r="V151" i="7"/>
  <c r="AO150" i="7"/>
  <c r="AN150" i="7"/>
  <c r="AM150" i="7"/>
  <c r="AL150" i="7"/>
  <c r="AK150" i="7"/>
  <c r="AJ150" i="7"/>
  <c r="AI150" i="7"/>
  <c r="AH150" i="7"/>
  <c r="AG150" i="7"/>
  <c r="AF150" i="7"/>
  <c r="AE150" i="7"/>
  <c r="AD150" i="7"/>
  <c r="AC150" i="7"/>
  <c r="AB150" i="7"/>
  <c r="AA150" i="7"/>
  <c r="Z150" i="7"/>
  <c r="Y150" i="7"/>
  <c r="X150" i="7"/>
  <c r="W150" i="7"/>
  <c r="V150" i="7"/>
  <c r="AO149" i="7"/>
  <c r="AN149" i="7"/>
  <c r="AM149" i="7"/>
  <c r="AL149" i="7"/>
  <c r="AK149" i="7"/>
  <c r="AJ149" i="7"/>
  <c r="AI149" i="7"/>
  <c r="AH149" i="7"/>
  <c r="AG149" i="7"/>
  <c r="AF149" i="7"/>
  <c r="AE149" i="7"/>
  <c r="AD149" i="7"/>
  <c r="AC149" i="7"/>
  <c r="AB149" i="7"/>
  <c r="AA149" i="7"/>
  <c r="Z149" i="7"/>
  <c r="Y149" i="7"/>
  <c r="X149" i="7"/>
  <c r="W149" i="7"/>
  <c r="V149" i="7"/>
  <c r="AO148" i="7"/>
  <c r="AN148" i="7"/>
  <c r="AM148" i="7"/>
  <c r="AL148" i="7"/>
  <c r="AK148" i="7"/>
  <c r="AJ148" i="7"/>
  <c r="AI148" i="7"/>
  <c r="AH148" i="7"/>
  <c r="AG148" i="7"/>
  <c r="AF148" i="7"/>
  <c r="AE148" i="7"/>
  <c r="AD148" i="7"/>
  <c r="AC148" i="7"/>
  <c r="AB148" i="7"/>
  <c r="AA148" i="7"/>
  <c r="Z148" i="7"/>
  <c r="Y148" i="7"/>
  <c r="X148" i="7"/>
  <c r="W148" i="7"/>
  <c r="V148" i="7"/>
  <c r="AO147" i="7"/>
  <c r="AN147" i="7"/>
  <c r="AM147" i="7"/>
  <c r="AL147" i="7"/>
  <c r="AK147" i="7"/>
  <c r="AJ147" i="7"/>
  <c r="AI147" i="7"/>
  <c r="AH147" i="7"/>
  <c r="AG147" i="7"/>
  <c r="AF147" i="7"/>
  <c r="AE147" i="7"/>
  <c r="AD147" i="7"/>
  <c r="AC147" i="7"/>
  <c r="AB147" i="7"/>
  <c r="AA147" i="7"/>
  <c r="Z147" i="7"/>
  <c r="Y147" i="7"/>
  <c r="X147" i="7"/>
  <c r="W147" i="7"/>
  <c r="V147" i="7"/>
  <c r="AO146" i="7"/>
  <c r="AN146" i="7"/>
  <c r="AM146" i="7"/>
  <c r="AL146" i="7"/>
  <c r="AK146" i="7"/>
  <c r="AJ146" i="7"/>
  <c r="AI146" i="7"/>
  <c r="AH146" i="7"/>
  <c r="AG146" i="7"/>
  <c r="AF146" i="7"/>
  <c r="AE146" i="7"/>
  <c r="AD146" i="7"/>
  <c r="AC146" i="7"/>
  <c r="AB146" i="7"/>
  <c r="AA146" i="7"/>
  <c r="Z146" i="7"/>
  <c r="Y146" i="7"/>
  <c r="X146" i="7"/>
  <c r="W146" i="7"/>
  <c r="V146" i="7"/>
  <c r="AO145" i="7"/>
  <c r="AN145" i="7"/>
  <c r="AM145" i="7"/>
  <c r="AL145" i="7"/>
  <c r="AK145" i="7"/>
  <c r="AJ145" i="7"/>
  <c r="AI145" i="7"/>
  <c r="AH145" i="7"/>
  <c r="AG145" i="7"/>
  <c r="AF145" i="7"/>
  <c r="AE145" i="7"/>
  <c r="AD145" i="7"/>
  <c r="AC145" i="7"/>
  <c r="AB145" i="7"/>
  <c r="AA145" i="7"/>
  <c r="Z145" i="7"/>
  <c r="Y145" i="7"/>
  <c r="X145" i="7"/>
  <c r="W145" i="7"/>
  <c r="V145" i="7"/>
  <c r="AO144" i="7"/>
  <c r="AN144" i="7"/>
  <c r="AM144" i="7"/>
  <c r="AL144" i="7"/>
  <c r="AK144" i="7"/>
  <c r="AJ144" i="7"/>
  <c r="AI144" i="7"/>
  <c r="AH144" i="7"/>
  <c r="AG144" i="7"/>
  <c r="AF144" i="7"/>
  <c r="AE144" i="7"/>
  <c r="AD144" i="7"/>
  <c r="AC144" i="7"/>
  <c r="AB144" i="7"/>
  <c r="AA144" i="7"/>
  <c r="Z144" i="7"/>
  <c r="Y144" i="7"/>
  <c r="X144" i="7"/>
  <c r="W144" i="7"/>
  <c r="V144" i="7"/>
  <c r="AO143" i="7"/>
  <c r="AN143" i="7"/>
  <c r="AM143" i="7"/>
  <c r="AL143" i="7"/>
  <c r="AK143" i="7"/>
  <c r="AJ143" i="7"/>
  <c r="AI143" i="7"/>
  <c r="AH143" i="7"/>
  <c r="AG143" i="7"/>
  <c r="AF143" i="7"/>
  <c r="AE143" i="7"/>
  <c r="AD143" i="7"/>
  <c r="AC143" i="7"/>
  <c r="AB143" i="7"/>
  <c r="AA143" i="7"/>
  <c r="Z143" i="7"/>
  <c r="Y143" i="7"/>
  <c r="X143" i="7"/>
  <c r="W143" i="7"/>
  <c r="V143" i="7"/>
  <c r="AO142" i="7"/>
  <c r="AN142" i="7"/>
  <c r="AM142" i="7"/>
  <c r="AL142" i="7"/>
  <c r="AK142" i="7"/>
  <c r="AJ142" i="7"/>
  <c r="AI142" i="7"/>
  <c r="AH142" i="7"/>
  <c r="AG142" i="7"/>
  <c r="AF142" i="7"/>
  <c r="AE142" i="7"/>
  <c r="AD142" i="7"/>
  <c r="AC142" i="7"/>
  <c r="AB142" i="7"/>
  <c r="AA142" i="7"/>
  <c r="Z142" i="7"/>
  <c r="Y142" i="7"/>
  <c r="X142" i="7"/>
  <c r="W142" i="7"/>
  <c r="V142" i="7"/>
  <c r="AO141" i="7"/>
  <c r="AN141" i="7"/>
  <c r="AM141" i="7"/>
  <c r="AL141" i="7"/>
  <c r="AK141" i="7"/>
  <c r="AJ141" i="7"/>
  <c r="AI141" i="7"/>
  <c r="AH141" i="7"/>
  <c r="AG141" i="7"/>
  <c r="AF141" i="7"/>
  <c r="AE141" i="7"/>
  <c r="AD141" i="7"/>
  <c r="AC141" i="7"/>
  <c r="AB141" i="7"/>
  <c r="AA141" i="7"/>
  <c r="Z141" i="7"/>
  <c r="Y141" i="7"/>
  <c r="X141" i="7"/>
  <c r="W141" i="7"/>
  <c r="V141" i="7"/>
  <c r="AO140" i="7"/>
  <c r="AN140" i="7"/>
  <c r="AM140" i="7"/>
  <c r="AL140" i="7"/>
  <c r="AK140" i="7"/>
  <c r="AJ140" i="7"/>
  <c r="AI140" i="7"/>
  <c r="AH140" i="7"/>
  <c r="AG140" i="7"/>
  <c r="AF140" i="7"/>
  <c r="AE140" i="7"/>
  <c r="AD140" i="7"/>
  <c r="AC140" i="7"/>
  <c r="AB140" i="7"/>
  <c r="AA140" i="7"/>
  <c r="Z140" i="7"/>
  <c r="Y140" i="7"/>
  <c r="X140" i="7"/>
  <c r="W140" i="7"/>
  <c r="V140" i="7"/>
  <c r="AO139" i="7"/>
  <c r="AN139" i="7"/>
  <c r="AM139" i="7"/>
  <c r="AL139" i="7"/>
  <c r="AK139" i="7"/>
  <c r="AJ139" i="7"/>
  <c r="AI139" i="7"/>
  <c r="AH139" i="7"/>
  <c r="AG139" i="7"/>
  <c r="AF139" i="7"/>
  <c r="AE139" i="7"/>
  <c r="AD139" i="7"/>
  <c r="AC139" i="7"/>
  <c r="AB139" i="7"/>
  <c r="AA139" i="7"/>
  <c r="Z139" i="7"/>
  <c r="Y139" i="7"/>
  <c r="X139" i="7"/>
  <c r="W139" i="7"/>
  <c r="V139" i="7"/>
  <c r="AO138" i="7"/>
  <c r="AN138" i="7"/>
  <c r="AM138" i="7"/>
  <c r="AL138" i="7"/>
  <c r="AK138" i="7"/>
  <c r="AJ138" i="7"/>
  <c r="AI138" i="7"/>
  <c r="AH138" i="7"/>
  <c r="AG138" i="7"/>
  <c r="AF138" i="7"/>
  <c r="AE138" i="7"/>
  <c r="AD138" i="7"/>
  <c r="AC138" i="7"/>
  <c r="AB138" i="7"/>
  <c r="AA138" i="7"/>
  <c r="Z138" i="7"/>
  <c r="Y138" i="7"/>
  <c r="X138" i="7"/>
  <c r="W138" i="7"/>
  <c r="V138" i="7"/>
  <c r="AO137" i="7"/>
  <c r="AN137" i="7"/>
  <c r="AM137" i="7"/>
  <c r="AL137" i="7"/>
  <c r="AK137" i="7"/>
  <c r="AJ137" i="7"/>
  <c r="AI137" i="7"/>
  <c r="AH137" i="7"/>
  <c r="AG137" i="7"/>
  <c r="AF137" i="7"/>
  <c r="AE137" i="7"/>
  <c r="AD137" i="7"/>
  <c r="AC137" i="7"/>
  <c r="AB137" i="7"/>
  <c r="AA137" i="7"/>
  <c r="Z137" i="7"/>
  <c r="Y137" i="7"/>
  <c r="X137" i="7"/>
  <c r="W137" i="7"/>
  <c r="V137" i="7"/>
  <c r="AO136" i="7"/>
  <c r="AN136" i="7"/>
  <c r="AM136" i="7"/>
  <c r="AL136" i="7"/>
  <c r="AK136" i="7"/>
  <c r="AJ136" i="7"/>
  <c r="AI136" i="7"/>
  <c r="AH136" i="7"/>
  <c r="AG136" i="7"/>
  <c r="AF136" i="7"/>
  <c r="AE136" i="7"/>
  <c r="AD136" i="7"/>
  <c r="AC136" i="7"/>
  <c r="AB136" i="7"/>
  <c r="AA136" i="7"/>
  <c r="Z136" i="7"/>
  <c r="Y136" i="7"/>
  <c r="X136" i="7"/>
  <c r="W136" i="7"/>
  <c r="V136" i="7"/>
  <c r="AO135" i="7"/>
  <c r="AN135" i="7"/>
  <c r="AM135" i="7"/>
  <c r="AL135" i="7"/>
  <c r="AK135" i="7"/>
  <c r="AJ135" i="7"/>
  <c r="AI135" i="7"/>
  <c r="AH135" i="7"/>
  <c r="AG135" i="7"/>
  <c r="AF135" i="7"/>
  <c r="AE135" i="7"/>
  <c r="AD135" i="7"/>
  <c r="AC135" i="7"/>
  <c r="AB135" i="7"/>
  <c r="AA135" i="7"/>
  <c r="Z135" i="7"/>
  <c r="Y135" i="7"/>
  <c r="X135" i="7"/>
  <c r="W135" i="7"/>
  <c r="V135" i="7"/>
  <c r="AO134" i="7"/>
  <c r="AN134" i="7"/>
  <c r="AM134" i="7"/>
  <c r="AL134" i="7"/>
  <c r="AK134" i="7"/>
  <c r="AJ134" i="7"/>
  <c r="AI134" i="7"/>
  <c r="AH134" i="7"/>
  <c r="AG134" i="7"/>
  <c r="AF134" i="7"/>
  <c r="AE134" i="7"/>
  <c r="AD134" i="7"/>
  <c r="AC134" i="7"/>
  <c r="AB134" i="7"/>
  <c r="AA134" i="7"/>
  <c r="Z134" i="7"/>
  <c r="Y134" i="7"/>
  <c r="X134" i="7"/>
  <c r="W134" i="7"/>
  <c r="V134" i="7"/>
  <c r="AO133" i="7"/>
  <c r="AN133" i="7"/>
  <c r="AM133" i="7"/>
  <c r="AL133" i="7"/>
  <c r="AK133" i="7"/>
  <c r="AJ133" i="7"/>
  <c r="AI133" i="7"/>
  <c r="AH133" i="7"/>
  <c r="AG133" i="7"/>
  <c r="AF133" i="7"/>
  <c r="AE133" i="7"/>
  <c r="AD133" i="7"/>
  <c r="AC133" i="7"/>
  <c r="AB133" i="7"/>
  <c r="AA133" i="7"/>
  <c r="Z133" i="7"/>
  <c r="Y133" i="7"/>
  <c r="X133" i="7"/>
  <c r="W133" i="7"/>
  <c r="V133" i="7"/>
  <c r="AO132" i="7"/>
  <c r="AN132" i="7"/>
  <c r="AM132" i="7"/>
  <c r="AL132" i="7"/>
  <c r="AK132" i="7"/>
  <c r="AJ132" i="7"/>
  <c r="AI132" i="7"/>
  <c r="AH132" i="7"/>
  <c r="AG132" i="7"/>
  <c r="AF132" i="7"/>
  <c r="AE132" i="7"/>
  <c r="AD132" i="7"/>
  <c r="AC132" i="7"/>
  <c r="AB132" i="7"/>
  <c r="AA132" i="7"/>
  <c r="Z132" i="7"/>
  <c r="Y132" i="7"/>
  <c r="X132" i="7"/>
  <c r="W132" i="7"/>
  <c r="V132" i="7"/>
  <c r="AO131" i="7"/>
  <c r="AN131" i="7"/>
  <c r="AM131" i="7"/>
  <c r="AL131" i="7"/>
  <c r="AK131" i="7"/>
  <c r="AJ131" i="7"/>
  <c r="AI131" i="7"/>
  <c r="AH131" i="7"/>
  <c r="AG131" i="7"/>
  <c r="AF131" i="7"/>
  <c r="AE131" i="7"/>
  <c r="AD131" i="7"/>
  <c r="AC131" i="7"/>
  <c r="AB131" i="7"/>
  <c r="AA131" i="7"/>
  <c r="Z131" i="7"/>
  <c r="Y131" i="7"/>
  <c r="X131" i="7"/>
  <c r="W131" i="7"/>
  <c r="V131" i="7"/>
  <c r="AO130" i="7"/>
  <c r="AN130" i="7"/>
  <c r="AM130" i="7"/>
  <c r="AL130" i="7"/>
  <c r="AK130" i="7"/>
  <c r="AJ130" i="7"/>
  <c r="AI130" i="7"/>
  <c r="AH130" i="7"/>
  <c r="AG130" i="7"/>
  <c r="AF130" i="7"/>
  <c r="AE130" i="7"/>
  <c r="AD130" i="7"/>
  <c r="AC130" i="7"/>
  <c r="AB130" i="7"/>
  <c r="AA130" i="7"/>
  <c r="Z130" i="7"/>
  <c r="Y130" i="7"/>
  <c r="X130" i="7"/>
  <c r="W130" i="7"/>
  <c r="V130" i="7"/>
  <c r="AO129" i="7"/>
  <c r="AN129" i="7"/>
  <c r="AM129" i="7"/>
  <c r="AL129" i="7"/>
  <c r="AK129" i="7"/>
  <c r="AJ129" i="7"/>
  <c r="AI129" i="7"/>
  <c r="AH129" i="7"/>
  <c r="AG129" i="7"/>
  <c r="AF129" i="7"/>
  <c r="AE129" i="7"/>
  <c r="AD129" i="7"/>
  <c r="AC129" i="7"/>
  <c r="AB129" i="7"/>
  <c r="AA129" i="7"/>
  <c r="Z129" i="7"/>
  <c r="Y129" i="7"/>
  <c r="X129" i="7"/>
  <c r="W129" i="7"/>
  <c r="V129" i="7"/>
  <c r="AO128" i="7"/>
  <c r="AN128" i="7"/>
  <c r="AM128" i="7"/>
  <c r="AL128" i="7"/>
  <c r="AK128" i="7"/>
  <c r="AJ128" i="7"/>
  <c r="AI128" i="7"/>
  <c r="AH128" i="7"/>
  <c r="AG128" i="7"/>
  <c r="AF128" i="7"/>
  <c r="AE128" i="7"/>
  <c r="AD128" i="7"/>
  <c r="AC128" i="7"/>
  <c r="AB128" i="7"/>
  <c r="AA128" i="7"/>
  <c r="Z128" i="7"/>
  <c r="Y128" i="7"/>
  <c r="X128" i="7"/>
  <c r="W128" i="7"/>
  <c r="V128" i="7"/>
  <c r="AO127" i="7"/>
  <c r="AN127" i="7"/>
  <c r="AM127" i="7"/>
  <c r="AL127" i="7"/>
  <c r="AK127" i="7"/>
  <c r="AJ127" i="7"/>
  <c r="AI127" i="7"/>
  <c r="AH127" i="7"/>
  <c r="AG127" i="7"/>
  <c r="AF127" i="7"/>
  <c r="AE127" i="7"/>
  <c r="AD127" i="7"/>
  <c r="AC127" i="7"/>
  <c r="AB127" i="7"/>
  <c r="AA127" i="7"/>
  <c r="Z127" i="7"/>
  <c r="Y127" i="7"/>
  <c r="X127" i="7"/>
  <c r="W127" i="7"/>
  <c r="V127" i="7"/>
  <c r="AO126" i="7"/>
  <c r="AN126" i="7"/>
  <c r="AM126" i="7"/>
  <c r="AL126" i="7"/>
  <c r="AK126" i="7"/>
  <c r="AJ126" i="7"/>
  <c r="AI126" i="7"/>
  <c r="AH126" i="7"/>
  <c r="AG126" i="7"/>
  <c r="AF126" i="7"/>
  <c r="AE126" i="7"/>
  <c r="AD126" i="7"/>
  <c r="AC126" i="7"/>
  <c r="AB126" i="7"/>
  <c r="AA126" i="7"/>
  <c r="Z126" i="7"/>
  <c r="Y126" i="7"/>
  <c r="X126" i="7"/>
  <c r="W126" i="7"/>
  <c r="V126" i="7"/>
  <c r="AO125" i="7"/>
  <c r="AN125" i="7"/>
  <c r="AM125" i="7"/>
  <c r="AL125" i="7"/>
  <c r="AK125" i="7"/>
  <c r="AJ125" i="7"/>
  <c r="AI125" i="7"/>
  <c r="AH125" i="7"/>
  <c r="AG125" i="7"/>
  <c r="AF125" i="7"/>
  <c r="AE125" i="7"/>
  <c r="AD125" i="7"/>
  <c r="AC125" i="7"/>
  <c r="AB125" i="7"/>
  <c r="AA125" i="7"/>
  <c r="Z125" i="7"/>
  <c r="Y125" i="7"/>
  <c r="X125" i="7"/>
  <c r="W125" i="7"/>
  <c r="V125" i="7"/>
  <c r="AO124" i="7"/>
  <c r="AN124" i="7"/>
  <c r="AM124" i="7"/>
  <c r="AL124" i="7"/>
  <c r="AK124" i="7"/>
  <c r="AJ124" i="7"/>
  <c r="AI124" i="7"/>
  <c r="AH124" i="7"/>
  <c r="AG124" i="7"/>
  <c r="AF124" i="7"/>
  <c r="AE124" i="7"/>
  <c r="AD124" i="7"/>
  <c r="AC124" i="7"/>
  <c r="AB124" i="7"/>
  <c r="AA124" i="7"/>
  <c r="Z124" i="7"/>
  <c r="Y124" i="7"/>
  <c r="X124" i="7"/>
  <c r="W124" i="7"/>
  <c r="V124" i="7"/>
  <c r="AO123" i="7"/>
  <c r="AN123" i="7"/>
  <c r="AM123" i="7"/>
  <c r="AL123" i="7"/>
  <c r="AK123" i="7"/>
  <c r="AJ123" i="7"/>
  <c r="AI123" i="7"/>
  <c r="AH123" i="7"/>
  <c r="AG123" i="7"/>
  <c r="AF123" i="7"/>
  <c r="AE123" i="7"/>
  <c r="AD123" i="7"/>
  <c r="AC123" i="7"/>
  <c r="AB123" i="7"/>
  <c r="AA123" i="7"/>
  <c r="Z123" i="7"/>
  <c r="Y123" i="7"/>
  <c r="X123" i="7"/>
  <c r="W123" i="7"/>
  <c r="V123" i="7"/>
  <c r="AO122" i="7"/>
  <c r="AN122" i="7"/>
  <c r="AM122" i="7"/>
  <c r="AL122" i="7"/>
  <c r="AK122" i="7"/>
  <c r="AJ122" i="7"/>
  <c r="AI122" i="7"/>
  <c r="AH122" i="7"/>
  <c r="AG122" i="7"/>
  <c r="AF122" i="7"/>
  <c r="AE122" i="7"/>
  <c r="AD122" i="7"/>
  <c r="AC122" i="7"/>
  <c r="AB122" i="7"/>
  <c r="AA122" i="7"/>
  <c r="Z122" i="7"/>
  <c r="Y122" i="7"/>
  <c r="X122" i="7"/>
  <c r="W122" i="7"/>
  <c r="V122" i="7"/>
  <c r="AO121" i="7"/>
  <c r="AN121" i="7"/>
  <c r="AM121" i="7"/>
  <c r="AL121" i="7"/>
  <c r="AK121" i="7"/>
  <c r="AJ121" i="7"/>
  <c r="AI121" i="7"/>
  <c r="AH121" i="7"/>
  <c r="AG121" i="7"/>
  <c r="AF121" i="7"/>
  <c r="AE121" i="7"/>
  <c r="AD121" i="7"/>
  <c r="AC121" i="7"/>
  <c r="AB121" i="7"/>
  <c r="AA121" i="7"/>
  <c r="Z121" i="7"/>
  <c r="Y121" i="7"/>
  <c r="X121" i="7"/>
  <c r="W121" i="7"/>
  <c r="V121" i="7"/>
  <c r="AO120" i="7"/>
  <c r="AN120" i="7"/>
  <c r="AM120" i="7"/>
  <c r="AL120" i="7"/>
  <c r="AK120" i="7"/>
  <c r="AJ120" i="7"/>
  <c r="AI120" i="7"/>
  <c r="AH120" i="7"/>
  <c r="AG120" i="7"/>
  <c r="AF120" i="7"/>
  <c r="AE120" i="7"/>
  <c r="AD120" i="7"/>
  <c r="AC120" i="7"/>
  <c r="AB120" i="7"/>
  <c r="AA120" i="7"/>
  <c r="Z120" i="7"/>
  <c r="Y120" i="7"/>
  <c r="X120" i="7"/>
  <c r="W120" i="7"/>
  <c r="V120" i="7"/>
  <c r="AO119" i="7"/>
  <c r="AN119" i="7"/>
  <c r="AM119" i="7"/>
  <c r="AL119" i="7"/>
  <c r="AK119" i="7"/>
  <c r="AJ119" i="7"/>
  <c r="AI119" i="7"/>
  <c r="AH119" i="7"/>
  <c r="AG119" i="7"/>
  <c r="AF119" i="7"/>
  <c r="AE119" i="7"/>
  <c r="AD119" i="7"/>
  <c r="AC119" i="7"/>
  <c r="AB119" i="7"/>
  <c r="AA119" i="7"/>
  <c r="Z119" i="7"/>
  <c r="Y119" i="7"/>
  <c r="X119" i="7"/>
  <c r="W119" i="7"/>
  <c r="V119" i="7"/>
  <c r="AO118" i="7"/>
  <c r="AN118" i="7"/>
  <c r="AM118" i="7"/>
  <c r="AL118" i="7"/>
  <c r="AK118" i="7"/>
  <c r="AJ118" i="7"/>
  <c r="AI118" i="7"/>
  <c r="AH118" i="7"/>
  <c r="AG118" i="7"/>
  <c r="AF118" i="7"/>
  <c r="AE118" i="7"/>
  <c r="AD118" i="7"/>
  <c r="AC118" i="7"/>
  <c r="AB118" i="7"/>
  <c r="AA118" i="7"/>
  <c r="Z118" i="7"/>
  <c r="Y118" i="7"/>
  <c r="X118" i="7"/>
  <c r="W118" i="7"/>
  <c r="V118" i="7"/>
  <c r="AO117" i="7"/>
  <c r="AN117" i="7"/>
  <c r="AM117" i="7"/>
  <c r="AL117" i="7"/>
  <c r="AK117" i="7"/>
  <c r="AJ117" i="7"/>
  <c r="AI117" i="7"/>
  <c r="AH117" i="7"/>
  <c r="AG117" i="7"/>
  <c r="AF117" i="7"/>
  <c r="AE117" i="7"/>
  <c r="AD117" i="7"/>
  <c r="AC117" i="7"/>
  <c r="AB117" i="7"/>
  <c r="AA117" i="7"/>
  <c r="Z117" i="7"/>
  <c r="Y117" i="7"/>
  <c r="X117" i="7"/>
  <c r="W117" i="7"/>
  <c r="V117" i="7"/>
  <c r="AO116" i="7"/>
  <c r="AN116" i="7"/>
  <c r="AM116" i="7"/>
  <c r="AL116" i="7"/>
  <c r="AK116" i="7"/>
  <c r="AJ116" i="7"/>
  <c r="AI116" i="7"/>
  <c r="AH116" i="7"/>
  <c r="AG116" i="7"/>
  <c r="AF116" i="7"/>
  <c r="AE116" i="7"/>
  <c r="AD116" i="7"/>
  <c r="AC116" i="7"/>
  <c r="AB116" i="7"/>
  <c r="AA116" i="7"/>
  <c r="Z116" i="7"/>
  <c r="Y116" i="7"/>
  <c r="X116" i="7"/>
  <c r="W116" i="7"/>
  <c r="V116" i="7"/>
  <c r="AO115" i="7"/>
  <c r="AN115" i="7"/>
  <c r="AM115" i="7"/>
  <c r="AL115" i="7"/>
  <c r="AK115" i="7"/>
  <c r="AJ115" i="7"/>
  <c r="AI115" i="7"/>
  <c r="AH115" i="7"/>
  <c r="AG115" i="7"/>
  <c r="AF115" i="7"/>
  <c r="AE115" i="7"/>
  <c r="AD115" i="7"/>
  <c r="AC115" i="7"/>
  <c r="AB115" i="7"/>
  <c r="AA115" i="7"/>
  <c r="Z115" i="7"/>
  <c r="Y115" i="7"/>
  <c r="X115" i="7"/>
  <c r="W115" i="7"/>
  <c r="V115" i="7"/>
  <c r="AO114" i="7"/>
  <c r="AN114" i="7"/>
  <c r="AM114" i="7"/>
  <c r="AL114" i="7"/>
  <c r="AK114" i="7"/>
  <c r="AJ114" i="7"/>
  <c r="AI114" i="7"/>
  <c r="AH114" i="7"/>
  <c r="AG114" i="7"/>
  <c r="AF114" i="7"/>
  <c r="AE114" i="7"/>
  <c r="AD114" i="7"/>
  <c r="AC114" i="7"/>
  <c r="AB114" i="7"/>
  <c r="AA114" i="7"/>
  <c r="Z114" i="7"/>
  <c r="Y114" i="7"/>
  <c r="X114" i="7"/>
  <c r="W114" i="7"/>
  <c r="V114" i="7"/>
  <c r="AO113" i="7"/>
  <c r="AN113" i="7"/>
  <c r="AM113" i="7"/>
  <c r="AL113" i="7"/>
  <c r="AK113" i="7"/>
  <c r="AJ113" i="7"/>
  <c r="AI113" i="7"/>
  <c r="AH113" i="7"/>
  <c r="AG113" i="7"/>
  <c r="AF113" i="7"/>
  <c r="AE113" i="7"/>
  <c r="AD113" i="7"/>
  <c r="AC113" i="7"/>
  <c r="AB113" i="7"/>
  <c r="AA113" i="7"/>
  <c r="Z113" i="7"/>
  <c r="Y113" i="7"/>
  <c r="X113" i="7"/>
  <c r="W113" i="7"/>
  <c r="V113" i="7"/>
  <c r="AO112" i="7"/>
  <c r="AN112" i="7"/>
  <c r="AM112" i="7"/>
  <c r="AL112" i="7"/>
  <c r="AK112" i="7"/>
  <c r="AJ112" i="7"/>
  <c r="AI112" i="7"/>
  <c r="AH112" i="7"/>
  <c r="AG112" i="7"/>
  <c r="AF112" i="7"/>
  <c r="AE112" i="7"/>
  <c r="AD112" i="7"/>
  <c r="AC112" i="7"/>
  <c r="AB112" i="7"/>
  <c r="AA112" i="7"/>
  <c r="Z112" i="7"/>
  <c r="Y112" i="7"/>
  <c r="X112" i="7"/>
  <c r="W112" i="7"/>
  <c r="V112" i="7"/>
  <c r="AO111" i="7"/>
  <c r="AN111" i="7"/>
  <c r="AM111" i="7"/>
  <c r="AL111" i="7"/>
  <c r="AK111" i="7"/>
  <c r="AJ111" i="7"/>
  <c r="AI111" i="7"/>
  <c r="AH111" i="7"/>
  <c r="AG111" i="7"/>
  <c r="AF111" i="7"/>
  <c r="AE111" i="7"/>
  <c r="AD111" i="7"/>
  <c r="AC111" i="7"/>
  <c r="AB111" i="7"/>
  <c r="AA111" i="7"/>
  <c r="Z111" i="7"/>
  <c r="Y111" i="7"/>
  <c r="X111" i="7"/>
  <c r="W111" i="7"/>
  <c r="V111" i="7"/>
  <c r="AO110" i="7"/>
  <c r="AN110" i="7"/>
  <c r="AM110" i="7"/>
  <c r="AL110" i="7"/>
  <c r="AK110" i="7"/>
  <c r="AJ110" i="7"/>
  <c r="AI110" i="7"/>
  <c r="AH110" i="7"/>
  <c r="AG110" i="7"/>
  <c r="AF110" i="7"/>
  <c r="AE110" i="7"/>
  <c r="AD110" i="7"/>
  <c r="AC110" i="7"/>
  <c r="AB110" i="7"/>
  <c r="AA110" i="7"/>
  <c r="Z110" i="7"/>
  <c r="Y110" i="7"/>
  <c r="X110" i="7"/>
  <c r="W110" i="7"/>
  <c r="V110" i="7"/>
  <c r="AO109" i="7"/>
  <c r="AN109" i="7"/>
  <c r="AM109" i="7"/>
  <c r="AL109" i="7"/>
  <c r="AK109" i="7"/>
  <c r="AJ109" i="7"/>
  <c r="AI109" i="7"/>
  <c r="AH109" i="7"/>
  <c r="AG109" i="7"/>
  <c r="AF109" i="7"/>
  <c r="AE109" i="7"/>
  <c r="AD109" i="7"/>
  <c r="AC109" i="7"/>
  <c r="AB109" i="7"/>
  <c r="AA109" i="7"/>
  <c r="Z109" i="7"/>
  <c r="Y109" i="7"/>
  <c r="X109" i="7"/>
  <c r="W109" i="7"/>
  <c r="V109" i="7"/>
  <c r="AO108" i="7"/>
  <c r="AN108" i="7"/>
  <c r="AM108" i="7"/>
  <c r="AL108" i="7"/>
  <c r="AK108" i="7"/>
  <c r="AJ108" i="7"/>
  <c r="AI108" i="7"/>
  <c r="AH108" i="7"/>
  <c r="AG108" i="7"/>
  <c r="AF108" i="7"/>
  <c r="AE108" i="7"/>
  <c r="AD108" i="7"/>
  <c r="AC108" i="7"/>
  <c r="AB108" i="7"/>
  <c r="AA108" i="7"/>
  <c r="Z108" i="7"/>
  <c r="Y108" i="7"/>
  <c r="X108" i="7"/>
  <c r="W108" i="7"/>
  <c r="V108" i="7"/>
  <c r="AO107" i="7"/>
  <c r="AN107" i="7"/>
  <c r="AM107" i="7"/>
  <c r="AL107" i="7"/>
  <c r="AK107" i="7"/>
  <c r="AJ107" i="7"/>
  <c r="AI107" i="7"/>
  <c r="AH107" i="7"/>
  <c r="AG107" i="7"/>
  <c r="AF107" i="7"/>
  <c r="AE107" i="7"/>
  <c r="AD107" i="7"/>
  <c r="AC107" i="7"/>
  <c r="AB107" i="7"/>
  <c r="AA107" i="7"/>
  <c r="Z107" i="7"/>
  <c r="Y107" i="7"/>
  <c r="X107" i="7"/>
  <c r="W107" i="7"/>
  <c r="V107" i="7"/>
  <c r="AO106" i="7"/>
  <c r="AN106" i="7"/>
  <c r="AM106" i="7"/>
  <c r="AL106" i="7"/>
  <c r="AK106" i="7"/>
  <c r="AJ106" i="7"/>
  <c r="AI106" i="7"/>
  <c r="AH106" i="7"/>
  <c r="AG106" i="7"/>
  <c r="AF106" i="7"/>
  <c r="AE106" i="7"/>
  <c r="AD106" i="7"/>
  <c r="AC106" i="7"/>
  <c r="AB106" i="7"/>
  <c r="AA106" i="7"/>
  <c r="Z106" i="7"/>
  <c r="Y106" i="7"/>
  <c r="X106" i="7"/>
  <c r="W106" i="7"/>
  <c r="V106" i="7"/>
  <c r="AO105" i="7"/>
  <c r="AN105" i="7"/>
  <c r="AM105" i="7"/>
  <c r="AL105" i="7"/>
  <c r="AK105" i="7"/>
  <c r="AJ105" i="7"/>
  <c r="AI105" i="7"/>
  <c r="AH105" i="7"/>
  <c r="AG105" i="7"/>
  <c r="AF105" i="7"/>
  <c r="AE105" i="7"/>
  <c r="AD105" i="7"/>
  <c r="AC105" i="7"/>
  <c r="AB105" i="7"/>
  <c r="AA105" i="7"/>
  <c r="Z105" i="7"/>
  <c r="Y105" i="7"/>
  <c r="X105" i="7"/>
  <c r="W105" i="7"/>
  <c r="V105" i="7"/>
  <c r="AO104" i="7"/>
  <c r="AN104" i="7"/>
  <c r="AM104" i="7"/>
  <c r="AL104" i="7"/>
  <c r="AK104" i="7"/>
  <c r="AJ104" i="7"/>
  <c r="AI104" i="7"/>
  <c r="AH104" i="7"/>
  <c r="AG104" i="7"/>
  <c r="AF104" i="7"/>
  <c r="AE104" i="7"/>
  <c r="AD104" i="7"/>
  <c r="AC104" i="7"/>
  <c r="AB104" i="7"/>
  <c r="AA104" i="7"/>
  <c r="Z104" i="7"/>
  <c r="Y104" i="7"/>
  <c r="X104" i="7"/>
  <c r="W104" i="7"/>
  <c r="V104" i="7"/>
  <c r="AO103" i="7"/>
  <c r="AN103" i="7"/>
  <c r="AM103" i="7"/>
  <c r="AL103" i="7"/>
  <c r="AK103" i="7"/>
  <c r="AJ103" i="7"/>
  <c r="AI103" i="7"/>
  <c r="AH103" i="7"/>
  <c r="AG103" i="7"/>
  <c r="AF103" i="7"/>
  <c r="AE103" i="7"/>
  <c r="AD103" i="7"/>
  <c r="AC103" i="7"/>
  <c r="AB103" i="7"/>
  <c r="AA103" i="7"/>
  <c r="Z103" i="7"/>
  <c r="Y103" i="7"/>
  <c r="X103" i="7"/>
  <c r="W103" i="7"/>
  <c r="V103" i="7"/>
  <c r="AO102" i="7"/>
  <c r="AN102" i="7"/>
  <c r="AM102" i="7"/>
  <c r="AL102" i="7"/>
  <c r="AK102" i="7"/>
  <c r="AJ102" i="7"/>
  <c r="AI102" i="7"/>
  <c r="AH102" i="7"/>
  <c r="AG102" i="7"/>
  <c r="AF102" i="7"/>
  <c r="AE102" i="7"/>
  <c r="AD102" i="7"/>
  <c r="AC102" i="7"/>
  <c r="AB102" i="7"/>
  <c r="AA102" i="7"/>
  <c r="Z102" i="7"/>
  <c r="Y102" i="7"/>
  <c r="X102" i="7"/>
  <c r="W102" i="7"/>
  <c r="V102" i="7"/>
  <c r="AO101" i="7"/>
  <c r="AN101" i="7"/>
  <c r="AM101" i="7"/>
  <c r="AL101" i="7"/>
  <c r="AK101" i="7"/>
  <c r="AJ101" i="7"/>
  <c r="AI101" i="7"/>
  <c r="AH101" i="7"/>
  <c r="AG101" i="7"/>
  <c r="AF101" i="7"/>
  <c r="AE101" i="7"/>
  <c r="AD101" i="7"/>
  <c r="AC101" i="7"/>
  <c r="AB101" i="7"/>
  <c r="AA101" i="7"/>
  <c r="Z101" i="7"/>
  <c r="Y101" i="7"/>
  <c r="X101" i="7"/>
  <c r="W101" i="7"/>
  <c r="V101" i="7"/>
  <c r="AO100" i="7"/>
  <c r="AN100" i="7"/>
  <c r="AM100" i="7"/>
  <c r="AL100" i="7"/>
  <c r="AK100" i="7"/>
  <c r="AJ100" i="7"/>
  <c r="AI100" i="7"/>
  <c r="AH100" i="7"/>
  <c r="AG100" i="7"/>
  <c r="AF100" i="7"/>
  <c r="AE100" i="7"/>
  <c r="AD100" i="7"/>
  <c r="AC100" i="7"/>
  <c r="AB100" i="7"/>
  <c r="AA100" i="7"/>
  <c r="Z100" i="7"/>
  <c r="Y100" i="7"/>
  <c r="X100" i="7"/>
  <c r="W100" i="7"/>
  <c r="V100" i="7"/>
  <c r="AB264" i="1"/>
  <c r="AC264" i="1"/>
  <c r="AD264" i="1"/>
  <c r="AE264" i="1"/>
  <c r="AG264" i="1"/>
  <c r="AI264" i="1"/>
  <c r="AJ264" i="1"/>
  <c r="AK264" i="1"/>
  <c r="AL264" i="1"/>
  <c r="AM264" i="1"/>
  <c r="AN264" i="1"/>
  <c r="AO264" i="1"/>
  <c r="AP264" i="1"/>
  <c r="AQ264" i="1"/>
  <c r="AR264" i="1"/>
  <c r="AS264" i="1"/>
  <c r="AT264" i="1"/>
  <c r="AU264" i="1"/>
  <c r="AB265" i="1"/>
  <c r="AC265" i="1"/>
  <c r="AD265" i="1"/>
  <c r="AE265" i="1"/>
  <c r="AG265" i="1"/>
  <c r="AI265" i="1"/>
  <c r="AJ265" i="1"/>
  <c r="AK265" i="1"/>
  <c r="AL265" i="1"/>
  <c r="AM265" i="1"/>
  <c r="AN265" i="1"/>
  <c r="AO265" i="1"/>
  <c r="AP265" i="1"/>
  <c r="AQ265" i="1"/>
  <c r="AR265" i="1"/>
  <c r="AS265" i="1"/>
  <c r="AT265" i="1"/>
  <c r="AU265" i="1"/>
  <c r="AB266" i="1"/>
  <c r="AC266" i="1"/>
  <c r="AD266" i="1"/>
  <c r="AE266" i="1"/>
  <c r="AG266" i="1"/>
  <c r="AI266" i="1"/>
  <c r="AJ266" i="1"/>
  <c r="AK266" i="1"/>
  <c r="AL266" i="1"/>
  <c r="AM266" i="1"/>
  <c r="AN266" i="1"/>
  <c r="AO266" i="1"/>
  <c r="AP266" i="1"/>
  <c r="AQ266" i="1"/>
  <c r="AR266" i="1"/>
  <c r="AS266" i="1"/>
  <c r="AT266" i="1"/>
  <c r="AU266" i="1"/>
  <c r="AB267" i="1"/>
  <c r="AC267" i="1"/>
  <c r="AD267" i="1"/>
  <c r="AE267" i="1"/>
  <c r="AG267" i="1"/>
  <c r="AI267" i="1"/>
  <c r="AJ267" i="1"/>
  <c r="AK267" i="1"/>
  <c r="AL267" i="1"/>
  <c r="AM267" i="1"/>
  <c r="AN267" i="1"/>
  <c r="AO267" i="1"/>
  <c r="AP267" i="1"/>
  <c r="AQ267" i="1"/>
  <c r="AR267" i="1"/>
  <c r="AS267" i="1"/>
  <c r="AT267" i="1"/>
  <c r="AU267" i="1"/>
  <c r="AB268" i="1"/>
  <c r="AC268" i="1"/>
  <c r="AD268" i="1"/>
  <c r="AE268" i="1"/>
  <c r="AG268" i="1"/>
  <c r="AI268" i="1"/>
  <c r="AJ268" i="1"/>
  <c r="AK268" i="1"/>
  <c r="AL268" i="1"/>
  <c r="AM268" i="1"/>
  <c r="AN268" i="1"/>
  <c r="AO268" i="1"/>
  <c r="AP268" i="1"/>
  <c r="AQ268" i="1"/>
  <c r="AR268" i="1"/>
  <c r="AS268" i="1"/>
  <c r="AT268" i="1"/>
  <c r="AU268" i="1"/>
  <c r="AB269" i="1"/>
  <c r="AC269" i="1"/>
  <c r="AD269" i="1"/>
  <c r="AE269" i="1"/>
  <c r="AG269" i="1"/>
  <c r="AI269" i="1"/>
  <c r="AJ269" i="1"/>
  <c r="AK269" i="1"/>
  <c r="AL269" i="1"/>
  <c r="AM269" i="1"/>
  <c r="AN269" i="1"/>
  <c r="AO269" i="1"/>
  <c r="AP269" i="1"/>
  <c r="AQ269" i="1"/>
  <c r="AR269" i="1"/>
  <c r="AS269" i="1"/>
  <c r="AT269" i="1"/>
  <c r="AU269" i="1"/>
  <c r="AB270" i="1"/>
  <c r="AC270" i="1"/>
  <c r="AD270" i="1"/>
  <c r="AE270" i="1"/>
  <c r="AG270" i="1"/>
  <c r="AI270" i="1"/>
  <c r="AJ270" i="1"/>
  <c r="AK270" i="1"/>
  <c r="AL270" i="1"/>
  <c r="AM270" i="1"/>
  <c r="AN270" i="1"/>
  <c r="AO270" i="1"/>
  <c r="AP270" i="1"/>
  <c r="AQ270" i="1"/>
  <c r="AR270" i="1"/>
  <c r="AS270" i="1"/>
  <c r="AT270" i="1"/>
  <c r="AU270" i="1"/>
  <c r="AB271" i="1"/>
  <c r="AC271" i="1"/>
  <c r="AD271" i="1"/>
  <c r="AE271" i="1"/>
  <c r="AG271" i="1"/>
  <c r="AI271" i="1"/>
  <c r="AJ271" i="1"/>
  <c r="AK271" i="1"/>
  <c r="AL271" i="1"/>
  <c r="AM271" i="1"/>
  <c r="AN271" i="1"/>
  <c r="AO271" i="1"/>
  <c r="AP271" i="1"/>
  <c r="AQ271" i="1"/>
  <c r="AR271" i="1"/>
  <c r="AS271" i="1"/>
  <c r="AT271" i="1"/>
  <c r="AU271" i="1"/>
  <c r="AB272" i="1"/>
  <c r="AC272" i="1"/>
  <c r="AD272" i="1"/>
  <c r="AE272" i="1"/>
  <c r="AG272" i="1"/>
  <c r="AI272" i="1"/>
  <c r="AJ272" i="1"/>
  <c r="AK272" i="1"/>
  <c r="AL272" i="1"/>
  <c r="AM272" i="1"/>
  <c r="AN272" i="1"/>
  <c r="AO272" i="1"/>
  <c r="AP272" i="1"/>
  <c r="AQ272" i="1"/>
  <c r="AR272" i="1"/>
  <c r="AS272" i="1"/>
  <c r="AT272" i="1"/>
  <c r="AU272" i="1"/>
  <c r="AB273" i="1"/>
  <c r="AC273" i="1"/>
  <c r="AD273" i="1"/>
  <c r="AE273" i="1"/>
  <c r="AG273" i="1"/>
  <c r="AI273" i="1"/>
  <c r="AJ273" i="1"/>
  <c r="AK273" i="1"/>
  <c r="AL273" i="1"/>
  <c r="AM273" i="1"/>
  <c r="AN273" i="1"/>
  <c r="AO273" i="1"/>
  <c r="AP273" i="1"/>
  <c r="AQ273" i="1"/>
  <c r="AR273" i="1"/>
  <c r="AS273" i="1"/>
  <c r="AT273" i="1"/>
  <c r="AU273" i="1"/>
  <c r="AB274" i="1"/>
  <c r="AC274" i="1"/>
  <c r="AD274" i="1"/>
  <c r="AE274" i="1"/>
  <c r="AG274" i="1"/>
  <c r="AI274" i="1"/>
  <c r="AJ274" i="1"/>
  <c r="AK274" i="1"/>
  <c r="AL274" i="1"/>
  <c r="AM274" i="1"/>
  <c r="AN274" i="1"/>
  <c r="AO274" i="1"/>
  <c r="AP274" i="1"/>
  <c r="AQ274" i="1"/>
  <c r="AR274" i="1"/>
  <c r="AS274" i="1"/>
  <c r="AT274" i="1"/>
  <c r="AU274" i="1"/>
  <c r="AB275" i="1"/>
  <c r="AC275" i="1"/>
  <c r="AD275" i="1"/>
  <c r="AE275" i="1"/>
  <c r="AG275" i="1"/>
  <c r="AI275" i="1"/>
  <c r="AJ275" i="1"/>
  <c r="AK275" i="1"/>
  <c r="AL275" i="1"/>
  <c r="AM275" i="1"/>
  <c r="AN275" i="1"/>
  <c r="AO275" i="1"/>
  <c r="AP275" i="1"/>
  <c r="AQ275" i="1"/>
  <c r="AR275" i="1"/>
  <c r="AS275" i="1"/>
  <c r="AT275" i="1"/>
  <c r="AU275" i="1"/>
  <c r="AB276" i="1"/>
  <c r="AC276" i="1"/>
  <c r="AD276" i="1"/>
  <c r="AE276" i="1"/>
  <c r="AG276" i="1"/>
  <c r="AI276" i="1"/>
  <c r="AJ276" i="1"/>
  <c r="AK276" i="1"/>
  <c r="AL276" i="1"/>
  <c r="AM276" i="1"/>
  <c r="AN276" i="1"/>
  <c r="AO276" i="1"/>
  <c r="AP276" i="1"/>
  <c r="AQ276" i="1"/>
  <c r="AR276" i="1"/>
  <c r="AS276" i="1"/>
  <c r="AT276" i="1"/>
  <c r="AU276" i="1"/>
  <c r="AB277" i="1"/>
  <c r="AC277" i="1"/>
  <c r="AD277" i="1"/>
  <c r="AE277" i="1"/>
  <c r="AG277" i="1"/>
  <c r="AI277" i="1"/>
  <c r="AJ277" i="1"/>
  <c r="AK277" i="1"/>
  <c r="AL277" i="1"/>
  <c r="AM277" i="1"/>
  <c r="AN277" i="1"/>
  <c r="AO277" i="1"/>
  <c r="AP277" i="1"/>
  <c r="AQ277" i="1"/>
  <c r="AR277" i="1"/>
  <c r="AS277" i="1"/>
  <c r="AT277" i="1"/>
  <c r="AU277" i="1"/>
  <c r="AB278" i="1"/>
  <c r="AC278" i="1"/>
  <c r="AD278" i="1"/>
  <c r="AE278" i="1"/>
  <c r="AG278" i="1"/>
  <c r="AI278" i="1"/>
  <c r="AJ278" i="1"/>
  <c r="AK278" i="1"/>
  <c r="AL278" i="1"/>
  <c r="AM278" i="1"/>
  <c r="AN278" i="1"/>
  <c r="AO278" i="1"/>
  <c r="AP278" i="1"/>
  <c r="AQ278" i="1"/>
  <c r="AR278" i="1"/>
  <c r="AS278" i="1"/>
  <c r="AT278" i="1"/>
  <c r="AU278" i="1"/>
  <c r="AB279" i="1"/>
  <c r="AC279" i="1"/>
  <c r="AD279" i="1"/>
  <c r="AE279" i="1"/>
  <c r="AG279" i="1"/>
  <c r="AI279" i="1"/>
  <c r="AJ279" i="1"/>
  <c r="AK279" i="1"/>
  <c r="AL279" i="1"/>
  <c r="AM279" i="1"/>
  <c r="AN279" i="1"/>
  <c r="AO279" i="1"/>
  <c r="AP279" i="1"/>
  <c r="AQ279" i="1"/>
  <c r="AR279" i="1"/>
  <c r="AS279" i="1"/>
  <c r="AT279" i="1"/>
  <c r="AU279" i="1"/>
  <c r="AB280" i="1"/>
  <c r="AC280" i="1"/>
  <c r="AD280" i="1"/>
  <c r="AE280" i="1"/>
  <c r="AG280" i="1"/>
  <c r="AI280" i="1"/>
  <c r="AJ280" i="1"/>
  <c r="AK280" i="1"/>
  <c r="AL280" i="1"/>
  <c r="AM280" i="1"/>
  <c r="AN280" i="1"/>
  <c r="AO280" i="1"/>
  <c r="AP280" i="1"/>
  <c r="AQ280" i="1"/>
  <c r="AR280" i="1"/>
  <c r="AS280" i="1"/>
  <c r="AT280" i="1"/>
  <c r="AU280" i="1"/>
  <c r="AB281" i="1"/>
  <c r="AC281" i="1"/>
  <c r="AD281" i="1"/>
  <c r="AE281" i="1"/>
  <c r="AG281" i="1"/>
  <c r="AI281" i="1"/>
  <c r="AJ281" i="1"/>
  <c r="AK281" i="1"/>
  <c r="AL281" i="1"/>
  <c r="AM281" i="1"/>
  <c r="AN281" i="1"/>
  <c r="AO281" i="1"/>
  <c r="AP281" i="1"/>
  <c r="AQ281" i="1"/>
  <c r="AR281" i="1"/>
  <c r="AS281" i="1"/>
  <c r="AT281" i="1"/>
  <c r="AU281" i="1"/>
  <c r="AB282" i="1"/>
  <c r="AC282" i="1"/>
  <c r="AD282" i="1"/>
  <c r="AE282" i="1"/>
  <c r="AG282" i="1"/>
  <c r="AI282" i="1"/>
  <c r="AJ282" i="1"/>
  <c r="AK282" i="1"/>
  <c r="AL282" i="1"/>
  <c r="AM282" i="1"/>
  <c r="AN282" i="1"/>
  <c r="AO282" i="1"/>
  <c r="AP282" i="1"/>
  <c r="AQ282" i="1"/>
  <c r="AR282" i="1"/>
  <c r="AS282" i="1"/>
  <c r="AT282" i="1"/>
  <c r="AU282" i="1"/>
  <c r="AB283" i="1"/>
  <c r="AC283" i="1"/>
  <c r="AD283" i="1"/>
  <c r="AE283" i="1"/>
  <c r="AG283" i="1"/>
  <c r="AI283" i="1"/>
  <c r="AJ283" i="1"/>
  <c r="AK283" i="1"/>
  <c r="AL283" i="1"/>
  <c r="AM283" i="1"/>
  <c r="AN283" i="1"/>
  <c r="AO283" i="1"/>
  <c r="AP283" i="1"/>
  <c r="AQ283" i="1"/>
  <c r="AR283" i="1"/>
  <c r="AS283" i="1"/>
  <c r="AT283" i="1"/>
  <c r="AU283" i="1"/>
  <c r="AB284" i="1"/>
  <c r="AC284" i="1"/>
  <c r="AD284" i="1"/>
  <c r="AE284" i="1"/>
  <c r="AG284" i="1"/>
  <c r="AI284" i="1"/>
  <c r="AJ284" i="1"/>
  <c r="AK284" i="1"/>
  <c r="AL284" i="1"/>
  <c r="AM284" i="1"/>
  <c r="AN284" i="1"/>
  <c r="AO284" i="1"/>
  <c r="AP284" i="1"/>
  <c r="AQ284" i="1"/>
  <c r="AR284" i="1"/>
  <c r="AS284" i="1"/>
  <c r="AT284" i="1"/>
  <c r="AU284" i="1"/>
  <c r="AB285" i="1"/>
  <c r="AC285" i="1"/>
  <c r="AD285" i="1"/>
  <c r="AE285" i="1"/>
  <c r="AG285" i="1"/>
  <c r="AI285" i="1"/>
  <c r="AJ285" i="1"/>
  <c r="AK285" i="1"/>
  <c r="AL285" i="1"/>
  <c r="AM285" i="1"/>
  <c r="AN285" i="1"/>
  <c r="AO285" i="1"/>
  <c r="AP285" i="1"/>
  <c r="AQ285" i="1"/>
  <c r="AR285" i="1"/>
  <c r="AS285" i="1"/>
  <c r="AT285" i="1"/>
  <c r="AU285" i="1"/>
  <c r="AB286" i="1"/>
  <c r="AC286" i="1"/>
  <c r="AD286" i="1"/>
  <c r="AE286" i="1"/>
  <c r="AG286" i="1"/>
  <c r="AI286" i="1"/>
  <c r="AJ286" i="1"/>
  <c r="AK286" i="1"/>
  <c r="AL286" i="1"/>
  <c r="AM286" i="1"/>
  <c r="AN286" i="1"/>
  <c r="AO286" i="1"/>
  <c r="AP286" i="1"/>
  <c r="AQ286" i="1"/>
  <c r="AR286" i="1"/>
  <c r="AS286" i="1"/>
  <c r="AT286" i="1"/>
  <c r="AU286" i="1"/>
  <c r="AB287" i="1"/>
  <c r="AC287" i="1"/>
  <c r="AD287" i="1"/>
  <c r="AE287" i="1"/>
  <c r="AG287" i="1"/>
  <c r="AI287" i="1"/>
  <c r="AJ287" i="1"/>
  <c r="AK287" i="1"/>
  <c r="AL287" i="1"/>
  <c r="AM287" i="1"/>
  <c r="AN287" i="1"/>
  <c r="AO287" i="1"/>
  <c r="AP287" i="1"/>
  <c r="AQ287" i="1"/>
  <c r="AR287" i="1"/>
  <c r="AS287" i="1"/>
  <c r="AT287" i="1"/>
  <c r="AU287" i="1"/>
  <c r="AB288" i="1"/>
  <c r="AC288" i="1"/>
  <c r="AD288" i="1"/>
  <c r="AE288" i="1"/>
  <c r="AG288" i="1"/>
  <c r="AI288" i="1"/>
  <c r="AJ288" i="1"/>
  <c r="AK288" i="1"/>
  <c r="AL288" i="1"/>
  <c r="AM288" i="1"/>
  <c r="AN288" i="1"/>
  <c r="AO288" i="1"/>
  <c r="AP288" i="1"/>
  <c r="AQ288" i="1"/>
  <c r="AR288" i="1"/>
  <c r="AS288" i="1"/>
  <c r="AT288" i="1"/>
  <c r="AU288" i="1"/>
  <c r="AB289" i="1"/>
  <c r="AC289" i="1"/>
  <c r="AD289" i="1"/>
  <c r="AE289" i="1"/>
  <c r="AG289" i="1"/>
  <c r="AH289" i="1"/>
  <c r="AI289" i="1"/>
  <c r="AJ289" i="1"/>
  <c r="AK289" i="1"/>
  <c r="AL289" i="1"/>
  <c r="AM289" i="1"/>
  <c r="AN289" i="1"/>
  <c r="AO289" i="1"/>
  <c r="AP289" i="1"/>
  <c r="AQ289" i="1"/>
  <c r="AR289" i="1"/>
  <c r="AS289" i="1"/>
  <c r="AT289" i="1"/>
  <c r="AU289" i="1"/>
  <c r="AB290" i="1"/>
  <c r="AC290" i="1"/>
  <c r="AD290" i="1"/>
  <c r="AE290" i="1"/>
  <c r="AG290" i="1"/>
  <c r="AI290" i="1"/>
  <c r="AJ290" i="1"/>
  <c r="AK290" i="1"/>
  <c r="AL290" i="1"/>
  <c r="AM290" i="1"/>
  <c r="AN290" i="1"/>
  <c r="AO290" i="1"/>
  <c r="AP290" i="1"/>
  <c r="AQ290" i="1"/>
  <c r="AR290" i="1"/>
  <c r="AS290" i="1"/>
  <c r="AT290" i="1"/>
  <c r="AU290" i="1"/>
  <c r="AB291" i="1"/>
  <c r="AC291" i="1"/>
  <c r="AD291" i="1"/>
  <c r="AE291" i="1"/>
  <c r="AG291" i="1"/>
  <c r="AI291" i="1"/>
  <c r="AJ291" i="1"/>
  <c r="AK291" i="1"/>
  <c r="AL291" i="1"/>
  <c r="AM291" i="1"/>
  <c r="AN291" i="1"/>
  <c r="AO291" i="1"/>
  <c r="AP291" i="1"/>
  <c r="AQ291" i="1"/>
  <c r="AR291" i="1"/>
  <c r="AS291" i="1"/>
  <c r="AT291" i="1"/>
  <c r="AU291" i="1"/>
  <c r="AB292" i="1"/>
  <c r="AC292" i="1"/>
  <c r="AD292" i="1"/>
  <c r="AE292" i="1"/>
  <c r="AG292" i="1"/>
  <c r="AI292" i="1"/>
  <c r="AJ292" i="1"/>
  <c r="AK292" i="1"/>
  <c r="AL292" i="1"/>
  <c r="AM292" i="1"/>
  <c r="AN292" i="1"/>
  <c r="AO292" i="1"/>
  <c r="AP292" i="1"/>
  <c r="AQ292" i="1"/>
  <c r="AR292" i="1"/>
  <c r="AS292" i="1"/>
  <c r="AT292" i="1"/>
  <c r="AU292" i="1"/>
  <c r="AB293" i="1"/>
  <c r="AC293" i="1"/>
  <c r="AD293" i="1"/>
  <c r="AE293" i="1"/>
  <c r="AG293" i="1"/>
  <c r="AI293" i="1"/>
  <c r="AJ293" i="1"/>
  <c r="AK293" i="1"/>
  <c r="AL293" i="1"/>
  <c r="AM293" i="1"/>
  <c r="AN293" i="1"/>
  <c r="AO293" i="1"/>
  <c r="AP293" i="1"/>
  <c r="AQ293" i="1"/>
  <c r="AR293" i="1"/>
  <c r="AS293" i="1"/>
  <c r="AT293" i="1"/>
  <c r="AU293" i="1"/>
  <c r="AB294" i="1"/>
  <c r="AC294" i="1"/>
  <c r="AD294" i="1"/>
  <c r="AE294" i="1"/>
  <c r="AG294" i="1"/>
  <c r="AI294" i="1"/>
  <c r="AJ294" i="1"/>
  <c r="AK294" i="1"/>
  <c r="AL294" i="1"/>
  <c r="AM294" i="1"/>
  <c r="AN294" i="1"/>
  <c r="AO294" i="1"/>
  <c r="AP294" i="1"/>
  <c r="AQ294" i="1"/>
  <c r="AR294" i="1"/>
  <c r="AS294" i="1"/>
  <c r="AT294" i="1"/>
  <c r="AU294" i="1"/>
  <c r="AB295" i="1"/>
  <c r="AC295" i="1"/>
  <c r="AD295" i="1"/>
  <c r="AE295" i="1"/>
  <c r="AG295" i="1"/>
  <c r="AI295" i="1"/>
  <c r="AJ295" i="1"/>
  <c r="AK295" i="1"/>
  <c r="AL295" i="1"/>
  <c r="AM295" i="1"/>
  <c r="AN295" i="1"/>
  <c r="AO295" i="1"/>
  <c r="AP295" i="1"/>
  <c r="AQ295" i="1"/>
  <c r="AR295" i="1"/>
  <c r="AS295" i="1"/>
  <c r="AT295" i="1"/>
  <c r="AU295" i="1"/>
  <c r="AB296" i="1"/>
  <c r="AC296" i="1"/>
  <c r="AD296" i="1"/>
  <c r="AE296" i="1"/>
  <c r="AG296" i="1"/>
  <c r="AI296" i="1"/>
  <c r="AJ296" i="1"/>
  <c r="AK296" i="1"/>
  <c r="AL296" i="1"/>
  <c r="AM296" i="1"/>
  <c r="AN296" i="1"/>
  <c r="AO296" i="1"/>
  <c r="AP296" i="1"/>
  <c r="AQ296" i="1"/>
  <c r="AR296" i="1"/>
  <c r="AS296" i="1"/>
  <c r="AT296" i="1"/>
  <c r="AU296" i="1"/>
  <c r="AB297" i="1"/>
  <c r="AC297" i="1"/>
  <c r="AD297" i="1"/>
  <c r="AE297" i="1"/>
  <c r="AG297" i="1"/>
  <c r="AI297" i="1"/>
  <c r="AJ297" i="1"/>
  <c r="AK297" i="1"/>
  <c r="AL297" i="1"/>
  <c r="AM297" i="1"/>
  <c r="AN297" i="1"/>
  <c r="AO297" i="1"/>
  <c r="AP297" i="1"/>
  <c r="AQ297" i="1"/>
  <c r="AR297" i="1"/>
  <c r="AS297" i="1"/>
  <c r="AT297" i="1"/>
  <c r="AU297" i="1"/>
  <c r="AB298" i="1"/>
  <c r="AC298" i="1"/>
  <c r="AD298" i="1"/>
  <c r="AE298" i="1"/>
  <c r="AG298" i="1"/>
  <c r="AI298" i="1"/>
  <c r="AJ298" i="1"/>
  <c r="AK298" i="1"/>
  <c r="AL298" i="1"/>
  <c r="AM298" i="1"/>
  <c r="AN298" i="1"/>
  <c r="AO298" i="1"/>
  <c r="AP298" i="1"/>
  <c r="AQ298" i="1"/>
  <c r="AR298" i="1"/>
  <c r="AS298" i="1"/>
  <c r="AT298" i="1"/>
  <c r="AU298" i="1"/>
  <c r="AB299" i="1"/>
  <c r="AC299" i="1"/>
  <c r="AD299" i="1"/>
  <c r="AE299" i="1"/>
  <c r="AG299" i="1"/>
  <c r="AI299" i="1"/>
  <c r="AJ299" i="1"/>
  <c r="AK299" i="1"/>
  <c r="AL299" i="1"/>
  <c r="AM299" i="1"/>
  <c r="AN299" i="1"/>
  <c r="AO299" i="1"/>
  <c r="AP299" i="1"/>
  <c r="AQ299" i="1"/>
  <c r="AR299" i="1"/>
  <c r="AS299" i="1"/>
  <c r="AT299" i="1"/>
  <c r="AU299" i="1"/>
  <c r="AB300" i="1"/>
  <c r="AC300" i="1"/>
  <c r="AD300" i="1"/>
  <c r="AE300" i="1"/>
  <c r="AG300" i="1"/>
  <c r="AI300" i="1"/>
  <c r="AJ300" i="1"/>
  <c r="AK300" i="1"/>
  <c r="AL300" i="1"/>
  <c r="AM300" i="1"/>
  <c r="AN300" i="1"/>
  <c r="AO300" i="1"/>
  <c r="AP300" i="1"/>
  <c r="AQ300" i="1"/>
  <c r="AR300" i="1"/>
  <c r="AS300" i="1"/>
  <c r="AT300" i="1"/>
  <c r="AU300" i="1"/>
  <c r="AB301" i="1"/>
  <c r="AC301" i="1"/>
  <c r="AD301" i="1"/>
  <c r="AE301" i="1"/>
  <c r="AG301" i="1"/>
  <c r="AI301" i="1"/>
  <c r="AJ301" i="1"/>
  <c r="AK301" i="1"/>
  <c r="AL301" i="1"/>
  <c r="AM301" i="1"/>
  <c r="AN301" i="1"/>
  <c r="AO301" i="1"/>
  <c r="AP301" i="1"/>
  <c r="AQ301" i="1"/>
  <c r="AR301" i="1"/>
  <c r="AS301" i="1"/>
  <c r="AT301" i="1"/>
  <c r="AU301" i="1"/>
  <c r="AB302" i="1"/>
  <c r="AC302" i="1"/>
  <c r="AD302" i="1"/>
  <c r="AE302" i="1"/>
  <c r="AG302" i="1"/>
  <c r="AI302" i="1"/>
  <c r="AJ302" i="1"/>
  <c r="AK302" i="1"/>
  <c r="AL302" i="1"/>
  <c r="AM302" i="1"/>
  <c r="AN302" i="1"/>
  <c r="AO302" i="1"/>
  <c r="AP302" i="1"/>
  <c r="AQ302" i="1"/>
  <c r="AR302" i="1"/>
  <c r="AS302" i="1"/>
  <c r="AT302" i="1"/>
  <c r="AU302" i="1"/>
  <c r="AB303" i="1"/>
  <c r="AC303" i="1"/>
  <c r="AD303" i="1"/>
  <c r="AE303" i="1"/>
  <c r="AG303" i="1"/>
  <c r="AI303" i="1"/>
  <c r="AJ303" i="1"/>
  <c r="AK303" i="1"/>
  <c r="AL303" i="1"/>
  <c r="AM303" i="1"/>
  <c r="AN303" i="1"/>
  <c r="AO303" i="1"/>
  <c r="AP303" i="1"/>
  <c r="AQ303" i="1"/>
  <c r="AR303" i="1"/>
  <c r="AS303" i="1"/>
  <c r="AT303" i="1"/>
  <c r="AU303" i="1"/>
  <c r="AB304" i="1"/>
  <c r="AC304" i="1"/>
  <c r="AD304" i="1"/>
  <c r="AE304" i="1"/>
  <c r="AG304" i="1"/>
  <c r="AI304" i="1"/>
  <c r="AJ304" i="1"/>
  <c r="AK304" i="1"/>
  <c r="AL304" i="1"/>
  <c r="AM304" i="1"/>
  <c r="AN304" i="1"/>
  <c r="AO304" i="1"/>
  <c r="AP304" i="1"/>
  <c r="AQ304" i="1"/>
  <c r="AR304" i="1"/>
  <c r="AS304" i="1"/>
  <c r="AT304" i="1"/>
  <c r="AU304" i="1"/>
  <c r="AB305" i="1"/>
  <c r="AC305" i="1"/>
  <c r="AD305" i="1"/>
  <c r="AE305" i="1"/>
  <c r="AG305" i="1"/>
  <c r="AI305" i="1"/>
  <c r="AJ305" i="1"/>
  <c r="AK305" i="1"/>
  <c r="AL305" i="1"/>
  <c r="AM305" i="1"/>
  <c r="AN305" i="1"/>
  <c r="AO305" i="1"/>
  <c r="AP305" i="1"/>
  <c r="AQ305" i="1"/>
  <c r="AR305" i="1"/>
  <c r="AS305" i="1"/>
  <c r="AT305" i="1"/>
  <c r="AU305" i="1"/>
  <c r="AB306" i="1"/>
  <c r="AC306" i="1"/>
  <c r="AD306" i="1"/>
  <c r="AE306" i="1"/>
  <c r="AG306" i="1"/>
  <c r="AI306" i="1"/>
  <c r="AJ306" i="1"/>
  <c r="AK306" i="1"/>
  <c r="AL306" i="1"/>
  <c r="AM306" i="1"/>
  <c r="AN306" i="1"/>
  <c r="AO306" i="1"/>
  <c r="AP306" i="1"/>
  <c r="AQ306" i="1"/>
  <c r="AR306" i="1"/>
  <c r="AS306" i="1"/>
  <c r="AT306" i="1"/>
  <c r="AU306" i="1"/>
  <c r="AB307" i="1"/>
  <c r="AC307" i="1"/>
  <c r="AD307" i="1"/>
  <c r="AE307" i="1"/>
  <c r="AG307" i="1"/>
  <c r="AI307" i="1"/>
  <c r="AJ307" i="1"/>
  <c r="AK307" i="1"/>
  <c r="AL307" i="1"/>
  <c r="AM307" i="1"/>
  <c r="AN307" i="1"/>
  <c r="AO307" i="1"/>
  <c r="AP307" i="1"/>
  <c r="AQ307" i="1"/>
  <c r="AR307" i="1"/>
  <c r="AS307" i="1"/>
  <c r="AT307" i="1"/>
  <c r="AU307" i="1"/>
  <c r="AB308" i="1"/>
  <c r="AC308" i="1"/>
  <c r="AD308" i="1"/>
  <c r="AE308" i="1"/>
  <c r="AG308" i="1"/>
  <c r="AI308" i="1"/>
  <c r="AJ308" i="1"/>
  <c r="AK308" i="1"/>
  <c r="AL308" i="1"/>
  <c r="AM308" i="1"/>
  <c r="AN308" i="1"/>
  <c r="AO308" i="1"/>
  <c r="AP308" i="1"/>
  <c r="AQ308" i="1"/>
  <c r="AR308" i="1"/>
  <c r="AS308" i="1"/>
  <c r="AT308" i="1"/>
  <c r="AU308" i="1"/>
  <c r="AB309" i="1"/>
  <c r="AC309" i="1"/>
  <c r="AD309" i="1"/>
  <c r="AE309" i="1"/>
  <c r="AG309" i="1"/>
  <c r="AI309" i="1"/>
  <c r="AJ309" i="1"/>
  <c r="AK309" i="1"/>
  <c r="AL309" i="1"/>
  <c r="AM309" i="1"/>
  <c r="AN309" i="1"/>
  <c r="AO309" i="1"/>
  <c r="AP309" i="1"/>
  <c r="AQ309" i="1"/>
  <c r="AR309" i="1"/>
  <c r="AS309" i="1"/>
  <c r="AT309" i="1"/>
  <c r="AU309" i="1"/>
  <c r="AB310" i="1"/>
  <c r="AC310" i="1"/>
  <c r="AD310" i="1"/>
  <c r="AE310" i="1"/>
  <c r="AG310" i="1"/>
  <c r="AI310" i="1"/>
  <c r="AJ310" i="1"/>
  <c r="AK310" i="1"/>
  <c r="AL310" i="1"/>
  <c r="AM310" i="1"/>
  <c r="AN310" i="1"/>
  <c r="AO310" i="1"/>
  <c r="AP310" i="1"/>
  <c r="AQ310" i="1"/>
  <c r="AR310" i="1"/>
  <c r="AS310" i="1"/>
  <c r="AT310" i="1"/>
  <c r="AU310" i="1"/>
  <c r="AB311" i="1"/>
  <c r="AC311" i="1"/>
  <c r="AD311" i="1"/>
  <c r="AE311" i="1"/>
  <c r="AG311" i="1"/>
  <c r="AI311" i="1"/>
  <c r="AJ311" i="1"/>
  <c r="AK311" i="1"/>
  <c r="AL311" i="1"/>
  <c r="AM311" i="1"/>
  <c r="AN311" i="1"/>
  <c r="AO311" i="1"/>
  <c r="AP311" i="1"/>
  <c r="AQ311" i="1"/>
  <c r="AR311" i="1"/>
  <c r="AS311" i="1"/>
  <c r="AT311" i="1"/>
  <c r="AU311" i="1"/>
  <c r="AB312" i="1"/>
  <c r="AC312" i="1"/>
  <c r="AD312" i="1"/>
  <c r="AE312" i="1"/>
  <c r="AG312" i="1"/>
  <c r="AI312" i="1"/>
  <c r="AJ312" i="1"/>
  <c r="AK312" i="1"/>
  <c r="AL312" i="1"/>
  <c r="AM312" i="1"/>
  <c r="AN312" i="1"/>
  <c r="AO312" i="1"/>
  <c r="AP312" i="1"/>
  <c r="AQ312" i="1"/>
  <c r="AR312" i="1"/>
  <c r="AS312" i="1"/>
  <c r="AT312" i="1"/>
  <c r="AU312" i="1"/>
  <c r="AB313" i="1"/>
  <c r="AC313" i="1"/>
  <c r="AD313" i="1"/>
  <c r="AE313" i="1"/>
  <c r="AG313" i="1"/>
  <c r="AI313" i="1"/>
  <c r="AJ313" i="1"/>
  <c r="AK313" i="1"/>
  <c r="AL313" i="1"/>
  <c r="AM313" i="1"/>
  <c r="AN313" i="1"/>
  <c r="AO313" i="1"/>
  <c r="AP313" i="1"/>
  <c r="AQ313" i="1"/>
  <c r="AR313" i="1"/>
  <c r="AS313" i="1"/>
  <c r="AT313" i="1"/>
  <c r="AU313" i="1"/>
  <c r="AB314" i="1"/>
  <c r="AC314" i="1"/>
  <c r="AD314" i="1"/>
  <c r="AE314" i="1"/>
  <c r="AG314" i="1"/>
  <c r="AI314" i="1"/>
  <c r="AJ314" i="1"/>
  <c r="AK314" i="1"/>
  <c r="AL314" i="1"/>
  <c r="AM314" i="1"/>
  <c r="AN314" i="1"/>
  <c r="AO314" i="1"/>
  <c r="AP314" i="1"/>
  <c r="AQ314" i="1"/>
  <c r="AR314" i="1"/>
  <c r="AS314" i="1"/>
  <c r="AT314" i="1"/>
  <c r="AU314" i="1"/>
  <c r="AB315" i="1"/>
  <c r="AC315" i="1"/>
  <c r="AD315" i="1"/>
  <c r="AE315" i="1"/>
  <c r="AG315" i="1"/>
  <c r="AI315" i="1"/>
  <c r="AJ315" i="1"/>
  <c r="AK315" i="1"/>
  <c r="AL315" i="1"/>
  <c r="AM315" i="1"/>
  <c r="AN315" i="1"/>
  <c r="AO315" i="1"/>
  <c r="AP315" i="1"/>
  <c r="AQ315" i="1"/>
  <c r="AR315" i="1"/>
  <c r="AS315" i="1"/>
  <c r="AT315" i="1"/>
  <c r="AU315" i="1"/>
  <c r="AB316" i="1"/>
  <c r="AC316" i="1"/>
  <c r="AD316" i="1"/>
  <c r="AE316" i="1"/>
  <c r="AG316" i="1"/>
  <c r="AI316" i="1"/>
  <c r="AJ316" i="1"/>
  <c r="AK316" i="1"/>
  <c r="AL316" i="1"/>
  <c r="AM316" i="1"/>
  <c r="AN316" i="1"/>
  <c r="AO316" i="1"/>
  <c r="AP316" i="1"/>
  <c r="AQ316" i="1"/>
  <c r="AR316" i="1"/>
  <c r="AS316" i="1"/>
  <c r="AT316" i="1"/>
  <c r="AU316" i="1"/>
  <c r="AB317" i="1"/>
  <c r="AC317" i="1"/>
  <c r="AD317" i="1"/>
  <c r="AE317" i="1"/>
  <c r="AG317" i="1"/>
  <c r="AI317" i="1"/>
  <c r="AJ317" i="1"/>
  <c r="AK317" i="1"/>
  <c r="AL317" i="1"/>
  <c r="AM317" i="1"/>
  <c r="AN317" i="1"/>
  <c r="AO317" i="1"/>
  <c r="AP317" i="1"/>
  <c r="AQ317" i="1"/>
  <c r="AR317" i="1"/>
  <c r="AS317" i="1"/>
  <c r="AT317" i="1"/>
  <c r="AU317" i="1"/>
  <c r="AB318" i="1"/>
  <c r="AC318" i="1"/>
  <c r="AD318" i="1"/>
  <c r="AE318" i="1"/>
  <c r="AG318" i="1"/>
  <c r="AI318" i="1"/>
  <c r="AJ318" i="1"/>
  <c r="AK318" i="1"/>
  <c r="AL318" i="1"/>
  <c r="AM318" i="1"/>
  <c r="AN318" i="1"/>
  <c r="AO318" i="1"/>
  <c r="AP318" i="1"/>
  <c r="AQ318" i="1"/>
  <c r="AR318" i="1"/>
  <c r="AS318" i="1"/>
  <c r="AT318" i="1"/>
  <c r="AU318" i="1"/>
  <c r="AB319" i="1"/>
  <c r="AC319" i="1"/>
  <c r="AD319" i="1"/>
  <c r="AE319" i="1"/>
  <c r="AG319" i="1"/>
  <c r="AI319" i="1"/>
  <c r="AJ319" i="1"/>
  <c r="AK319" i="1"/>
  <c r="AL319" i="1"/>
  <c r="AM319" i="1"/>
  <c r="AN319" i="1"/>
  <c r="AO319" i="1"/>
  <c r="AP319" i="1"/>
  <c r="AQ319" i="1"/>
  <c r="AR319" i="1"/>
  <c r="AS319" i="1"/>
  <c r="AT319" i="1"/>
  <c r="AU319" i="1"/>
  <c r="AB320" i="1"/>
  <c r="AC320" i="1"/>
  <c r="AD320" i="1"/>
  <c r="AE320" i="1"/>
  <c r="AG320" i="1"/>
  <c r="AI320" i="1"/>
  <c r="AJ320" i="1"/>
  <c r="AK320" i="1"/>
  <c r="AL320" i="1"/>
  <c r="AM320" i="1"/>
  <c r="AN320" i="1"/>
  <c r="AO320" i="1"/>
  <c r="AP320" i="1"/>
  <c r="AQ320" i="1"/>
  <c r="AR320" i="1"/>
  <c r="AS320" i="1"/>
  <c r="AT320" i="1"/>
  <c r="AU320" i="1"/>
  <c r="AB321" i="1"/>
  <c r="AC321" i="1"/>
  <c r="AD321" i="1"/>
  <c r="AE321" i="1"/>
  <c r="AG321" i="1"/>
  <c r="AI321" i="1"/>
  <c r="AJ321" i="1"/>
  <c r="AK321" i="1"/>
  <c r="AL321" i="1"/>
  <c r="AM321" i="1"/>
  <c r="AN321" i="1"/>
  <c r="AO321" i="1"/>
  <c r="AP321" i="1"/>
  <c r="AQ321" i="1"/>
  <c r="AR321" i="1"/>
  <c r="AS321" i="1"/>
  <c r="AT321" i="1"/>
  <c r="AU321" i="1"/>
  <c r="AB322" i="1"/>
  <c r="AC322" i="1"/>
  <c r="AD322" i="1"/>
  <c r="AE322" i="1"/>
  <c r="AG322" i="1"/>
  <c r="AI322" i="1"/>
  <c r="AJ322" i="1"/>
  <c r="AK322" i="1"/>
  <c r="AL322" i="1"/>
  <c r="AM322" i="1"/>
  <c r="AN322" i="1"/>
  <c r="AO322" i="1"/>
  <c r="AP322" i="1"/>
  <c r="AQ322" i="1"/>
  <c r="AR322" i="1"/>
  <c r="AS322" i="1"/>
  <c r="AT322" i="1"/>
  <c r="AU322" i="1"/>
  <c r="AB323" i="1"/>
  <c r="AC188" i="1" s="1"/>
  <c r="AC323" i="1"/>
  <c r="AD188" i="1" s="1"/>
  <c r="AD323" i="1"/>
  <c r="AE323" i="1"/>
  <c r="AF188" i="1" s="1"/>
  <c r="AG323" i="1"/>
  <c r="AH188" i="1" s="1"/>
  <c r="AI323" i="1"/>
  <c r="AJ188" i="1" s="1"/>
  <c r="AJ323" i="1"/>
  <c r="AK188" i="1" s="1"/>
  <c r="AK323" i="1"/>
  <c r="AL323" i="1"/>
  <c r="AM323" i="1"/>
  <c r="AN323" i="1"/>
  <c r="AO323" i="1"/>
  <c r="AP323" i="1"/>
  <c r="AQ323" i="1"/>
  <c r="AR323" i="1"/>
  <c r="AE188" i="1" s="1"/>
  <c r="AS323" i="1"/>
  <c r="AT323" i="1"/>
  <c r="AU323" i="1"/>
  <c r="AB324" i="1"/>
  <c r="AC189" i="1" s="1"/>
  <c r="AC324" i="1"/>
  <c r="AD189" i="1" s="1"/>
  <c r="AD324" i="1"/>
  <c r="AE324" i="1"/>
  <c r="AF189" i="1" s="1"/>
  <c r="AG324" i="1"/>
  <c r="AH189" i="1" s="1"/>
  <c r="AI324" i="1"/>
  <c r="AJ189" i="1" s="1"/>
  <c r="AJ324" i="1"/>
  <c r="AK189" i="1" s="1"/>
  <c r="AK324" i="1"/>
  <c r="AL324" i="1"/>
  <c r="AM324" i="1"/>
  <c r="AN324" i="1"/>
  <c r="AO324" i="1"/>
  <c r="AP324" i="1"/>
  <c r="AQ324" i="1"/>
  <c r="AR324" i="1"/>
  <c r="AE189" i="1" s="1"/>
  <c r="AS324" i="1"/>
  <c r="AT324" i="1"/>
  <c r="AU324" i="1"/>
  <c r="AB325" i="1"/>
  <c r="AC190" i="1" s="1"/>
  <c r="AC325" i="1"/>
  <c r="AD190" i="1" s="1"/>
  <c r="AD325" i="1"/>
  <c r="AE325" i="1"/>
  <c r="AF190" i="1" s="1"/>
  <c r="AG325" i="1"/>
  <c r="AH190" i="1" s="1"/>
  <c r="AH325" i="1"/>
  <c r="AI190" i="1" s="1"/>
  <c r="AI325" i="1"/>
  <c r="AJ190" i="1" s="1"/>
  <c r="AJ325" i="1"/>
  <c r="AK190" i="1" s="1"/>
  <c r="AK325" i="1"/>
  <c r="AL325" i="1"/>
  <c r="AM325" i="1"/>
  <c r="AN325" i="1"/>
  <c r="AO325" i="1"/>
  <c r="AP325" i="1"/>
  <c r="AQ325" i="1"/>
  <c r="AR325" i="1"/>
  <c r="AE190" i="1" s="1"/>
  <c r="AS325" i="1"/>
  <c r="AT325" i="1"/>
  <c r="AU325" i="1"/>
  <c r="AB326" i="1"/>
  <c r="AC191" i="1" s="1"/>
  <c r="AC326" i="1"/>
  <c r="AD191" i="1" s="1"/>
  <c r="AD326" i="1"/>
  <c r="AE326" i="1"/>
  <c r="AF191" i="1" s="1"/>
  <c r="AG326" i="1"/>
  <c r="AH191" i="1" s="1"/>
  <c r="AI326" i="1"/>
  <c r="AJ191" i="1" s="1"/>
  <c r="AJ326" i="1"/>
  <c r="AK191" i="1" s="1"/>
  <c r="AK326" i="1"/>
  <c r="AL326" i="1"/>
  <c r="AM326" i="1"/>
  <c r="AN326" i="1"/>
  <c r="AO326" i="1"/>
  <c r="AP326" i="1"/>
  <c r="AQ326" i="1"/>
  <c r="AR326" i="1"/>
  <c r="AE191" i="1" s="1"/>
  <c r="AS326" i="1"/>
  <c r="AT326" i="1"/>
  <c r="AU326" i="1"/>
  <c r="AB327" i="1"/>
  <c r="AC192" i="1" s="1"/>
  <c r="AC327" i="1"/>
  <c r="AD192" i="1" s="1"/>
  <c r="AD327" i="1"/>
  <c r="AE327" i="1"/>
  <c r="AF192" i="1" s="1"/>
  <c r="AG327" i="1"/>
  <c r="AH192" i="1" s="1"/>
  <c r="AI327" i="1"/>
  <c r="AJ192" i="1" s="1"/>
  <c r="AJ327" i="1"/>
  <c r="AK192" i="1" s="1"/>
  <c r="AK327" i="1"/>
  <c r="AL327" i="1"/>
  <c r="AM327" i="1"/>
  <c r="AN327" i="1"/>
  <c r="AO327" i="1"/>
  <c r="AP327" i="1"/>
  <c r="AQ327" i="1"/>
  <c r="AR327" i="1"/>
  <c r="AE192" i="1" s="1"/>
  <c r="AS327" i="1"/>
  <c r="AT327" i="1"/>
  <c r="AU327" i="1"/>
  <c r="AB328" i="1"/>
  <c r="AC193" i="1" s="1"/>
  <c r="AC328" i="1"/>
  <c r="AD193" i="1" s="1"/>
  <c r="AD328" i="1"/>
  <c r="AE328" i="1"/>
  <c r="AF193" i="1" s="1"/>
  <c r="AG328" i="1"/>
  <c r="AH193" i="1" s="1"/>
  <c r="AI328" i="1"/>
  <c r="AJ193" i="1" s="1"/>
  <c r="AJ328" i="1"/>
  <c r="AK193" i="1" s="1"/>
  <c r="AK328" i="1"/>
  <c r="AL328" i="1"/>
  <c r="AM328" i="1"/>
  <c r="AN328" i="1"/>
  <c r="AO328" i="1"/>
  <c r="AP328" i="1"/>
  <c r="AQ328" i="1"/>
  <c r="AR328" i="1"/>
  <c r="AE193" i="1" s="1"/>
  <c r="AS328" i="1"/>
  <c r="AT328" i="1"/>
  <c r="AU328" i="1"/>
  <c r="AB329" i="1"/>
  <c r="AC194" i="1" s="1"/>
  <c r="AC329" i="1"/>
  <c r="AD194" i="1" s="1"/>
  <c r="AD329" i="1"/>
  <c r="AE329" i="1"/>
  <c r="AF194" i="1" s="1"/>
  <c r="AG329" i="1"/>
  <c r="AH194" i="1" s="1"/>
  <c r="AI329" i="1"/>
  <c r="AJ194" i="1" s="1"/>
  <c r="AJ329" i="1"/>
  <c r="AK194" i="1" s="1"/>
  <c r="AK329" i="1"/>
  <c r="AL329" i="1"/>
  <c r="AM329" i="1"/>
  <c r="AN329" i="1"/>
  <c r="AO329" i="1"/>
  <c r="AP329" i="1"/>
  <c r="AQ329" i="1"/>
  <c r="AR329" i="1"/>
  <c r="AE194" i="1" s="1"/>
  <c r="AS329" i="1"/>
  <c r="AT329" i="1"/>
  <c r="AU329" i="1"/>
  <c r="AB330" i="1"/>
  <c r="AC195" i="1" s="1"/>
  <c r="AC330" i="1"/>
  <c r="AD195" i="1" s="1"/>
  <c r="AD330" i="1"/>
  <c r="AE330" i="1"/>
  <c r="AF195" i="1" s="1"/>
  <c r="AG330" i="1"/>
  <c r="AH195" i="1" s="1"/>
  <c r="AI330" i="1"/>
  <c r="AJ195" i="1" s="1"/>
  <c r="AJ330" i="1"/>
  <c r="AK195" i="1" s="1"/>
  <c r="AK330" i="1"/>
  <c r="AL330" i="1"/>
  <c r="AM330" i="1"/>
  <c r="AN330" i="1"/>
  <c r="AO330" i="1"/>
  <c r="AP330" i="1"/>
  <c r="AQ330" i="1"/>
  <c r="AR330" i="1"/>
  <c r="AE195" i="1" s="1"/>
  <c r="AS330" i="1"/>
  <c r="AT330" i="1"/>
  <c r="AU330" i="1"/>
  <c r="AB331" i="1"/>
  <c r="AC196" i="1" s="1"/>
  <c r="AC331" i="1"/>
  <c r="AD196" i="1" s="1"/>
  <c r="AD331" i="1"/>
  <c r="AE331" i="1"/>
  <c r="AF196" i="1" s="1"/>
  <c r="AF331" i="1"/>
  <c r="AG196" i="1" s="1"/>
  <c r="AG331" i="1"/>
  <c r="AH196" i="1" s="1"/>
  <c r="AI331" i="1"/>
  <c r="AJ196" i="1" s="1"/>
  <c r="AJ331" i="1"/>
  <c r="AK196" i="1" s="1"/>
  <c r="AK331" i="1"/>
  <c r="AL331" i="1"/>
  <c r="AM331" i="1"/>
  <c r="AN331" i="1"/>
  <c r="AO331" i="1"/>
  <c r="AP331" i="1"/>
  <c r="AQ331" i="1"/>
  <c r="AR331" i="1"/>
  <c r="AE196" i="1" s="1"/>
  <c r="AS331" i="1"/>
  <c r="AT331" i="1"/>
  <c r="AU331" i="1"/>
  <c r="AB332" i="1"/>
  <c r="AC332" i="1"/>
  <c r="AD332" i="1"/>
  <c r="AE332" i="1"/>
  <c r="AG332" i="1"/>
  <c r="AI332" i="1"/>
  <c r="AJ332" i="1"/>
  <c r="AK332" i="1"/>
  <c r="AL332" i="1"/>
  <c r="AM332" i="1"/>
  <c r="AN332" i="1"/>
  <c r="AO332" i="1"/>
  <c r="AP332" i="1"/>
  <c r="AQ332" i="1"/>
  <c r="AR332" i="1"/>
  <c r="AS332" i="1"/>
  <c r="AT332" i="1"/>
  <c r="AU332" i="1"/>
  <c r="AB333" i="1"/>
  <c r="AC333" i="1"/>
  <c r="AD333" i="1"/>
  <c r="AE333" i="1"/>
  <c r="AG333" i="1"/>
  <c r="AI333" i="1"/>
  <c r="AJ333" i="1"/>
  <c r="AK333" i="1"/>
  <c r="AL333" i="1"/>
  <c r="AM333" i="1"/>
  <c r="AN333" i="1"/>
  <c r="AO333" i="1"/>
  <c r="AP333" i="1"/>
  <c r="AQ333" i="1"/>
  <c r="AR333" i="1"/>
  <c r="AS333" i="1"/>
  <c r="AT333" i="1"/>
  <c r="AU333" i="1"/>
  <c r="AB334" i="1"/>
  <c r="AC334" i="1"/>
  <c r="AD334" i="1"/>
  <c r="AE334" i="1"/>
  <c r="AG334" i="1"/>
  <c r="AI334" i="1"/>
  <c r="AJ334" i="1"/>
  <c r="AK334" i="1"/>
  <c r="AL334" i="1"/>
  <c r="AM334" i="1"/>
  <c r="AN334" i="1"/>
  <c r="AO334" i="1"/>
  <c r="AP334" i="1"/>
  <c r="AQ334" i="1"/>
  <c r="AR334" i="1"/>
  <c r="AS334" i="1"/>
  <c r="AT334" i="1"/>
  <c r="AU334" i="1"/>
  <c r="AB335" i="1"/>
  <c r="AC335" i="1"/>
  <c r="AD335" i="1"/>
  <c r="AE335" i="1"/>
  <c r="AG335" i="1"/>
  <c r="AI335" i="1"/>
  <c r="AJ335" i="1"/>
  <c r="AK335" i="1"/>
  <c r="AL335" i="1"/>
  <c r="AM335" i="1"/>
  <c r="AN335" i="1"/>
  <c r="AO335" i="1"/>
  <c r="AP335" i="1"/>
  <c r="AQ335" i="1"/>
  <c r="AR335" i="1"/>
  <c r="AS335" i="1"/>
  <c r="AT335" i="1"/>
  <c r="AU335" i="1"/>
  <c r="AB336" i="1"/>
  <c r="AC336" i="1"/>
  <c r="AD336" i="1"/>
  <c r="AE336" i="1"/>
  <c r="AG336" i="1"/>
  <c r="AI336" i="1"/>
  <c r="AJ336" i="1"/>
  <c r="AK336" i="1"/>
  <c r="AL336" i="1"/>
  <c r="AM336" i="1"/>
  <c r="AN336" i="1"/>
  <c r="AO336" i="1"/>
  <c r="AP336" i="1"/>
  <c r="AQ336" i="1"/>
  <c r="AR336" i="1"/>
  <c r="AS336" i="1"/>
  <c r="AT336" i="1"/>
  <c r="AU336" i="1"/>
  <c r="AB337" i="1"/>
  <c r="AC337" i="1"/>
  <c r="AD337" i="1"/>
  <c r="AE337" i="1"/>
  <c r="AG337" i="1"/>
  <c r="AI337" i="1"/>
  <c r="AJ337" i="1"/>
  <c r="AK337" i="1"/>
  <c r="AL337" i="1"/>
  <c r="AM337" i="1"/>
  <c r="AN337" i="1"/>
  <c r="AO337" i="1"/>
  <c r="AP337" i="1"/>
  <c r="AQ337" i="1"/>
  <c r="AR337" i="1"/>
  <c r="AS337" i="1"/>
  <c r="AT337" i="1"/>
  <c r="AU337" i="1"/>
  <c r="AB338" i="1"/>
  <c r="AC338" i="1"/>
  <c r="AD338" i="1"/>
  <c r="AE338" i="1"/>
  <c r="AG338" i="1"/>
  <c r="AI338" i="1"/>
  <c r="AJ338" i="1"/>
  <c r="AK338" i="1"/>
  <c r="AL338" i="1"/>
  <c r="AM338" i="1"/>
  <c r="AN338" i="1"/>
  <c r="AO338" i="1"/>
  <c r="AP338" i="1"/>
  <c r="AQ338" i="1"/>
  <c r="AR338" i="1"/>
  <c r="AS338" i="1"/>
  <c r="AT338" i="1"/>
  <c r="AU338" i="1"/>
  <c r="AB339" i="1"/>
  <c r="AC339" i="1"/>
  <c r="AD339" i="1"/>
  <c r="AE339" i="1"/>
  <c r="AG339" i="1"/>
  <c r="AI339" i="1"/>
  <c r="AJ339" i="1"/>
  <c r="AK339" i="1"/>
  <c r="AL339" i="1"/>
  <c r="AM339" i="1"/>
  <c r="AN339" i="1"/>
  <c r="AO339" i="1"/>
  <c r="AP339" i="1"/>
  <c r="AQ339" i="1"/>
  <c r="AR339" i="1"/>
  <c r="AS339" i="1"/>
  <c r="AT339" i="1"/>
  <c r="AU339" i="1"/>
  <c r="AB340" i="1"/>
  <c r="AC340" i="1"/>
  <c r="AD340" i="1"/>
  <c r="AE340" i="1"/>
  <c r="AG340" i="1"/>
  <c r="AI340" i="1"/>
  <c r="AJ340" i="1"/>
  <c r="AK340" i="1"/>
  <c r="AL340" i="1"/>
  <c r="AM340" i="1"/>
  <c r="AN340" i="1"/>
  <c r="AO340" i="1"/>
  <c r="AP340" i="1"/>
  <c r="AQ340" i="1"/>
  <c r="AR340" i="1"/>
  <c r="AS340" i="1"/>
  <c r="AT340" i="1"/>
  <c r="AU340" i="1"/>
  <c r="AB341" i="1"/>
  <c r="AC341" i="1"/>
  <c r="AD341" i="1"/>
  <c r="AE341" i="1"/>
  <c r="AG341" i="1"/>
  <c r="AI341" i="1"/>
  <c r="AJ341" i="1"/>
  <c r="AK341" i="1"/>
  <c r="AL341" i="1"/>
  <c r="AM341" i="1"/>
  <c r="AN341" i="1"/>
  <c r="AO341" i="1"/>
  <c r="AP341" i="1"/>
  <c r="AQ341" i="1"/>
  <c r="AR341" i="1"/>
  <c r="AS341" i="1"/>
  <c r="AT341" i="1"/>
  <c r="AU341" i="1"/>
  <c r="AB342" i="1"/>
  <c r="AC342" i="1"/>
  <c r="AD342" i="1"/>
  <c r="AE342" i="1"/>
  <c r="AG342" i="1"/>
  <c r="AI342" i="1"/>
  <c r="AJ342" i="1"/>
  <c r="AK342" i="1"/>
  <c r="AL342" i="1"/>
  <c r="AM342" i="1"/>
  <c r="AN342" i="1"/>
  <c r="AO342" i="1"/>
  <c r="AP342" i="1"/>
  <c r="AQ342" i="1"/>
  <c r="AR342" i="1"/>
  <c r="AS342" i="1"/>
  <c r="AT342" i="1"/>
  <c r="AU342" i="1"/>
  <c r="AH330" i="1"/>
  <c r="AI195" i="1" s="1"/>
  <c r="AH331" i="1"/>
  <c r="AI196" i="1" s="1"/>
  <c r="AH332" i="1"/>
  <c r="AH333" i="1"/>
  <c r="AH334" i="1"/>
  <c r="AH335" i="1"/>
  <c r="AH336" i="1"/>
  <c r="AH337" i="1"/>
  <c r="AH338" i="1"/>
  <c r="AH339" i="1"/>
  <c r="AH340" i="1"/>
  <c r="AH341" i="1"/>
  <c r="AH342"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I188" i="1" s="1"/>
  <c r="AH324" i="1"/>
  <c r="AI189" i="1" s="1"/>
  <c r="AH326" i="1"/>
  <c r="AI191" i="1" s="1"/>
  <c r="AH327" i="1"/>
  <c r="AI192" i="1" s="1"/>
  <c r="AH328" i="1"/>
  <c r="AI193" i="1" s="1"/>
  <c r="AH329" i="1"/>
  <c r="AI194" i="1" s="1"/>
  <c r="AF330" i="1"/>
  <c r="AG195" i="1" s="1"/>
  <c r="AF332" i="1"/>
  <c r="AF333" i="1"/>
  <c r="AF334" i="1"/>
  <c r="AF335" i="1"/>
  <c r="AF336" i="1"/>
  <c r="AF337" i="1"/>
  <c r="AF338" i="1"/>
  <c r="AF339" i="1"/>
  <c r="AF340" i="1"/>
  <c r="AF341" i="1"/>
  <c r="AF342"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G188" i="1" s="1"/>
  <c r="AF324" i="1"/>
  <c r="AG189" i="1" s="1"/>
  <c r="AF325" i="1"/>
  <c r="AG190" i="1" s="1"/>
  <c r="AF326" i="1"/>
  <c r="AG191" i="1" s="1"/>
  <c r="AF327" i="1"/>
  <c r="AG192" i="1" s="1"/>
  <c r="AF328" i="1"/>
  <c r="AG193" i="1" s="1"/>
  <c r="AF329" i="1"/>
  <c r="AG194" i="1" s="1"/>
  <c r="AE87" i="7" l="1"/>
  <c r="AE90" i="7"/>
  <c r="AE93" i="7"/>
  <c r="AE95" i="7"/>
  <c r="AE94" i="7"/>
  <c r="AE92" i="7"/>
  <c r="AE91" i="7"/>
  <c r="AE89" i="7"/>
  <c r="AE88" i="7"/>
  <c r="AL196" i="1"/>
  <c r="AL195" i="1"/>
  <c r="AQ58" i="7" l="1"/>
  <c r="E40" i="7" s="1"/>
  <c r="Z82" i="7"/>
  <c r="Y82" i="7"/>
  <c r="X82" i="7"/>
  <c r="W82" i="7"/>
  <c r="V82" i="7"/>
  <c r="Z81" i="7"/>
  <c r="Y81" i="7"/>
  <c r="X81" i="7"/>
  <c r="W81" i="7"/>
  <c r="V81" i="7"/>
  <c r="Z80" i="7"/>
  <c r="Y80" i="7"/>
  <c r="X80" i="7"/>
  <c r="W80" i="7"/>
  <c r="V80" i="7"/>
  <c r="Z79" i="7"/>
  <c r="Y79" i="7"/>
  <c r="X79" i="7"/>
  <c r="W79" i="7"/>
  <c r="V79" i="7"/>
  <c r="Z78" i="7"/>
  <c r="Y78" i="7"/>
  <c r="X78" i="7"/>
  <c r="W78" i="7"/>
  <c r="V78" i="7"/>
  <c r="Z77" i="7"/>
  <c r="Y77" i="7"/>
  <c r="X77" i="7"/>
  <c r="W77" i="7"/>
  <c r="V77" i="7"/>
  <c r="Z76" i="7"/>
  <c r="Y76" i="7"/>
  <c r="X76" i="7"/>
  <c r="W76" i="7"/>
  <c r="V76" i="7"/>
  <c r="Z75" i="7"/>
  <c r="Y75" i="7"/>
  <c r="X75" i="7"/>
  <c r="W75" i="7"/>
  <c r="V75" i="7"/>
  <c r="Z74" i="7"/>
  <c r="Y74" i="7"/>
  <c r="X74" i="7"/>
  <c r="W74" i="7"/>
  <c r="V74" i="7"/>
  <c r="Z73" i="7"/>
  <c r="Y73" i="7"/>
  <c r="X73" i="7"/>
  <c r="W73" i="7"/>
  <c r="V73" i="7"/>
  <c r="Z68" i="7"/>
  <c r="Y68" i="7"/>
  <c r="X68" i="7"/>
  <c r="W68" i="7"/>
  <c r="V68" i="7"/>
  <c r="Z67" i="7"/>
  <c r="Y67" i="7"/>
  <c r="X67" i="7"/>
  <c r="W67" i="7"/>
  <c r="V67" i="7"/>
  <c r="Z66" i="7"/>
  <c r="Y66" i="7"/>
  <c r="X66" i="7"/>
  <c r="W66" i="7"/>
  <c r="V66" i="7"/>
  <c r="Z65" i="7"/>
  <c r="Y65" i="7"/>
  <c r="X65" i="7"/>
  <c r="W65" i="7"/>
  <c r="V65" i="7"/>
  <c r="Z64" i="7"/>
  <c r="Y64" i="7"/>
  <c r="X64" i="7"/>
  <c r="W64" i="7"/>
  <c r="V64" i="7"/>
  <c r="Z63" i="7"/>
  <c r="Y63" i="7"/>
  <c r="X63" i="7"/>
  <c r="W63" i="7"/>
  <c r="V63" i="7"/>
  <c r="Z62" i="7"/>
  <c r="Y62" i="7"/>
  <c r="X62" i="7"/>
  <c r="W62" i="7"/>
  <c r="V62" i="7"/>
  <c r="Z61" i="7"/>
  <c r="Y61" i="7"/>
  <c r="X61" i="7"/>
  <c r="W61" i="7"/>
  <c r="V61" i="7"/>
  <c r="Z60" i="7"/>
  <c r="Y60" i="7"/>
  <c r="X60" i="7"/>
  <c r="W60" i="7"/>
  <c r="V60" i="7"/>
  <c r="Z59" i="7"/>
  <c r="Y59" i="7"/>
  <c r="X59" i="7"/>
  <c r="W59" i="7"/>
  <c r="V59" i="7"/>
  <c r="Z58" i="7"/>
  <c r="Y58" i="7"/>
  <c r="X58" i="7"/>
  <c r="W58" i="7"/>
  <c r="V58" i="7"/>
  <c r="Z57" i="7"/>
  <c r="Y57" i="7"/>
  <c r="X57" i="7"/>
  <c r="W57" i="7"/>
  <c r="V57" i="7"/>
  <c r="Z56" i="7"/>
  <c r="Y56" i="7"/>
  <c r="X56" i="7"/>
  <c r="W56" i="7"/>
  <c r="V56" i="7"/>
  <c r="AP44" i="7"/>
  <c r="B59" i="7" s="1"/>
  <c r="AP43" i="7"/>
  <c r="B58" i="7" s="1"/>
  <c r="AP42" i="7"/>
  <c r="B57" i="7" s="1"/>
  <c r="AP41" i="7"/>
  <c r="B56" i="7" s="1"/>
  <c r="AP40" i="7"/>
  <c r="B55" i="7" s="1"/>
  <c r="B40" i="7"/>
  <c r="Q35" i="7"/>
  <c r="P35" i="7"/>
  <c r="E18" i="7" s="1"/>
  <c r="J34" i="7"/>
  <c r="J35" i="7" s="1"/>
  <c r="D36" i="7" s="1"/>
  <c r="B35" i="7"/>
  <c r="AG31" i="7"/>
  <c r="B29" i="7"/>
  <c r="AQ27" i="7" s="1"/>
  <c r="B27" i="7"/>
  <c r="P25" i="7"/>
  <c r="I24" i="7" s="1"/>
  <c r="G24" i="7"/>
  <c r="E24" i="7"/>
  <c r="C24" i="7"/>
  <c r="AB23" i="7"/>
  <c r="AA23" i="7"/>
  <c r="Z23" i="7"/>
  <c r="Y23" i="7"/>
  <c r="I23" i="7"/>
  <c r="G23" i="7"/>
  <c r="E23" i="7"/>
  <c r="C23" i="7"/>
  <c r="AB22" i="7"/>
  <c r="AA22" i="7"/>
  <c r="Z22" i="7"/>
  <c r="Y22" i="7"/>
  <c r="I22" i="7"/>
  <c r="G22" i="7"/>
  <c r="E22" i="7"/>
  <c r="C22" i="7"/>
  <c r="I21" i="7"/>
  <c r="G21" i="7"/>
  <c r="E21" i="7"/>
  <c r="C21" i="7"/>
  <c r="AQ20" i="7"/>
  <c r="AI20" i="7"/>
  <c r="I20" i="7"/>
  <c r="AQ19" i="7"/>
  <c r="B48" i="7" s="1"/>
  <c r="AQ35" i="7" s="1"/>
  <c r="AI19" i="7"/>
  <c r="AQ18" i="7"/>
  <c r="B47" i="7" s="1"/>
  <c r="AQ34" i="7" s="1"/>
  <c r="AI18" i="7"/>
  <c r="I18" i="7"/>
  <c r="AI17" i="7"/>
  <c r="AI16" i="7"/>
  <c r="AI15" i="7"/>
  <c r="AQ14" i="7"/>
  <c r="AI14" i="7"/>
  <c r="I14" i="7"/>
  <c r="AQ13" i="7"/>
  <c r="B45" i="7" s="1"/>
  <c r="AQ32" i="7" s="1"/>
  <c r="AI13" i="7"/>
  <c r="AQ12" i="7"/>
  <c r="B44" i="7" s="1"/>
  <c r="AQ31" i="7" s="1"/>
  <c r="AI12" i="7"/>
  <c r="AI11" i="7"/>
  <c r="AB11" i="7"/>
  <c r="AA11" i="7"/>
  <c r="Z11" i="7"/>
  <c r="Y11" i="7"/>
  <c r="AI10" i="7"/>
  <c r="AB10" i="7"/>
  <c r="AA10" i="7"/>
  <c r="Z10" i="7"/>
  <c r="Y10" i="7"/>
  <c r="AI9" i="7"/>
  <c r="AJ9" i="7" s="1"/>
  <c r="AB9" i="7"/>
  <c r="AA9" i="7"/>
  <c r="Z9" i="7"/>
  <c r="Y9" i="7"/>
  <c r="AQ8" i="7"/>
  <c r="B43" i="7" s="1"/>
  <c r="AQ30" i="7" s="1"/>
  <c r="AB8" i="7"/>
  <c r="AA8" i="7"/>
  <c r="Z8" i="7"/>
  <c r="AC8" i="7" s="1"/>
  <c r="Y8" i="7"/>
  <c r="AQ7" i="7"/>
  <c r="AQ6" i="7"/>
  <c r="AC9" i="7" l="1"/>
  <c r="AJ18" i="7"/>
  <c r="AJ12" i="7"/>
  <c r="AJ15" i="7"/>
  <c r="AC30" i="7"/>
  <c r="O99" i="7" s="1"/>
  <c r="AL18" i="7"/>
  <c r="AC10" i="7"/>
  <c r="AD8" i="7" s="1"/>
  <c r="P24" i="7"/>
  <c r="G20" i="7" s="1"/>
  <c r="D35" i="7"/>
  <c r="E36" i="7"/>
  <c r="E35" i="7"/>
  <c r="AC22" i="7"/>
  <c r="V49" i="7"/>
  <c r="AC23" i="7"/>
  <c r="AD22" i="7" s="1"/>
  <c r="AB39" i="7" s="1"/>
  <c r="AC32" i="7" s="1"/>
  <c r="AC11" i="7"/>
  <c r="D40" i="7"/>
  <c r="B41" i="7"/>
  <c r="AQ28" i="7" s="1"/>
  <c r="B49" i="7"/>
  <c r="AQ36" i="7" s="1"/>
  <c r="B42" i="7"/>
  <c r="AQ29" i="7" s="1"/>
  <c r="B46" i="7"/>
  <c r="AQ33" i="7" s="1"/>
  <c r="AK18" i="7" l="1"/>
  <c r="AV26" i="7" s="1"/>
  <c r="Q114" i="7" s="1"/>
  <c r="AB36" i="7"/>
  <c r="AC31" i="7" s="1"/>
  <c r="P99" i="7" s="1"/>
  <c r="Q99" i="7"/>
  <c r="AL15" i="7"/>
  <c r="AK15" i="7" s="1"/>
  <c r="AU26" i="7" s="1"/>
  <c r="P114" i="7" s="1"/>
  <c r="AL12" i="7"/>
  <c r="AK12" i="7" s="1"/>
  <c r="AL9" i="7"/>
  <c r="AK9" i="7" s="1"/>
  <c r="V47" i="7"/>
  <c r="V48" i="7" s="1"/>
  <c r="V51" i="7" s="1"/>
  <c r="J27" i="7" s="1"/>
  <c r="J28" i="7" s="1"/>
  <c r="AU5" i="7"/>
  <c r="AS5" i="7"/>
  <c r="D28" i="7" l="1"/>
  <c r="E28" i="7"/>
  <c r="AS26" i="7"/>
  <c r="N114" i="7" s="1"/>
  <c r="AT26" i="7"/>
  <c r="O114" i="7" s="1"/>
  <c r="E27" i="7"/>
  <c r="AT5" i="7"/>
  <c r="D27" i="7"/>
  <c r="B40" i="1"/>
  <c r="AE97" i="1"/>
  <c r="AJ116" i="1"/>
  <c r="AJ117" i="1"/>
  <c r="AJ118" i="1"/>
  <c r="AJ119" i="1"/>
  <c r="AJ120" i="1"/>
  <c r="AJ121" i="1"/>
  <c r="AJ122" i="1"/>
  <c r="AJ123" i="1"/>
  <c r="AJ124" i="1"/>
  <c r="AJ125" i="1"/>
  <c r="AJ126" i="1"/>
  <c r="AJ127" i="1"/>
  <c r="AJ128" i="1"/>
  <c r="AJ129" i="1"/>
  <c r="AJ130" i="1"/>
  <c r="AJ131" i="1"/>
  <c r="AJ132" i="1"/>
  <c r="AJ133" i="1"/>
  <c r="AJ134" i="1"/>
  <c r="AJ95" i="1"/>
  <c r="AJ96" i="1"/>
  <c r="AJ97" i="1"/>
  <c r="AJ98" i="1"/>
  <c r="AJ99" i="1"/>
  <c r="AJ100" i="1"/>
  <c r="AJ101" i="1"/>
  <c r="AJ102" i="1"/>
  <c r="AJ103" i="1"/>
  <c r="AJ104" i="1"/>
  <c r="AJ105" i="1"/>
  <c r="AJ106" i="1"/>
  <c r="AJ107" i="1"/>
  <c r="AJ108" i="1"/>
  <c r="AJ109" i="1"/>
  <c r="AJ111" i="1"/>
  <c r="AJ112" i="1"/>
  <c r="AJ113" i="1"/>
  <c r="AJ114" i="1"/>
  <c r="AJ91" i="1"/>
  <c r="AJ92" i="1"/>
  <c r="AJ93" i="1"/>
  <c r="AJ94" i="1"/>
  <c r="AJ90" i="1"/>
  <c r="AF62" i="1"/>
  <c r="AE98" i="1" l="1"/>
  <c r="E40" i="1" s="1"/>
  <c r="AC263" i="1"/>
  <c r="AD263" i="1"/>
  <c r="AE263" i="1"/>
  <c r="AG263" i="1"/>
  <c r="AI263" i="1"/>
  <c r="AJ263" i="1"/>
  <c r="AK263" i="1"/>
  <c r="AL263" i="1"/>
  <c r="AM263" i="1"/>
  <c r="AN263" i="1"/>
  <c r="AO263" i="1"/>
  <c r="AP263" i="1"/>
  <c r="AQ263" i="1"/>
  <c r="AR263" i="1"/>
  <c r="AS263" i="1"/>
  <c r="AT263" i="1"/>
  <c r="AU263" i="1"/>
  <c r="AB263" i="1"/>
  <c r="AC175" i="1"/>
  <c r="AD175" i="1"/>
  <c r="AE175" i="1"/>
  <c r="AF175" i="1"/>
  <c r="AG175" i="1"/>
  <c r="AC176" i="1"/>
  <c r="AD176" i="1"/>
  <c r="AE176" i="1"/>
  <c r="AF176" i="1"/>
  <c r="AG176" i="1"/>
  <c r="AC177" i="1"/>
  <c r="AD177" i="1"/>
  <c r="AE177" i="1"/>
  <c r="AF177" i="1"/>
  <c r="AG177" i="1"/>
  <c r="AC178" i="1"/>
  <c r="AD178" i="1"/>
  <c r="AE178" i="1"/>
  <c r="AF178" i="1"/>
  <c r="AG178" i="1"/>
  <c r="AC179" i="1"/>
  <c r="AD179" i="1"/>
  <c r="AE179" i="1"/>
  <c r="AF179" i="1"/>
  <c r="AG179" i="1"/>
  <c r="AC180" i="1"/>
  <c r="AD180" i="1"/>
  <c r="AE180" i="1"/>
  <c r="AF180" i="1"/>
  <c r="AG180" i="1"/>
  <c r="AC181" i="1"/>
  <c r="AD181" i="1"/>
  <c r="AE181" i="1"/>
  <c r="AF181" i="1"/>
  <c r="AG181" i="1"/>
  <c r="AC182" i="1"/>
  <c r="AD182" i="1"/>
  <c r="AE182" i="1"/>
  <c r="AF182" i="1"/>
  <c r="AG182" i="1"/>
  <c r="AC183" i="1"/>
  <c r="AD183" i="1"/>
  <c r="AE183" i="1"/>
  <c r="AF183" i="1"/>
  <c r="AG183" i="1"/>
  <c r="AD174" i="1"/>
  <c r="AE174" i="1"/>
  <c r="AF174" i="1"/>
  <c r="AG174" i="1"/>
  <c r="AC174" i="1"/>
  <c r="AC158" i="1"/>
  <c r="AD158" i="1"/>
  <c r="AE158" i="1"/>
  <c r="AF158" i="1"/>
  <c r="AG158" i="1"/>
  <c r="AC159" i="1"/>
  <c r="AD159" i="1"/>
  <c r="AE159" i="1"/>
  <c r="AF159" i="1"/>
  <c r="AG159" i="1"/>
  <c r="AC160" i="1"/>
  <c r="AD160" i="1"/>
  <c r="AE160" i="1"/>
  <c r="AF160" i="1"/>
  <c r="AG160" i="1"/>
  <c r="AC161" i="1"/>
  <c r="AD161" i="1"/>
  <c r="AE161" i="1"/>
  <c r="AF161" i="1"/>
  <c r="AG161" i="1"/>
  <c r="AC162" i="1"/>
  <c r="AD162" i="1"/>
  <c r="AE162" i="1"/>
  <c r="AF162" i="1"/>
  <c r="AG162" i="1"/>
  <c r="AC163" i="1"/>
  <c r="AD163" i="1"/>
  <c r="AE163" i="1"/>
  <c r="AF163" i="1"/>
  <c r="AG163" i="1"/>
  <c r="AC164" i="1"/>
  <c r="AD164" i="1"/>
  <c r="AE164" i="1"/>
  <c r="AF164" i="1"/>
  <c r="AG164" i="1"/>
  <c r="AC165" i="1"/>
  <c r="AD165" i="1"/>
  <c r="AE165" i="1"/>
  <c r="AF165" i="1"/>
  <c r="AG165" i="1"/>
  <c r="AC166" i="1"/>
  <c r="AD166" i="1"/>
  <c r="AE166" i="1"/>
  <c r="AF166" i="1"/>
  <c r="AG166" i="1"/>
  <c r="AC167" i="1"/>
  <c r="AD167" i="1"/>
  <c r="AE167" i="1"/>
  <c r="AF167" i="1"/>
  <c r="AG167" i="1"/>
  <c r="AC168" i="1"/>
  <c r="AD168" i="1"/>
  <c r="AE168" i="1"/>
  <c r="AF168" i="1"/>
  <c r="AG168" i="1"/>
  <c r="AC169" i="1"/>
  <c r="AD169" i="1"/>
  <c r="AE169" i="1"/>
  <c r="AF169" i="1"/>
  <c r="AG169" i="1"/>
  <c r="AD157" i="1"/>
  <c r="AE157" i="1"/>
  <c r="AF157" i="1"/>
  <c r="AG157" i="1"/>
  <c r="AC157" i="1"/>
  <c r="H99" i="6"/>
  <c r="H98" i="6"/>
  <c r="H97" i="6"/>
  <c r="H96" i="6"/>
  <c r="H95" i="6"/>
  <c r="H94" i="6"/>
  <c r="H93" i="6"/>
  <c r="H92" i="6"/>
  <c r="H91" i="6"/>
  <c r="H90" i="6"/>
  <c r="H89" i="6"/>
  <c r="H88" i="6"/>
  <c r="H87" i="6"/>
  <c r="AV6" i="7"/>
  <c r="AA59" i="38" l="1"/>
  <c r="AA59" i="37"/>
  <c r="AA59" i="40"/>
  <c r="AA66" i="37"/>
  <c r="AA66" i="40"/>
  <c r="AA66" i="38"/>
  <c r="AA65" i="37"/>
  <c r="AA65" i="38"/>
  <c r="AA65" i="40"/>
  <c r="AA67" i="38"/>
  <c r="AA67" i="40"/>
  <c r="AA67" i="37"/>
  <c r="AA68" i="40"/>
  <c r="AA68" i="38"/>
  <c r="AA68" i="37"/>
  <c r="AA61" i="37"/>
  <c r="AA61" i="40"/>
  <c r="AA61" i="38"/>
  <c r="AA56" i="38"/>
  <c r="AA56" i="37"/>
  <c r="AA56" i="40"/>
  <c r="AA62" i="37"/>
  <c r="AA62" i="40"/>
  <c r="AA62" i="38"/>
  <c r="AA57" i="37"/>
  <c r="V50" i="37" s="1"/>
  <c r="Z47" i="37" s="1"/>
  <c r="Z48" i="37" s="1"/>
  <c r="Z49" i="37" s="1"/>
  <c r="J29" i="37" s="1"/>
  <c r="AA57" i="40"/>
  <c r="AA57" i="38"/>
  <c r="V50" i="38" s="1"/>
  <c r="Z47" i="38" s="1"/>
  <c r="Z48" i="38" s="1"/>
  <c r="Z49" i="38" s="1"/>
  <c r="J29" i="38" s="1"/>
  <c r="AA63" i="40"/>
  <c r="AA63" i="37"/>
  <c r="AA63" i="38"/>
  <c r="AA60" i="40"/>
  <c r="AA60" i="38"/>
  <c r="AA60" i="37"/>
  <c r="AA58" i="40"/>
  <c r="V50" i="40" s="1"/>
  <c r="Z47" i="40" s="1"/>
  <c r="Z48" i="40" s="1"/>
  <c r="Z49" i="40" s="1"/>
  <c r="J29" i="40" s="1"/>
  <c r="AA58" i="37"/>
  <c r="AA58" i="38"/>
  <c r="AA64" i="38"/>
  <c r="AA64" i="37"/>
  <c r="AA64" i="40"/>
  <c r="AA59" i="26"/>
  <c r="AA59" i="27"/>
  <c r="V50" i="27" s="1"/>
  <c r="Z47" i="27" s="1"/>
  <c r="Z48" i="27" s="1"/>
  <c r="Z49" i="27" s="1"/>
  <c r="J29" i="27" s="1"/>
  <c r="AA59" i="20"/>
  <c r="AA59" i="17"/>
  <c r="AA59" i="15"/>
  <c r="AA59" i="24"/>
  <c r="AA59" i="18"/>
  <c r="AA59" i="12"/>
  <c r="AA59" i="13"/>
  <c r="AA59" i="11"/>
  <c r="AA58" i="27"/>
  <c r="AA58" i="26"/>
  <c r="AA58" i="24"/>
  <c r="AA58" i="18"/>
  <c r="V50" i="18" s="1"/>
  <c r="Z47" i="18" s="1"/>
  <c r="Z48" i="18" s="1"/>
  <c r="Z49" i="18" s="1"/>
  <c r="J29" i="18" s="1"/>
  <c r="AA58" i="20"/>
  <c r="AA58" i="17"/>
  <c r="AA58" i="15"/>
  <c r="V50" i="15" s="1"/>
  <c r="Z47" i="15" s="1"/>
  <c r="Z48" i="15" s="1"/>
  <c r="Z49" i="15" s="1"/>
  <c r="J29" i="15" s="1"/>
  <c r="AA58" i="13"/>
  <c r="AA58" i="12"/>
  <c r="AA58" i="11"/>
  <c r="V50" i="11" s="1"/>
  <c r="Z47" i="11" s="1"/>
  <c r="Z48" i="11" s="1"/>
  <c r="Z49" i="11" s="1"/>
  <c r="J29" i="11" s="1"/>
  <c r="AA60" i="27"/>
  <c r="AA60" i="26"/>
  <c r="AA60" i="18"/>
  <c r="AA60" i="20"/>
  <c r="AA60" i="17"/>
  <c r="AA60" i="15"/>
  <c r="AA60" i="24"/>
  <c r="AA60" i="13"/>
  <c r="AA60" i="11"/>
  <c r="AA60" i="12"/>
  <c r="AA61" i="27"/>
  <c r="AA61" i="26"/>
  <c r="AA61" i="15"/>
  <c r="AA61" i="13"/>
  <c r="AA61" i="24"/>
  <c r="AA61" i="18"/>
  <c r="AA61" i="12"/>
  <c r="AA61" i="11"/>
  <c r="AA61" i="20"/>
  <c r="AA61" i="17"/>
  <c r="AA62" i="27"/>
  <c r="AA62" i="26"/>
  <c r="AA62" i="18"/>
  <c r="AA62" i="20"/>
  <c r="AA62" i="17"/>
  <c r="AA62" i="15"/>
  <c r="AA62" i="13"/>
  <c r="AA62" i="24"/>
  <c r="AA62" i="11"/>
  <c r="AA62" i="12"/>
  <c r="AA65" i="27"/>
  <c r="AA65" i="26"/>
  <c r="AA65" i="24"/>
  <c r="AA65" i="20"/>
  <c r="AA65" i="17"/>
  <c r="AA65" i="15"/>
  <c r="AA65" i="18"/>
  <c r="AA65" i="13"/>
  <c r="AA65" i="11"/>
  <c r="AA65" i="12"/>
  <c r="AA66" i="26"/>
  <c r="AA66" i="27"/>
  <c r="AA66" i="20"/>
  <c r="AA66" i="17"/>
  <c r="AA66" i="15"/>
  <c r="AA66" i="18"/>
  <c r="AA66" i="13"/>
  <c r="AA66" i="24"/>
  <c r="AA66" i="11"/>
  <c r="AA66" i="12"/>
  <c r="AA67" i="26"/>
  <c r="AA67" i="27"/>
  <c r="AA67" i="24"/>
  <c r="AA67" i="20"/>
  <c r="AA67" i="17"/>
  <c r="AA67" i="15"/>
  <c r="AA67" i="18"/>
  <c r="AA67" i="13"/>
  <c r="AA67" i="12"/>
  <c r="AA67" i="11"/>
  <c r="AA56" i="27"/>
  <c r="AA56" i="26"/>
  <c r="AA56" i="24"/>
  <c r="AA56" i="20"/>
  <c r="AA56" i="15"/>
  <c r="AA56" i="17"/>
  <c r="AA56" i="13"/>
  <c r="AA56" i="18"/>
  <c r="AA56" i="11"/>
  <c r="AA56" i="12"/>
  <c r="AA68" i="27"/>
  <c r="AA68" i="26"/>
  <c r="AA68" i="18"/>
  <c r="AA68" i="24"/>
  <c r="AA68" i="20"/>
  <c r="AA68" i="17"/>
  <c r="AA68" i="12"/>
  <c r="AA68" i="11"/>
  <c r="AA68" i="15"/>
  <c r="AA68" i="13"/>
  <c r="AA63" i="26"/>
  <c r="AA63" i="27"/>
  <c r="AA63" i="24"/>
  <c r="AA63" i="20"/>
  <c r="AA63" i="18"/>
  <c r="AA63" i="17"/>
  <c r="AA63" i="15"/>
  <c r="AA63" i="12"/>
  <c r="AA63" i="13"/>
  <c r="AA63" i="11"/>
  <c r="AA64" i="27"/>
  <c r="AA64" i="26"/>
  <c r="AA64" i="20"/>
  <c r="AA64" i="17"/>
  <c r="AA64" i="18"/>
  <c r="AA64" i="15"/>
  <c r="AA64" i="13"/>
  <c r="AA64" i="24"/>
  <c r="AA64" i="11"/>
  <c r="AA64" i="12"/>
  <c r="AA57" i="26"/>
  <c r="V50" i="26" s="1"/>
  <c r="Z47" i="26" s="1"/>
  <c r="Z48" i="26" s="1"/>
  <c r="Z49" i="26" s="1"/>
  <c r="J29" i="26" s="1"/>
  <c r="AA57" i="27"/>
  <c r="AA57" i="24"/>
  <c r="V50" i="24" s="1"/>
  <c r="Z47" i="24" s="1"/>
  <c r="Z48" i="24" s="1"/>
  <c r="Z49" i="24" s="1"/>
  <c r="J29" i="24" s="1"/>
  <c r="AA57" i="20"/>
  <c r="V50" i="20" s="1"/>
  <c r="Z47" i="20" s="1"/>
  <c r="Z48" i="20" s="1"/>
  <c r="Z49" i="20" s="1"/>
  <c r="J29" i="20" s="1"/>
  <c r="AA57" i="17"/>
  <c r="V50" i="17" s="1"/>
  <c r="Z47" i="17" s="1"/>
  <c r="Z48" i="17" s="1"/>
  <c r="Z49" i="17" s="1"/>
  <c r="J29" i="17" s="1"/>
  <c r="AA57" i="15"/>
  <c r="AA57" i="13"/>
  <c r="V50" i="13" s="1"/>
  <c r="Z47" i="13" s="1"/>
  <c r="Z48" i="13" s="1"/>
  <c r="Z49" i="13" s="1"/>
  <c r="J29" i="13" s="1"/>
  <c r="AA57" i="18"/>
  <c r="AA57" i="11"/>
  <c r="AA57" i="12"/>
  <c r="V50" i="12" s="1"/>
  <c r="Z47" i="12" s="1"/>
  <c r="Z48" i="12" s="1"/>
  <c r="Z49" i="12" s="1"/>
  <c r="J29" i="12" s="1"/>
  <c r="AA67" i="7"/>
  <c r="AA67" i="10"/>
  <c r="AA67" i="8"/>
  <c r="AA56" i="10"/>
  <c r="AA56" i="8"/>
  <c r="AA68" i="7"/>
  <c r="AA68" i="10"/>
  <c r="AA68" i="8"/>
  <c r="AA57" i="7"/>
  <c r="AA57" i="10"/>
  <c r="AA57" i="8"/>
  <c r="AA61" i="7"/>
  <c r="AA61" i="10"/>
  <c r="AA61" i="8"/>
  <c r="AA65" i="7"/>
  <c r="AA65" i="10"/>
  <c r="AA65" i="8"/>
  <c r="AA59" i="7"/>
  <c r="AA59" i="10"/>
  <c r="V50" i="10" s="1"/>
  <c r="Z47" i="10" s="1"/>
  <c r="Z48" i="10" s="1"/>
  <c r="Z49" i="10" s="1"/>
  <c r="J29" i="10" s="1"/>
  <c r="AA59" i="8"/>
  <c r="V50" i="8" s="1"/>
  <c r="Z47" i="8" s="1"/>
  <c r="Z48" i="8" s="1"/>
  <c r="Z49" i="8" s="1"/>
  <c r="J29" i="8" s="1"/>
  <c r="AA63" i="7"/>
  <c r="V50" i="7" s="1"/>
  <c r="AA63" i="10"/>
  <c r="AA63" i="8"/>
  <c r="AA60" i="7"/>
  <c r="AA60" i="10"/>
  <c r="AA60" i="8"/>
  <c r="AA64" i="7"/>
  <c r="AA64" i="10"/>
  <c r="AA64" i="8"/>
  <c r="AA58" i="7"/>
  <c r="AA58" i="10"/>
  <c r="AA58" i="8"/>
  <c r="AA62" i="7"/>
  <c r="AA62" i="10"/>
  <c r="AA62" i="8"/>
  <c r="AA66" i="7"/>
  <c r="AA66" i="10"/>
  <c r="AA66" i="8"/>
  <c r="D40" i="1"/>
  <c r="AH169" i="1"/>
  <c r="AH168" i="1"/>
  <c r="AH167" i="1"/>
  <c r="AH166" i="1"/>
  <c r="AH165" i="1"/>
  <c r="AH164" i="1"/>
  <c r="AH163" i="1"/>
  <c r="AH162" i="1"/>
  <c r="AH161" i="1"/>
  <c r="AH160" i="1"/>
  <c r="AH159" i="1"/>
  <c r="AH158" i="1"/>
  <c r="AA56" i="7"/>
  <c r="AH157" i="1"/>
  <c r="AF263" i="1"/>
  <c r="AH263" i="1"/>
  <c r="AU6" i="7"/>
  <c r="J39" i="7"/>
  <c r="E41" i="7" s="1"/>
  <c r="AT6" i="7"/>
  <c r="AS6" i="7"/>
  <c r="AV7" i="7"/>
  <c r="AV8" i="7"/>
  <c r="AB229" i="1"/>
  <c r="AB228" i="1"/>
  <c r="AB227" i="1"/>
  <c r="AB223" i="1"/>
  <c r="AB222" i="1"/>
  <c r="AB221" i="1"/>
  <c r="AB217" i="1"/>
  <c r="AB216" i="1"/>
  <c r="AB215" i="1"/>
  <c r="AU27" i="12" l="1"/>
  <c r="AU24" i="12" s="1"/>
  <c r="AU37" i="12" s="1"/>
  <c r="J30" i="12"/>
  <c r="E29" i="12"/>
  <c r="AS27" i="12"/>
  <c r="AS24" i="12" s="1"/>
  <c r="AS37" i="12" s="1"/>
  <c r="AT27" i="12"/>
  <c r="AT24" i="12" s="1"/>
  <c r="AT37" i="12" s="1"/>
  <c r="AV27" i="12"/>
  <c r="AV24" i="12" s="1"/>
  <c r="AV37" i="12" s="1"/>
  <c r="D29" i="12"/>
  <c r="J30" i="15"/>
  <c r="AS27" i="15"/>
  <c r="AS24" i="15" s="1"/>
  <c r="AS37" i="15" s="1"/>
  <c r="E29" i="15"/>
  <c r="AV27" i="15"/>
  <c r="AV24" i="15" s="1"/>
  <c r="AV37" i="15" s="1"/>
  <c r="D29" i="15"/>
  <c r="AT27" i="15"/>
  <c r="AT24" i="15" s="1"/>
  <c r="AT37" i="15" s="1"/>
  <c r="AU27" i="15"/>
  <c r="AU24" i="15" s="1"/>
  <c r="AU37" i="15" s="1"/>
  <c r="E29" i="27"/>
  <c r="J30" i="27"/>
  <c r="AU27" i="27"/>
  <c r="AU24" i="27" s="1"/>
  <c r="AU37" i="27" s="1"/>
  <c r="AT27" i="27"/>
  <c r="AT24" i="27" s="1"/>
  <c r="AT37" i="27" s="1"/>
  <c r="AS27" i="27"/>
  <c r="AS24" i="27" s="1"/>
  <c r="AS37" i="27" s="1"/>
  <c r="D29" i="27"/>
  <c r="AV27" i="27"/>
  <c r="AV24" i="27" s="1"/>
  <c r="AV37" i="27" s="1"/>
  <c r="J30" i="17"/>
  <c r="AU27" i="17"/>
  <c r="AU24" i="17" s="1"/>
  <c r="AU37" i="17" s="1"/>
  <c r="AV27" i="17"/>
  <c r="AV24" i="17" s="1"/>
  <c r="AV37" i="17" s="1"/>
  <c r="D29" i="17"/>
  <c r="E29" i="17"/>
  <c r="AT27" i="17"/>
  <c r="AT24" i="17" s="1"/>
  <c r="AT37" i="17" s="1"/>
  <c r="AS27" i="17"/>
  <c r="AS24" i="17" s="1"/>
  <c r="AS37" i="17" s="1"/>
  <c r="AS27" i="26"/>
  <c r="AS24" i="26" s="1"/>
  <c r="AS37" i="26" s="1"/>
  <c r="AV27" i="26"/>
  <c r="AV24" i="26" s="1"/>
  <c r="AV37" i="26" s="1"/>
  <c r="E29" i="26"/>
  <c r="J30" i="26"/>
  <c r="D29" i="26"/>
  <c r="AT27" i="26"/>
  <c r="AT24" i="26" s="1"/>
  <c r="AT37" i="26" s="1"/>
  <c r="AU27" i="26"/>
  <c r="AU24" i="26" s="1"/>
  <c r="AU37" i="26" s="1"/>
  <c r="D29" i="40"/>
  <c r="AU27" i="40"/>
  <c r="AU24" i="40" s="1"/>
  <c r="AU37" i="40" s="1"/>
  <c r="E29" i="40"/>
  <c r="AV27" i="40"/>
  <c r="AV24" i="40" s="1"/>
  <c r="AV37" i="40" s="1"/>
  <c r="AT27" i="40"/>
  <c r="AT24" i="40" s="1"/>
  <c r="AT37" i="40" s="1"/>
  <c r="J30" i="40"/>
  <c r="AS27" i="40"/>
  <c r="AS24" i="40" s="1"/>
  <c r="AS37" i="40" s="1"/>
  <c r="AU27" i="20"/>
  <c r="AU24" i="20" s="1"/>
  <c r="AU37" i="20" s="1"/>
  <c r="AV27" i="20"/>
  <c r="AV24" i="20" s="1"/>
  <c r="AV37" i="20" s="1"/>
  <c r="J30" i="20"/>
  <c r="D29" i="20"/>
  <c r="AT27" i="20"/>
  <c r="AT24" i="20" s="1"/>
  <c r="AT37" i="20" s="1"/>
  <c r="AS27" i="20"/>
  <c r="AS24" i="20" s="1"/>
  <c r="AS37" i="20" s="1"/>
  <c r="E29" i="20"/>
  <c r="D29" i="11"/>
  <c r="J30" i="11"/>
  <c r="AU27" i="11"/>
  <c r="AU24" i="11" s="1"/>
  <c r="AU37" i="11" s="1"/>
  <c r="AT27" i="11"/>
  <c r="AT24" i="11" s="1"/>
  <c r="AT37" i="11" s="1"/>
  <c r="AS27" i="11"/>
  <c r="AS24" i="11" s="1"/>
  <c r="AS37" i="11" s="1"/>
  <c r="E29" i="11"/>
  <c r="AV27" i="11"/>
  <c r="AV24" i="11" s="1"/>
  <c r="AV37" i="11" s="1"/>
  <c r="AV27" i="38"/>
  <c r="AV24" i="38" s="1"/>
  <c r="AV37" i="38" s="1"/>
  <c r="D29" i="38"/>
  <c r="AS27" i="38"/>
  <c r="AS24" i="38" s="1"/>
  <c r="AS37" i="38" s="1"/>
  <c r="J30" i="38"/>
  <c r="AU27" i="38"/>
  <c r="AU24" i="38" s="1"/>
  <c r="AU37" i="38" s="1"/>
  <c r="E29" i="38"/>
  <c r="AT27" i="38"/>
  <c r="AT24" i="38" s="1"/>
  <c r="AT37" i="38" s="1"/>
  <c r="E29" i="8"/>
  <c r="AU27" i="8"/>
  <c r="AU24" i="8" s="1"/>
  <c r="AU37" i="8" s="1"/>
  <c r="J30" i="8"/>
  <c r="AT27" i="8"/>
  <c r="AT24" i="8" s="1"/>
  <c r="AT37" i="8" s="1"/>
  <c r="AV27" i="8"/>
  <c r="AV24" i="8" s="1"/>
  <c r="AV37" i="8" s="1"/>
  <c r="AS27" i="8"/>
  <c r="AS24" i="8" s="1"/>
  <c r="AS37" i="8" s="1"/>
  <c r="D29" i="8"/>
  <c r="J30" i="13"/>
  <c r="D29" i="13"/>
  <c r="E29" i="13"/>
  <c r="AV27" i="13"/>
  <c r="AV24" i="13" s="1"/>
  <c r="AV37" i="13" s="1"/>
  <c r="AT27" i="13"/>
  <c r="AT24" i="13" s="1"/>
  <c r="AT37" i="13" s="1"/>
  <c r="AU27" i="13"/>
  <c r="AU24" i="13" s="1"/>
  <c r="AU37" i="13" s="1"/>
  <c r="AS27" i="13"/>
  <c r="AS24" i="13" s="1"/>
  <c r="AS37" i="13" s="1"/>
  <c r="AU27" i="24"/>
  <c r="AU24" i="24" s="1"/>
  <c r="AU37" i="24" s="1"/>
  <c r="AT27" i="24"/>
  <c r="AT24" i="24" s="1"/>
  <c r="AT37" i="24" s="1"/>
  <c r="AS27" i="24"/>
  <c r="AS24" i="24" s="1"/>
  <c r="AS37" i="24" s="1"/>
  <c r="D29" i="24"/>
  <c r="J30" i="24"/>
  <c r="E29" i="24"/>
  <c r="AV27" i="24"/>
  <c r="AV24" i="24" s="1"/>
  <c r="AV37" i="24" s="1"/>
  <c r="AT27" i="10"/>
  <c r="AT24" i="10" s="1"/>
  <c r="AT37" i="10" s="1"/>
  <c r="J30" i="10"/>
  <c r="D29" i="10"/>
  <c r="AU27" i="10"/>
  <c r="AU24" i="10" s="1"/>
  <c r="AU37" i="10" s="1"/>
  <c r="AV27" i="10"/>
  <c r="AV24" i="10" s="1"/>
  <c r="AV37" i="10" s="1"/>
  <c r="E29" i="10"/>
  <c r="AS27" i="10"/>
  <c r="AS24" i="10" s="1"/>
  <c r="AS37" i="10" s="1"/>
  <c r="AS27" i="18"/>
  <c r="AS24" i="18" s="1"/>
  <c r="AS37" i="18" s="1"/>
  <c r="AV27" i="18"/>
  <c r="AV24" i="18" s="1"/>
  <c r="AV37" i="18" s="1"/>
  <c r="E29" i="18"/>
  <c r="AU27" i="18"/>
  <c r="AU24" i="18" s="1"/>
  <c r="AU37" i="18" s="1"/>
  <c r="D29" i="18"/>
  <c r="AT27" i="18"/>
  <c r="AT24" i="18" s="1"/>
  <c r="AT37" i="18" s="1"/>
  <c r="J30" i="18"/>
  <c r="AV27" i="37"/>
  <c r="AV24" i="37" s="1"/>
  <c r="AV37" i="37" s="1"/>
  <c r="AS27" i="37"/>
  <c r="AS24" i="37" s="1"/>
  <c r="AS37" i="37" s="1"/>
  <c r="AT27" i="37"/>
  <c r="AT24" i="37" s="1"/>
  <c r="AT37" i="37" s="1"/>
  <c r="D29" i="37"/>
  <c r="AU27" i="37"/>
  <c r="AU24" i="37" s="1"/>
  <c r="AU37" i="37" s="1"/>
  <c r="E29" i="37"/>
  <c r="J30" i="37"/>
  <c r="Z46" i="7"/>
  <c r="Z47" i="7" s="1"/>
  <c r="Z48" i="7" s="1"/>
  <c r="Z49" i="7" s="1"/>
  <c r="J29" i="7" s="1"/>
  <c r="E29" i="7" s="1"/>
  <c r="AU8" i="7"/>
  <c r="AS8" i="7"/>
  <c r="AT8" i="7"/>
  <c r="J41" i="7"/>
  <c r="E43" i="7" s="1"/>
  <c r="J40" i="7"/>
  <c r="E42" i="7" s="1"/>
  <c r="AU7" i="7"/>
  <c r="AT7" i="7"/>
  <c r="AS7" i="7"/>
  <c r="D41" i="7"/>
  <c r="I18" i="1"/>
  <c r="AU40" i="10" l="1"/>
  <c r="AU44" i="10"/>
  <c r="AU42" i="10"/>
  <c r="AU41" i="10"/>
  <c r="AU43" i="10"/>
  <c r="AR43" i="13"/>
  <c r="AR40" i="13"/>
  <c r="AR42" i="13"/>
  <c r="AR44" i="13"/>
  <c r="AR41" i="13"/>
  <c r="E30" i="13"/>
  <c r="D30" i="13"/>
  <c r="AT40" i="8"/>
  <c r="AT42" i="8"/>
  <c r="AT41" i="8"/>
  <c r="AT43" i="8"/>
  <c r="AT44" i="8"/>
  <c r="AR41" i="38"/>
  <c r="AR40" i="38"/>
  <c r="AR42" i="38"/>
  <c r="AR43" i="38"/>
  <c r="AR44" i="38"/>
  <c r="AS44" i="11"/>
  <c r="AS41" i="11"/>
  <c r="AS40" i="11"/>
  <c r="AS42" i="11"/>
  <c r="AS43" i="11"/>
  <c r="AS41" i="20"/>
  <c r="AS43" i="20"/>
  <c r="AS44" i="20"/>
  <c r="AS42" i="20"/>
  <c r="AS40" i="20"/>
  <c r="D30" i="40"/>
  <c r="E30" i="40"/>
  <c r="AT42" i="26"/>
  <c r="AT41" i="26"/>
  <c r="AT43" i="26"/>
  <c r="AT40" i="26"/>
  <c r="AT44" i="26"/>
  <c r="AR43" i="26"/>
  <c r="AR42" i="26"/>
  <c r="AR41" i="26"/>
  <c r="AR40" i="26"/>
  <c r="AR44" i="26"/>
  <c r="AT40" i="17"/>
  <c r="AT42" i="17"/>
  <c r="AT44" i="17"/>
  <c r="AT43" i="17"/>
  <c r="AT41" i="17"/>
  <c r="AT43" i="27"/>
  <c r="AT40" i="27"/>
  <c r="AT41" i="27"/>
  <c r="AT42" i="27"/>
  <c r="AT44" i="27"/>
  <c r="AU42" i="15"/>
  <c r="AU40" i="15"/>
  <c r="AU41" i="15"/>
  <c r="AU44" i="15"/>
  <c r="AU43" i="15"/>
  <c r="AU42" i="12"/>
  <c r="AU41" i="12"/>
  <c r="AU43" i="12"/>
  <c r="AU40" i="12"/>
  <c r="AU44" i="12"/>
  <c r="AR41" i="37"/>
  <c r="AR44" i="37"/>
  <c r="AR42" i="37"/>
  <c r="AR40" i="37"/>
  <c r="AR43" i="37"/>
  <c r="AV43" i="37" s="1"/>
  <c r="AT40" i="10"/>
  <c r="AT41" i="10"/>
  <c r="AT44" i="10"/>
  <c r="AT42" i="10"/>
  <c r="AT43" i="10"/>
  <c r="E30" i="24"/>
  <c r="D30" i="24"/>
  <c r="AT43" i="13"/>
  <c r="AT40" i="13"/>
  <c r="AT44" i="13"/>
  <c r="AT41" i="13"/>
  <c r="AT42" i="13"/>
  <c r="AT42" i="11"/>
  <c r="AT41" i="11"/>
  <c r="AT43" i="11"/>
  <c r="AT44" i="11"/>
  <c r="AT40" i="11"/>
  <c r="AS43" i="40"/>
  <c r="AS44" i="40"/>
  <c r="AS40" i="40"/>
  <c r="AS42" i="40"/>
  <c r="AS41" i="40"/>
  <c r="AS43" i="26"/>
  <c r="AS44" i="26"/>
  <c r="AS42" i="26"/>
  <c r="AS40" i="26"/>
  <c r="AS41" i="26"/>
  <c r="AR40" i="17"/>
  <c r="AR41" i="17"/>
  <c r="AR43" i="17"/>
  <c r="AR42" i="17"/>
  <c r="AR44" i="17"/>
  <c r="E30" i="17"/>
  <c r="D30" i="17"/>
  <c r="E30" i="27"/>
  <c r="D30" i="27"/>
  <c r="AS40" i="12"/>
  <c r="AS41" i="12"/>
  <c r="AS44" i="12"/>
  <c r="AS42" i="12"/>
  <c r="AS43" i="12"/>
  <c r="AS42" i="37"/>
  <c r="AS41" i="37"/>
  <c r="AS43" i="37"/>
  <c r="AS40" i="37"/>
  <c r="AS44" i="37"/>
  <c r="D30" i="37"/>
  <c r="E30" i="37"/>
  <c r="AU41" i="18"/>
  <c r="AU40" i="18"/>
  <c r="AU44" i="18"/>
  <c r="AU42" i="18"/>
  <c r="AU43" i="18"/>
  <c r="AS42" i="13"/>
  <c r="AS43" i="13"/>
  <c r="AS40" i="13"/>
  <c r="AS41" i="13"/>
  <c r="AS44" i="13"/>
  <c r="AR42" i="8"/>
  <c r="AR43" i="8"/>
  <c r="AR41" i="8"/>
  <c r="AV41" i="8" s="1"/>
  <c r="AR44" i="8"/>
  <c r="AR40" i="8"/>
  <c r="AS44" i="38"/>
  <c r="AS42" i="38"/>
  <c r="AS43" i="38"/>
  <c r="AS40" i="38"/>
  <c r="AS41" i="38"/>
  <c r="AU41" i="38"/>
  <c r="AU44" i="38"/>
  <c r="AU42" i="38"/>
  <c r="AU43" i="38"/>
  <c r="AU40" i="38"/>
  <c r="E30" i="11"/>
  <c r="D30" i="11"/>
  <c r="E30" i="20"/>
  <c r="D30" i="20"/>
  <c r="AU42" i="40"/>
  <c r="AU44" i="40"/>
  <c r="AU43" i="40"/>
  <c r="AU41" i="40"/>
  <c r="AU40" i="40"/>
  <c r="AS42" i="17"/>
  <c r="AS40" i="17"/>
  <c r="AS41" i="17"/>
  <c r="AS43" i="17"/>
  <c r="AS44" i="17"/>
  <c r="AU44" i="27"/>
  <c r="AU40" i="27"/>
  <c r="AU43" i="27"/>
  <c r="AU42" i="27"/>
  <c r="AU41" i="27"/>
  <c r="AV41" i="27" s="1"/>
  <c r="AR42" i="15"/>
  <c r="AR41" i="15"/>
  <c r="AR40" i="15"/>
  <c r="AR44" i="15"/>
  <c r="AR43" i="15"/>
  <c r="AV43" i="15" s="1"/>
  <c r="AR40" i="12"/>
  <c r="AR43" i="12"/>
  <c r="AR44" i="12"/>
  <c r="AR42" i="12"/>
  <c r="AR41" i="12"/>
  <c r="AV41" i="12" s="1"/>
  <c r="AT40" i="18"/>
  <c r="AT44" i="18"/>
  <c r="AT41" i="18"/>
  <c r="AT42" i="18"/>
  <c r="AT43" i="18"/>
  <c r="AU42" i="37"/>
  <c r="AU43" i="37"/>
  <c r="AU40" i="37"/>
  <c r="AU41" i="37"/>
  <c r="AU44" i="37"/>
  <c r="E30" i="18"/>
  <c r="D30" i="18"/>
  <c r="AR41" i="18"/>
  <c r="AR44" i="18"/>
  <c r="AR40" i="18"/>
  <c r="AV40" i="18" s="1"/>
  <c r="AR43" i="18"/>
  <c r="AR42" i="18"/>
  <c r="E30" i="10"/>
  <c r="D30" i="10"/>
  <c r="AR43" i="24"/>
  <c r="AR40" i="24"/>
  <c r="AR44" i="24"/>
  <c r="AR42" i="24"/>
  <c r="AR41" i="24"/>
  <c r="AU41" i="13"/>
  <c r="AU44" i="13"/>
  <c r="AU42" i="13"/>
  <c r="AU43" i="13"/>
  <c r="AU40" i="13"/>
  <c r="AU42" i="8"/>
  <c r="AU41" i="8"/>
  <c r="AU40" i="8"/>
  <c r="AU43" i="8"/>
  <c r="AU44" i="8"/>
  <c r="AU41" i="11"/>
  <c r="AU40" i="11"/>
  <c r="AU43" i="11"/>
  <c r="AU44" i="11"/>
  <c r="AU42" i="11"/>
  <c r="AU43" i="20"/>
  <c r="AU40" i="20"/>
  <c r="AU44" i="20"/>
  <c r="AU41" i="20"/>
  <c r="AU42" i="20"/>
  <c r="E30" i="26"/>
  <c r="D30" i="26"/>
  <c r="AT41" i="15"/>
  <c r="AT42" i="15"/>
  <c r="AT44" i="15"/>
  <c r="AT43" i="15"/>
  <c r="AT40" i="15"/>
  <c r="E30" i="15"/>
  <c r="D30" i="15"/>
  <c r="AT40" i="37"/>
  <c r="AT44" i="37"/>
  <c r="AT42" i="37"/>
  <c r="AT41" i="37"/>
  <c r="AT43" i="37"/>
  <c r="AR40" i="10"/>
  <c r="AR44" i="10"/>
  <c r="AR41" i="10"/>
  <c r="AV41" i="10" s="1"/>
  <c r="AR42" i="10"/>
  <c r="AV42" i="10" s="1"/>
  <c r="AR43" i="10"/>
  <c r="AS40" i="10"/>
  <c r="AS41" i="10"/>
  <c r="AS43" i="10"/>
  <c r="AS44" i="10"/>
  <c r="AS42" i="10"/>
  <c r="AS44" i="24"/>
  <c r="AS42" i="24"/>
  <c r="AS43" i="24"/>
  <c r="AS40" i="24"/>
  <c r="AS41" i="24"/>
  <c r="AS41" i="8"/>
  <c r="AS42" i="8"/>
  <c r="AS43" i="8"/>
  <c r="AS40" i="8"/>
  <c r="AV40" i="8" s="1"/>
  <c r="AS44" i="8"/>
  <c r="AT41" i="38"/>
  <c r="AT44" i="38"/>
  <c r="AT42" i="38"/>
  <c r="AT43" i="38"/>
  <c r="AT40" i="38"/>
  <c r="AT41" i="20"/>
  <c r="AT44" i="20"/>
  <c r="AT43" i="20"/>
  <c r="AT40" i="20"/>
  <c r="AT42" i="20"/>
  <c r="AT42" i="40"/>
  <c r="AT43" i="40"/>
  <c r="AT41" i="40"/>
  <c r="AT44" i="40"/>
  <c r="AT40" i="40"/>
  <c r="AR42" i="27"/>
  <c r="AR40" i="27"/>
  <c r="AR41" i="27"/>
  <c r="AR43" i="27"/>
  <c r="AR44" i="27"/>
  <c r="AV44" i="27" s="1"/>
  <c r="AS41" i="15"/>
  <c r="AS40" i="15"/>
  <c r="AS43" i="15"/>
  <c r="AS44" i="15"/>
  <c r="AS42" i="15"/>
  <c r="E30" i="12"/>
  <c r="D30" i="12"/>
  <c r="AS42" i="18"/>
  <c r="AS44" i="18"/>
  <c r="AS43" i="18"/>
  <c r="AS40" i="18"/>
  <c r="AS41" i="18"/>
  <c r="AU41" i="24"/>
  <c r="AU44" i="24"/>
  <c r="AU40" i="24"/>
  <c r="AU43" i="24"/>
  <c r="AU42" i="24"/>
  <c r="AT41" i="24"/>
  <c r="AT43" i="24"/>
  <c r="AT44" i="24"/>
  <c r="AT40" i="24"/>
  <c r="AT42" i="24"/>
  <c r="D30" i="8"/>
  <c r="E30" i="8"/>
  <c r="D30" i="38"/>
  <c r="E30" i="38"/>
  <c r="AR40" i="11"/>
  <c r="AR41" i="11"/>
  <c r="AV41" i="11" s="1"/>
  <c r="AR42" i="11"/>
  <c r="AV42" i="11" s="1"/>
  <c r="AR44" i="11"/>
  <c r="AV44" i="11" s="1"/>
  <c r="AR43" i="11"/>
  <c r="AR40" i="20"/>
  <c r="AR42" i="20"/>
  <c r="AR43" i="20"/>
  <c r="AV43" i="20" s="1"/>
  <c r="AR44" i="20"/>
  <c r="AV44" i="20" s="1"/>
  <c r="AR41" i="20"/>
  <c r="AR40" i="40"/>
  <c r="AR41" i="40"/>
  <c r="AV41" i="40" s="1"/>
  <c r="AR44" i="40"/>
  <c r="AR42" i="40"/>
  <c r="AR43" i="40"/>
  <c r="AU42" i="26"/>
  <c r="AU41" i="26"/>
  <c r="AU40" i="26"/>
  <c r="AU44" i="26"/>
  <c r="AU43" i="26"/>
  <c r="AU40" i="17"/>
  <c r="AU44" i="17"/>
  <c r="AU41" i="17"/>
  <c r="AU43" i="17"/>
  <c r="AU42" i="17"/>
  <c r="AS41" i="27"/>
  <c r="AS43" i="27"/>
  <c r="AS44" i="27"/>
  <c r="AS42" i="27"/>
  <c r="AS40" i="27"/>
  <c r="AT43" i="12"/>
  <c r="AT40" i="12"/>
  <c r="AT41" i="12"/>
  <c r="AT42" i="12"/>
  <c r="AT44" i="12"/>
  <c r="AT27" i="7"/>
  <c r="J30" i="7"/>
  <c r="D29" i="7"/>
  <c r="AV27" i="7"/>
  <c r="AS27" i="7"/>
  <c r="AU27" i="7"/>
  <c r="AS9" i="7"/>
  <c r="AS11" i="7" s="1"/>
  <c r="AT9" i="7"/>
  <c r="AT11" i="7" s="1"/>
  <c r="AU9" i="7"/>
  <c r="D42" i="7"/>
  <c r="AU28" i="7"/>
  <c r="AV28" i="7"/>
  <c r="AS28" i="7"/>
  <c r="AT28" i="7"/>
  <c r="D43" i="7"/>
  <c r="B35" i="1"/>
  <c r="B27" i="1"/>
  <c r="B29" i="1"/>
  <c r="AB236" i="1" s="1"/>
  <c r="AC150" i="1"/>
  <c r="AF64" i="1"/>
  <c r="AF63" i="1"/>
  <c r="AV44" i="40" l="1"/>
  <c r="AV42" i="40"/>
  <c r="D57" i="40" s="1"/>
  <c r="AY42" i="40"/>
  <c r="E59" i="11"/>
  <c r="AW44" i="11"/>
  <c r="AX44" i="11"/>
  <c r="D59" i="11"/>
  <c r="AZ44" i="11"/>
  <c r="AY44" i="11"/>
  <c r="AV43" i="24"/>
  <c r="AW41" i="12"/>
  <c r="D56" i="12"/>
  <c r="AX41" i="12"/>
  <c r="E56" i="12"/>
  <c r="AZ41" i="12"/>
  <c r="AY41" i="12"/>
  <c r="E58" i="15"/>
  <c r="AW43" i="15"/>
  <c r="AX43" i="15"/>
  <c r="AY43" i="15"/>
  <c r="AZ43" i="15"/>
  <c r="D58" i="15"/>
  <c r="D56" i="27"/>
  <c r="AW41" i="27"/>
  <c r="AY41" i="27"/>
  <c r="AZ41" i="27"/>
  <c r="AX41" i="27"/>
  <c r="E56" i="27"/>
  <c r="AY41" i="8"/>
  <c r="AW41" i="8"/>
  <c r="AX41" i="8"/>
  <c r="AZ41" i="8"/>
  <c r="D56" i="8"/>
  <c r="E56" i="8"/>
  <c r="AV43" i="17"/>
  <c r="AZ43" i="37"/>
  <c r="E58" i="37"/>
  <c r="AW43" i="37"/>
  <c r="AY43" i="37"/>
  <c r="AX43" i="37"/>
  <c r="D58" i="37"/>
  <c r="AV40" i="26"/>
  <c r="AV44" i="38"/>
  <c r="D59" i="40"/>
  <c r="AX44" i="40"/>
  <c r="AW44" i="40"/>
  <c r="E59" i="40"/>
  <c r="AZ44" i="40"/>
  <c r="AY44" i="40"/>
  <c r="E58" i="20"/>
  <c r="AW43" i="20"/>
  <c r="AX43" i="20"/>
  <c r="AZ43" i="20"/>
  <c r="D58" i="20"/>
  <c r="AY43" i="20"/>
  <c r="AW42" i="11"/>
  <c r="AX42" i="11"/>
  <c r="E57" i="11"/>
  <c r="D57" i="11"/>
  <c r="AY42" i="11"/>
  <c r="AZ42" i="11"/>
  <c r="AV43" i="27"/>
  <c r="AX41" i="10"/>
  <c r="E56" i="10"/>
  <c r="AW41" i="10"/>
  <c r="AY41" i="10"/>
  <c r="AZ41" i="10"/>
  <c r="D56" i="10"/>
  <c r="AV44" i="18"/>
  <c r="AV42" i="12"/>
  <c r="AV44" i="15"/>
  <c r="AV43" i="8"/>
  <c r="AV41" i="17"/>
  <c r="AV40" i="37"/>
  <c r="AV41" i="26"/>
  <c r="AV43" i="38"/>
  <c r="AV41" i="13"/>
  <c r="E59" i="20"/>
  <c r="AW44" i="20"/>
  <c r="D59" i="20"/>
  <c r="AY44" i="20"/>
  <c r="AX44" i="20"/>
  <c r="AZ44" i="20"/>
  <c r="AX40" i="18"/>
  <c r="AY40" i="18"/>
  <c r="AW40" i="18"/>
  <c r="E55" i="18"/>
  <c r="D55" i="18"/>
  <c r="AZ40" i="18"/>
  <c r="AX41" i="40"/>
  <c r="AY41" i="40"/>
  <c r="AZ41" i="40"/>
  <c r="AW41" i="40"/>
  <c r="D56" i="40"/>
  <c r="E56" i="40"/>
  <c r="AV42" i="20"/>
  <c r="D56" i="11"/>
  <c r="E56" i="11"/>
  <c r="AW41" i="11"/>
  <c r="AZ41" i="11"/>
  <c r="AX41" i="11"/>
  <c r="AY41" i="11"/>
  <c r="AV44" i="10"/>
  <c r="AV41" i="24"/>
  <c r="AV41" i="18"/>
  <c r="AV44" i="12"/>
  <c r="AV40" i="15"/>
  <c r="AV40" i="17"/>
  <c r="AV42" i="37"/>
  <c r="AV42" i="26"/>
  <c r="AV42" i="38"/>
  <c r="AV42" i="8"/>
  <c r="AV44" i="13"/>
  <c r="AV40" i="40"/>
  <c r="AV40" i="20"/>
  <c r="AV40" i="11"/>
  <c r="AV40" i="27"/>
  <c r="AV40" i="10"/>
  <c r="AV42" i="24"/>
  <c r="AV43" i="12"/>
  <c r="AV41" i="15"/>
  <c r="AV44" i="37"/>
  <c r="AV43" i="26"/>
  <c r="AV40" i="38"/>
  <c r="AV42" i="13"/>
  <c r="E55" i="8"/>
  <c r="AZ40" i="8"/>
  <c r="AX40" i="8"/>
  <c r="AY40" i="8"/>
  <c r="D55" i="8"/>
  <c r="AW40" i="8"/>
  <c r="AV42" i="27"/>
  <c r="AV44" i="24"/>
  <c r="AV42" i="18"/>
  <c r="AV40" i="12"/>
  <c r="AV42" i="15"/>
  <c r="AV44" i="17"/>
  <c r="AV41" i="37"/>
  <c r="AV41" i="38"/>
  <c r="AV40" i="13"/>
  <c r="D59" i="27"/>
  <c r="AZ44" i="27"/>
  <c r="AX44" i="27"/>
  <c r="E59" i="27"/>
  <c r="AY44" i="27"/>
  <c r="AW44" i="27"/>
  <c r="AX42" i="10"/>
  <c r="AY42" i="10"/>
  <c r="E57" i="10"/>
  <c r="D57" i="10"/>
  <c r="AZ42" i="10"/>
  <c r="AW42" i="10"/>
  <c r="AV43" i="40"/>
  <c r="AV41" i="20"/>
  <c r="AV43" i="11"/>
  <c r="AV43" i="10"/>
  <c r="AV40" i="24"/>
  <c r="AV43" i="18"/>
  <c r="AV44" i="8"/>
  <c r="AV42" i="17"/>
  <c r="AV44" i="26"/>
  <c r="AV43" i="13"/>
  <c r="D30" i="7"/>
  <c r="E30" i="7"/>
  <c r="AU11" i="7"/>
  <c r="AV12" i="7" s="1"/>
  <c r="AJ25" i="1"/>
  <c r="AJ24" i="1"/>
  <c r="AI25" i="1"/>
  <c r="AI24" i="1"/>
  <c r="AH25" i="1"/>
  <c r="AH24" i="1"/>
  <c r="AW42" i="40" l="1"/>
  <c r="AX42" i="40"/>
  <c r="E57" i="40"/>
  <c r="AZ42" i="40"/>
  <c r="AY42" i="24"/>
  <c r="AX42" i="24"/>
  <c r="E57" i="24"/>
  <c r="D57" i="24"/>
  <c r="AZ42" i="24"/>
  <c r="AW42" i="24"/>
  <c r="AZ40" i="17"/>
  <c r="AW40" i="17"/>
  <c r="AY40" i="17"/>
  <c r="E55" i="17"/>
  <c r="D55" i="17"/>
  <c r="AX40" i="17"/>
  <c r="AZ40" i="37"/>
  <c r="AW40" i="37"/>
  <c r="D55" i="37"/>
  <c r="AY40" i="37"/>
  <c r="AX40" i="37"/>
  <c r="E55" i="37"/>
  <c r="AX43" i="27"/>
  <c r="E58" i="27"/>
  <c r="AY43" i="27"/>
  <c r="AW43" i="27"/>
  <c r="D58" i="27"/>
  <c r="AZ43" i="27"/>
  <c r="D57" i="20"/>
  <c r="AW42" i="20"/>
  <c r="AX42" i="20"/>
  <c r="AY42" i="20"/>
  <c r="E57" i="20"/>
  <c r="AZ42" i="20"/>
  <c r="AW41" i="17"/>
  <c r="D56" i="17"/>
  <c r="AY41" i="17"/>
  <c r="AX41" i="17"/>
  <c r="E56" i="17"/>
  <c r="AZ41" i="17"/>
  <c r="D57" i="13"/>
  <c r="AZ42" i="13"/>
  <c r="AW42" i="13"/>
  <c r="AY42" i="13"/>
  <c r="E57" i="13"/>
  <c r="AX42" i="13"/>
  <c r="AX44" i="8"/>
  <c r="E59" i="8"/>
  <c r="AW44" i="8"/>
  <c r="AY44" i="8"/>
  <c r="D59" i="8"/>
  <c r="AZ44" i="8"/>
  <c r="AY42" i="15"/>
  <c r="E57" i="15"/>
  <c r="AX42" i="15"/>
  <c r="D57" i="15"/>
  <c r="AZ42" i="15"/>
  <c r="AW42" i="15"/>
  <c r="AW40" i="10"/>
  <c r="E55" i="10"/>
  <c r="AY40" i="10"/>
  <c r="AX40" i="10"/>
  <c r="AZ40" i="10"/>
  <c r="D55" i="10"/>
  <c r="AW43" i="40"/>
  <c r="E58" i="40"/>
  <c r="D58" i="40"/>
  <c r="AX43" i="40"/>
  <c r="AZ43" i="40"/>
  <c r="AY43" i="40"/>
  <c r="AY43" i="8"/>
  <c r="AW43" i="8"/>
  <c r="AZ43" i="8"/>
  <c r="AX43" i="8"/>
  <c r="E58" i="8"/>
  <c r="D58" i="8"/>
  <c r="E59" i="38"/>
  <c r="AY44" i="38"/>
  <c r="AW44" i="38"/>
  <c r="AX44" i="38"/>
  <c r="AZ44" i="38"/>
  <c r="D59" i="38"/>
  <c r="AX44" i="37"/>
  <c r="AY44" i="37"/>
  <c r="E59" i="37"/>
  <c r="AW44" i="37"/>
  <c r="D59" i="37"/>
  <c r="AZ44" i="37"/>
  <c r="AX42" i="38"/>
  <c r="AY42" i="38"/>
  <c r="E57" i="38"/>
  <c r="D57" i="38"/>
  <c r="AW42" i="38"/>
  <c r="AZ42" i="38"/>
  <c r="D56" i="18"/>
  <c r="AY41" i="18"/>
  <c r="AY45" i="18" s="1"/>
  <c r="P115" i="18" s="1"/>
  <c r="AX41" i="18"/>
  <c r="AX45" i="18" s="1"/>
  <c r="O115" i="18" s="1"/>
  <c r="E56" i="18"/>
  <c r="AW41" i="18"/>
  <c r="AZ41" i="18"/>
  <c r="AZ41" i="13"/>
  <c r="AX41" i="13"/>
  <c r="AY41" i="13"/>
  <c r="E56" i="13"/>
  <c r="D56" i="13"/>
  <c r="AW41" i="13"/>
  <c r="AX44" i="15"/>
  <c r="AY44" i="15"/>
  <c r="D59" i="15"/>
  <c r="AW44" i="15"/>
  <c r="AZ44" i="15"/>
  <c r="E59" i="15"/>
  <c r="AY40" i="26"/>
  <c r="E55" i="26"/>
  <c r="AW40" i="26"/>
  <c r="AZ40" i="26"/>
  <c r="D55" i="26"/>
  <c r="AX40" i="26"/>
  <c r="AZ42" i="17"/>
  <c r="AY42" i="17"/>
  <c r="AX42" i="17"/>
  <c r="D57" i="17"/>
  <c r="E57" i="17"/>
  <c r="AW42" i="17"/>
  <c r="AY43" i="11"/>
  <c r="AZ43" i="11"/>
  <c r="AX43" i="11"/>
  <c r="E58" i="11"/>
  <c r="D58" i="11"/>
  <c r="AW43" i="11"/>
  <c r="E59" i="17"/>
  <c r="AY44" i="17"/>
  <c r="D59" i="17"/>
  <c r="AZ44" i="17"/>
  <c r="AW44" i="17"/>
  <c r="AX44" i="17"/>
  <c r="D55" i="38"/>
  <c r="E55" i="38"/>
  <c r="AW40" i="38"/>
  <c r="AX40" i="38"/>
  <c r="AZ40" i="38"/>
  <c r="AY40" i="38"/>
  <c r="AX40" i="15"/>
  <c r="E55" i="15"/>
  <c r="AY40" i="15"/>
  <c r="AY45" i="15" s="1"/>
  <c r="P115" i="15" s="1"/>
  <c r="AW40" i="15"/>
  <c r="AZ40" i="15"/>
  <c r="D55" i="15"/>
  <c r="AX43" i="18"/>
  <c r="AY43" i="18"/>
  <c r="AW43" i="18"/>
  <c r="AW45" i="18" s="1"/>
  <c r="N115" i="18" s="1"/>
  <c r="AZ43" i="18"/>
  <c r="E58" i="18"/>
  <c r="D58" i="18"/>
  <c r="AX40" i="12"/>
  <c r="AY40" i="12"/>
  <c r="D55" i="12"/>
  <c r="AW40" i="12"/>
  <c r="E55" i="12"/>
  <c r="AZ40" i="12"/>
  <c r="AW43" i="26"/>
  <c r="AZ43" i="26"/>
  <c r="AX43" i="26"/>
  <c r="AY43" i="26"/>
  <c r="D58" i="26"/>
  <c r="E58" i="26"/>
  <c r="AZ40" i="27"/>
  <c r="E55" i="27"/>
  <c r="AW40" i="27"/>
  <c r="AW45" i="27" s="1"/>
  <c r="N115" i="27" s="1"/>
  <c r="D55" i="27"/>
  <c r="AY40" i="27"/>
  <c r="AX40" i="27"/>
  <c r="AY42" i="8"/>
  <c r="AZ42" i="8"/>
  <c r="D57" i="8"/>
  <c r="E57" i="8"/>
  <c r="AW42" i="8"/>
  <c r="AX42" i="8"/>
  <c r="AX45" i="8" s="1"/>
  <c r="O115" i="8" s="1"/>
  <c r="E59" i="12"/>
  <c r="AW44" i="12"/>
  <c r="AX44" i="12"/>
  <c r="AZ44" i="12"/>
  <c r="AY44" i="12"/>
  <c r="D59" i="12"/>
  <c r="AZ40" i="24"/>
  <c r="AY40" i="24"/>
  <c r="E55" i="24"/>
  <c r="D55" i="24"/>
  <c r="AW40" i="24"/>
  <c r="AX40" i="24"/>
  <c r="AW41" i="38"/>
  <c r="AY41" i="38"/>
  <c r="D56" i="38"/>
  <c r="AX41" i="38"/>
  <c r="AZ41" i="38"/>
  <c r="E56" i="38"/>
  <c r="AZ44" i="24"/>
  <c r="AX44" i="24"/>
  <c r="AW44" i="24"/>
  <c r="AY44" i="24"/>
  <c r="E59" i="24"/>
  <c r="D59" i="24"/>
  <c r="D56" i="15"/>
  <c r="E56" i="15"/>
  <c r="AX41" i="15"/>
  <c r="AY41" i="15"/>
  <c r="AZ41" i="15"/>
  <c r="AW41" i="15"/>
  <c r="E55" i="11"/>
  <c r="AW40" i="11"/>
  <c r="AW45" i="11" s="1"/>
  <c r="N115" i="11" s="1"/>
  <c r="AX40" i="11"/>
  <c r="AX45" i="11" s="1"/>
  <c r="O115" i="11" s="1"/>
  <c r="D55" i="11"/>
  <c r="AZ40" i="11"/>
  <c r="AZ45" i="11" s="1"/>
  <c r="Q115" i="11" s="1"/>
  <c r="AY40" i="11"/>
  <c r="AY45" i="11" s="1"/>
  <c r="P115" i="11" s="1"/>
  <c r="E57" i="26"/>
  <c r="AX42" i="26"/>
  <c r="AZ42" i="26"/>
  <c r="D57" i="26"/>
  <c r="AW42" i="26"/>
  <c r="AY42" i="26"/>
  <c r="AX41" i="24"/>
  <c r="AZ41" i="24"/>
  <c r="AY41" i="24"/>
  <c r="E56" i="24"/>
  <c r="D56" i="24"/>
  <c r="AW41" i="24"/>
  <c r="E58" i="38"/>
  <c r="AW43" i="38"/>
  <c r="D58" i="38"/>
  <c r="AZ43" i="38"/>
  <c r="AY43" i="38"/>
  <c r="AX43" i="38"/>
  <c r="D57" i="12"/>
  <c r="AY42" i="12"/>
  <c r="AZ42" i="12"/>
  <c r="AW42" i="12"/>
  <c r="E57" i="12"/>
  <c r="AX42" i="12"/>
  <c r="AZ43" i="17"/>
  <c r="AW43" i="17"/>
  <c r="D58" i="17"/>
  <c r="AX43" i="17"/>
  <c r="E58" i="17"/>
  <c r="AY43" i="17"/>
  <c r="AW45" i="8"/>
  <c r="N115" i="8" s="1"/>
  <c r="AW40" i="40"/>
  <c r="AW45" i="40" s="1"/>
  <c r="N115" i="40" s="1"/>
  <c r="AY40" i="40"/>
  <c r="AZ40" i="40"/>
  <c r="AZ45" i="40" s="1"/>
  <c r="Q115" i="40" s="1"/>
  <c r="D55" i="40"/>
  <c r="AX40" i="40"/>
  <c r="AX45" i="40" s="1"/>
  <c r="O115" i="40" s="1"/>
  <c r="E55" i="40"/>
  <c r="AW41" i="20"/>
  <c r="D56" i="20"/>
  <c r="AX41" i="20"/>
  <c r="E56" i="20"/>
  <c r="AZ41" i="20"/>
  <c r="AY41" i="20"/>
  <c r="D59" i="13"/>
  <c r="AY44" i="13"/>
  <c r="AZ44" i="13"/>
  <c r="AW44" i="13"/>
  <c r="AX44" i="13"/>
  <c r="E59" i="13"/>
  <c r="E55" i="13"/>
  <c r="AX40" i="13"/>
  <c r="AX45" i="13" s="1"/>
  <c r="O115" i="13" s="1"/>
  <c r="AZ40" i="13"/>
  <c r="AW40" i="13"/>
  <c r="AY40" i="13"/>
  <c r="D55" i="13"/>
  <c r="AW42" i="18"/>
  <c r="E57" i="18"/>
  <c r="AY42" i="18"/>
  <c r="D57" i="18"/>
  <c r="AX42" i="18"/>
  <c r="AZ42" i="18"/>
  <c r="AZ45" i="18" s="1"/>
  <c r="Q115" i="18" s="1"/>
  <c r="D58" i="13"/>
  <c r="AX43" i="13"/>
  <c r="AY43" i="13"/>
  <c r="E58" i="13"/>
  <c r="AZ43" i="13"/>
  <c r="AW43" i="13"/>
  <c r="AX43" i="10"/>
  <c r="AW43" i="10"/>
  <c r="E58" i="10"/>
  <c r="AY43" i="10"/>
  <c r="D58" i="10"/>
  <c r="AZ43" i="10"/>
  <c r="E59" i="26"/>
  <c r="D59" i="26"/>
  <c r="AZ44" i="26"/>
  <c r="AY44" i="26"/>
  <c r="AX44" i="26"/>
  <c r="AW44" i="26"/>
  <c r="AW41" i="37"/>
  <c r="AX41" i="37"/>
  <c r="E56" i="37"/>
  <c r="AZ41" i="37"/>
  <c r="D56" i="37"/>
  <c r="AY41" i="37"/>
  <c r="D57" i="27"/>
  <c r="AX42" i="27"/>
  <c r="AY42" i="27"/>
  <c r="AW42" i="27"/>
  <c r="AZ42" i="27"/>
  <c r="E57" i="27"/>
  <c r="D58" i="12"/>
  <c r="AW43" i="12"/>
  <c r="AX43" i="12"/>
  <c r="AZ43" i="12"/>
  <c r="E58" i="12"/>
  <c r="AY43" i="12"/>
  <c r="AX40" i="20"/>
  <c r="AX45" i="20" s="1"/>
  <c r="O115" i="20" s="1"/>
  <c r="D55" i="20"/>
  <c r="AW40" i="20"/>
  <c r="AW45" i="20" s="1"/>
  <c r="N115" i="20" s="1"/>
  <c r="AY40" i="20"/>
  <c r="AY45" i="20" s="1"/>
  <c r="P115" i="20" s="1"/>
  <c r="E55" i="20"/>
  <c r="AZ40" i="20"/>
  <c r="AZ45" i="20" s="1"/>
  <c r="Q115" i="20" s="1"/>
  <c r="E57" i="37"/>
  <c r="AY42" i="37"/>
  <c r="D57" i="37"/>
  <c r="AW42" i="37"/>
  <c r="AZ42" i="37"/>
  <c r="AX42" i="37"/>
  <c r="AW44" i="10"/>
  <c r="E59" i="10"/>
  <c r="D59" i="10"/>
  <c r="AY44" i="10"/>
  <c r="AZ44" i="10"/>
  <c r="AX44" i="10"/>
  <c r="AW41" i="26"/>
  <c r="AY41" i="26"/>
  <c r="AZ41" i="26"/>
  <c r="AX41" i="26"/>
  <c r="E56" i="26"/>
  <c r="D56" i="26"/>
  <c r="E59" i="18"/>
  <c r="AY44" i="18"/>
  <c r="AX44" i="18"/>
  <c r="AW44" i="18"/>
  <c r="D59" i="18"/>
  <c r="AZ44" i="18"/>
  <c r="E58" i="24"/>
  <c r="AX43" i="24"/>
  <c r="AW43" i="24"/>
  <c r="AZ43" i="24"/>
  <c r="D58" i="24"/>
  <c r="AY43" i="24"/>
  <c r="AV14" i="7"/>
  <c r="J44" i="7" s="1"/>
  <c r="E46" i="7" s="1"/>
  <c r="AV13" i="7"/>
  <c r="AU13" i="7" s="1"/>
  <c r="AU12" i="7"/>
  <c r="AS12" i="7"/>
  <c r="AT12" i="7"/>
  <c r="J42" i="7"/>
  <c r="AS29" i="7" s="1"/>
  <c r="J34" i="1"/>
  <c r="E35" i="1" s="1"/>
  <c r="AY45" i="40" l="1"/>
  <c r="P115" i="40" s="1"/>
  <c r="AY45" i="24"/>
  <c r="P115" i="24" s="1"/>
  <c r="AY45" i="12"/>
  <c r="P115" i="12" s="1"/>
  <c r="AZ45" i="8"/>
  <c r="Q115" i="8" s="1"/>
  <c r="AX45" i="10"/>
  <c r="O115" i="10" s="1"/>
  <c r="AY45" i="8"/>
  <c r="P115" i="8" s="1"/>
  <c r="AX45" i="37"/>
  <c r="O115" i="37" s="1"/>
  <c r="AX45" i="17"/>
  <c r="O115" i="17" s="1"/>
  <c r="AZ45" i="24"/>
  <c r="Q115" i="24" s="1"/>
  <c r="AZ45" i="27"/>
  <c r="Q115" i="27" s="1"/>
  <c r="AX45" i="12"/>
  <c r="O115" i="12" s="1"/>
  <c r="AX45" i="15"/>
  <c r="O115" i="15" s="1"/>
  <c r="AY45" i="26"/>
  <c r="P115" i="26" s="1"/>
  <c r="AY45" i="10"/>
  <c r="P115" i="10" s="1"/>
  <c r="AY45" i="37"/>
  <c r="P115" i="37" s="1"/>
  <c r="AY45" i="13"/>
  <c r="P115" i="13" s="1"/>
  <c r="AX45" i="24"/>
  <c r="O115" i="24" s="1"/>
  <c r="AX45" i="27"/>
  <c r="O115" i="27" s="1"/>
  <c r="AZ45" i="12"/>
  <c r="Q115" i="12" s="1"/>
  <c r="AY45" i="38"/>
  <c r="P115" i="38" s="1"/>
  <c r="AX45" i="26"/>
  <c r="O115" i="26" s="1"/>
  <c r="AW45" i="13"/>
  <c r="N115" i="13" s="1"/>
  <c r="AW45" i="24"/>
  <c r="N115" i="24" s="1"/>
  <c r="AY45" i="27"/>
  <c r="P115" i="27" s="1"/>
  <c r="AZ45" i="15"/>
  <c r="Q115" i="15" s="1"/>
  <c r="AZ45" i="38"/>
  <c r="Q115" i="38" s="1"/>
  <c r="AW45" i="10"/>
  <c r="N115" i="10" s="1"/>
  <c r="AW45" i="37"/>
  <c r="N115" i="37" s="1"/>
  <c r="AY45" i="17"/>
  <c r="P115" i="17" s="1"/>
  <c r="AZ45" i="13"/>
  <c r="Q115" i="13" s="1"/>
  <c r="AW45" i="12"/>
  <c r="N115" i="12" s="1"/>
  <c r="AW45" i="15"/>
  <c r="N115" i="15" s="1"/>
  <c r="AX45" i="38"/>
  <c r="O115" i="38" s="1"/>
  <c r="AZ45" i="26"/>
  <c r="Q115" i="26" s="1"/>
  <c r="AZ45" i="37"/>
  <c r="Q115" i="37" s="1"/>
  <c r="AW45" i="17"/>
  <c r="N115" i="17" s="1"/>
  <c r="AW45" i="38"/>
  <c r="N115" i="38" s="1"/>
  <c r="AW45" i="26"/>
  <c r="N115" i="26" s="1"/>
  <c r="AZ45" i="10"/>
  <c r="Q115" i="10" s="1"/>
  <c r="AZ45" i="17"/>
  <c r="Q115" i="17" s="1"/>
  <c r="J43" i="7"/>
  <c r="E45" i="7" s="1"/>
  <c r="AS13" i="7"/>
  <c r="AU31" i="7"/>
  <c r="AV31" i="7"/>
  <c r="AT13" i="7"/>
  <c r="E44" i="7"/>
  <c r="AU14" i="7"/>
  <c r="AU15" i="7" s="1"/>
  <c r="AU17" i="7" s="1"/>
  <c r="AT14" i="7"/>
  <c r="D46" i="7"/>
  <c r="AS14" i="7"/>
  <c r="D44" i="7"/>
  <c r="AT29" i="7"/>
  <c r="AV29" i="7"/>
  <c r="AU29" i="7"/>
  <c r="AS31" i="7"/>
  <c r="AT31" i="7"/>
  <c r="AT30" i="7"/>
  <c r="AV30" i="7"/>
  <c r="AS30" i="7"/>
  <c r="AU30" i="7"/>
  <c r="P25" i="1"/>
  <c r="P24" i="1" s="1"/>
  <c r="AC148" i="1" s="1"/>
  <c r="D45" i="7" l="1"/>
  <c r="AS15" i="7"/>
  <c r="AS17" i="7" s="1"/>
  <c r="AV20" i="7" s="1"/>
  <c r="AT20" i="7" s="1"/>
  <c r="AT15" i="7"/>
  <c r="AT17" i="7" s="1"/>
  <c r="Q35" i="1"/>
  <c r="P35" i="1"/>
  <c r="E18" i="1" l="1"/>
  <c r="AV19" i="7"/>
  <c r="AT19" i="7" s="1"/>
  <c r="AV18" i="7"/>
  <c r="AT18" i="7" s="1"/>
  <c r="AU20" i="7"/>
  <c r="AS20" i="7"/>
  <c r="J47" i="7"/>
  <c r="E49" i="7" s="1"/>
  <c r="BE160" i="1"/>
  <c r="AT21" i="7" l="1"/>
  <c r="P100" i="7" s="1"/>
  <c r="AS19" i="7"/>
  <c r="J46" i="7"/>
  <c r="E48" i="7" s="1"/>
  <c r="AU19" i="7"/>
  <c r="J45" i="7"/>
  <c r="D47" i="7" s="1"/>
  <c r="AU18" i="7"/>
  <c r="AS18" i="7"/>
  <c r="D49" i="7"/>
  <c r="AU34" i="7"/>
  <c r="AV34" i="7"/>
  <c r="AS35" i="7"/>
  <c r="AT34" i="7"/>
  <c r="AS33" i="7"/>
  <c r="AV36" i="7"/>
  <c r="AS36" i="7"/>
  <c r="AV35" i="7"/>
  <c r="AT35" i="7"/>
  <c r="AU33" i="7"/>
  <c r="AU36" i="7"/>
  <c r="AV33" i="7"/>
  <c r="AU32" i="7"/>
  <c r="AT33" i="7"/>
  <c r="AU35" i="7"/>
  <c r="AS34" i="7"/>
  <c r="AT36" i="7"/>
  <c r="AA250" i="1"/>
  <c r="AA251" i="1"/>
  <c r="AA252" i="1"/>
  <c r="AA253" i="1"/>
  <c r="AA249" i="1"/>
  <c r="AS32" i="7" l="1"/>
  <c r="AS24" i="7" s="1"/>
  <c r="AS37" i="7" s="1"/>
  <c r="AV32" i="7"/>
  <c r="AV24" i="7" s="1"/>
  <c r="AV37" i="7" s="1"/>
  <c r="AT32" i="7"/>
  <c r="AT24" i="7" s="1"/>
  <c r="AT37" i="7" s="1"/>
  <c r="AU24" i="7"/>
  <c r="AU37" i="7" s="1"/>
  <c r="AT40" i="7" s="1"/>
  <c r="E47" i="7"/>
  <c r="AU21" i="7"/>
  <c r="Q100" i="7" s="1"/>
  <c r="D48" i="7"/>
  <c r="AS21" i="7"/>
  <c r="O100" i="7" s="1"/>
  <c r="B59" i="1"/>
  <c r="B55" i="1"/>
  <c r="B58" i="1"/>
  <c r="B57" i="1"/>
  <c r="B56" i="1"/>
  <c r="B48" i="1"/>
  <c r="AB244" i="1" s="1"/>
  <c r="B49" i="1"/>
  <c r="AB245" i="1" s="1"/>
  <c r="B47" i="1"/>
  <c r="AB243" i="1" s="1"/>
  <c r="B46" i="1"/>
  <c r="AB242" i="1" s="1"/>
  <c r="B42" i="1"/>
  <c r="AB238" i="1" s="1"/>
  <c r="B43" i="1"/>
  <c r="AB239" i="1" s="1"/>
  <c r="AT41" i="7" l="1"/>
  <c r="AT43" i="7"/>
  <c r="AT44" i="7"/>
  <c r="AT42" i="7"/>
  <c r="AU42" i="7"/>
  <c r="AU40" i="7"/>
  <c r="AU44" i="7"/>
  <c r="AU43" i="7"/>
  <c r="AU41" i="7"/>
  <c r="AR40" i="7"/>
  <c r="AR43" i="7"/>
  <c r="AR41" i="7"/>
  <c r="AR42" i="7"/>
  <c r="AR44" i="7"/>
  <c r="AS43" i="7"/>
  <c r="AS42" i="7"/>
  <c r="AS44" i="7"/>
  <c r="AS40" i="7"/>
  <c r="AS41" i="7"/>
  <c r="B45" i="1"/>
  <c r="AB241" i="1" s="1"/>
  <c r="AV44" i="7" l="1"/>
  <c r="E59" i="7" s="1"/>
  <c r="AV43" i="7"/>
  <c r="AX43" i="7" s="1"/>
  <c r="AV41" i="7"/>
  <c r="AV40" i="7"/>
  <c r="AV42" i="7"/>
  <c r="B41" i="1"/>
  <c r="AB237" i="1" s="1"/>
  <c r="B44" i="1"/>
  <c r="AB240" i="1" s="1"/>
  <c r="AW44" i="7" l="1"/>
  <c r="AZ44" i="7"/>
  <c r="AX44" i="7"/>
  <c r="AY44" i="7"/>
  <c r="D59" i="7"/>
  <c r="AW43" i="7"/>
  <c r="AZ43" i="7"/>
  <c r="AY43" i="7"/>
  <c r="E58" i="7"/>
  <c r="D58" i="7"/>
  <c r="E57" i="7"/>
  <c r="D57" i="7"/>
  <c r="AW42" i="7"/>
  <c r="AZ42" i="7"/>
  <c r="AX42" i="7"/>
  <c r="AY42" i="7"/>
  <c r="E55" i="7"/>
  <c r="AW40" i="7"/>
  <c r="AY40" i="7"/>
  <c r="D55" i="7"/>
  <c r="AZ40" i="7"/>
  <c r="AX40" i="7"/>
  <c r="E56" i="7"/>
  <c r="AW41" i="7"/>
  <c r="AY41" i="7"/>
  <c r="D56" i="7"/>
  <c r="AZ41" i="7"/>
  <c r="AX41" i="7"/>
  <c r="AH42" i="1"/>
  <c r="AH41" i="1"/>
  <c r="AH40" i="1"/>
  <c r="AH39" i="1"/>
  <c r="AH38" i="1"/>
  <c r="AH37" i="1"/>
  <c r="AH36" i="1"/>
  <c r="AH35" i="1"/>
  <c r="AH34" i="1"/>
  <c r="AH32" i="1"/>
  <c r="AH33" i="1"/>
  <c r="AJ10" i="1"/>
  <c r="AH31" i="1"/>
  <c r="AI31" i="1" s="1"/>
  <c r="AH10" i="1"/>
  <c r="AZ45" i="7" l="1"/>
  <c r="Q115" i="7" s="1"/>
  <c r="AX45" i="7"/>
  <c r="O115" i="7" s="1"/>
  <c r="AY45" i="7"/>
  <c r="P115" i="7" s="1"/>
  <c r="AW45" i="7"/>
  <c r="N115" i="7" s="1"/>
  <c r="AI34" i="1"/>
  <c r="AI37" i="1"/>
  <c r="AI40" i="1"/>
  <c r="AC151" i="1"/>
  <c r="AL188" i="1"/>
  <c r="AL189" i="1"/>
  <c r="AL190" i="1"/>
  <c r="AL191" i="1"/>
  <c r="AL192" i="1"/>
  <c r="AL193" i="1"/>
  <c r="AL194" i="1"/>
  <c r="AG147" i="1" l="1"/>
  <c r="AG148" i="1" s="1"/>
  <c r="AG149" i="1" s="1"/>
  <c r="AK40" i="1" l="1"/>
  <c r="AJ40" i="1" s="1"/>
  <c r="AG235" i="1" s="1"/>
  <c r="Q114" i="1" s="1"/>
  <c r="AK37" i="1"/>
  <c r="AJ37" i="1" s="1"/>
  <c r="AF235" i="1" s="1"/>
  <c r="P114" i="1" s="1"/>
  <c r="AK31" i="1"/>
  <c r="AJ31" i="1" s="1"/>
  <c r="AD235" i="1" s="1"/>
  <c r="N114" i="1" s="1"/>
  <c r="AK34" i="1"/>
  <c r="AJ34" i="1" s="1"/>
  <c r="AE235" i="1" s="1"/>
  <c r="O114" i="1" s="1"/>
  <c r="J35" i="1" l="1"/>
  <c r="D35" i="1"/>
  <c r="E36" i="1" l="1"/>
  <c r="D36" i="1"/>
  <c r="AC149" i="1"/>
  <c r="AC152" i="1" s="1"/>
  <c r="J27" i="1" s="1"/>
  <c r="E27" i="1" s="1"/>
  <c r="AG150" i="1"/>
  <c r="J29" i="1" s="1"/>
  <c r="E29" i="1" s="1"/>
  <c r="AF65" i="1"/>
  <c r="AF66" i="1"/>
  <c r="AF67" i="1"/>
  <c r="AF68" i="1"/>
  <c r="AF69" i="1"/>
  <c r="AF70" i="1"/>
  <c r="AF71" i="1"/>
  <c r="AF72" i="1"/>
  <c r="AF73" i="1"/>
  <c r="I24" i="1"/>
  <c r="I23" i="1"/>
  <c r="I22" i="1"/>
  <c r="I21" i="1"/>
  <c r="I20" i="1"/>
  <c r="G24" i="1"/>
  <c r="G23" i="1"/>
  <c r="G22" i="1"/>
  <c r="G21" i="1"/>
  <c r="G20" i="1"/>
  <c r="E24" i="1"/>
  <c r="E23" i="1"/>
  <c r="E22" i="1"/>
  <c r="E21" i="1"/>
  <c r="C22" i="1"/>
  <c r="C23" i="1"/>
  <c r="C24" i="1"/>
  <c r="C21" i="1"/>
  <c r="I14" i="1"/>
  <c r="AD236" i="1" l="1"/>
  <c r="AE236" i="1"/>
  <c r="D27" i="1"/>
  <c r="AG236" i="1"/>
  <c r="AF236" i="1"/>
  <c r="J30" i="1"/>
  <c r="E30" i="1" s="1"/>
  <c r="D29" i="1"/>
  <c r="J28" i="1"/>
  <c r="E28" i="1" s="1"/>
  <c r="D28" i="1" l="1"/>
  <c r="D30" i="1"/>
  <c r="AD214" i="1"/>
  <c r="O99" i="1"/>
  <c r="AF74" i="1"/>
  <c r="AF75" i="1"/>
  <c r="AF76" i="1"/>
  <c r="AK25" i="1" l="1"/>
  <c r="AG25" i="1"/>
  <c r="AG24" i="1"/>
  <c r="AG13" i="1"/>
  <c r="AG12" i="1"/>
  <c r="AG11" i="1"/>
  <c r="AG10" i="1"/>
  <c r="AK24" i="1" l="1"/>
  <c r="AL24" i="1" s="1"/>
  <c r="AJ73" i="1" s="1"/>
  <c r="AK66" i="1" s="1"/>
  <c r="AJ13" i="1"/>
  <c r="AJ12" i="1"/>
  <c r="AJ11" i="1"/>
  <c r="AI13" i="1"/>
  <c r="AI10" i="1"/>
  <c r="AI11" i="1"/>
  <c r="AF214" i="1" l="1"/>
  <c r="Q99" i="1"/>
  <c r="AI12" i="1"/>
  <c r="AH13" i="1"/>
  <c r="AK13" i="1" s="1"/>
  <c r="AH12" i="1"/>
  <c r="AH11" i="1"/>
  <c r="AK11" i="1" s="1"/>
  <c r="AK10" i="1"/>
  <c r="AK12" i="1" l="1"/>
  <c r="AL10" i="1" s="1"/>
  <c r="AJ70" i="1" s="1"/>
  <c r="AK65" i="1" s="1"/>
  <c r="P99" i="1" l="1"/>
  <c r="AE214" i="1"/>
  <c r="AG216" i="1" l="1"/>
  <c r="AG215" i="1"/>
  <c r="AD215" i="1" s="1"/>
  <c r="AG217" i="1"/>
  <c r="AE217" i="1" l="1"/>
  <c r="AF217" i="1"/>
  <c r="AD217" i="1"/>
  <c r="AF215" i="1"/>
  <c r="AE215" i="1"/>
  <c r="AE216" i="1"/>
  <c r="AF216" i="1"/>
  <c r="AD216" i="1"/>
  <c r="J40" i="1"/>
  <c r="E42" i="1" s="1"/>
  <c r="J39" i="1"/>
  <c r="E41" i="1" s="1"/>
  <c r="J41" i="1"/>
  <c r="E43" i="1" s="1"/>
  <c r="AF218" i="1" l="1"/>
  <c r="AF220" i="1" s="1"/>
  <c r="AD218" i="1"/>
  <c r="AD220" i="1" s="1"/>
  <c r="AE218" i="1"/>
  <c r="AE220" i="1" s="1"/>
  <c r="D42" i="1"/>
  <c r="D43" i="1"/>
  <c r="D41" i="1"/>
  <c r="AG223" i="1" l="1"/>
  <c r="AG222" i="1"/>
  <c r="AD222" i="1" s="1"/>
  <c r="AG221" i="1"/>
  <c r="AE222" i="1" l="1"/>
  <c r="J43" i="1"/>
  <c r="AF222" i="1"/>
  <c r="AF223" i="1"/>
  <c r="AE223" i="1"/>
  <c r="AD221" i="1"/>
  <c r="AE221" i="1"/>
  <c r="AF221" i="1"/>
  <c r="J44" i="1"/>
  <c r="E46" i="1" s="1"/>
  <c r="AD223" i="1"/>
  <c r="J42" i="1"/>
  <c r="E44" i="1" s="1"/>
  <c r="E45" i="1" l="1"/>
  <c r="AE239" i="1"/>
  <c r="AF239" i="1"/>
  <c r="AG239" i="1"/>
  <c r="AD239" i="1"/>
  <c r="AD237" i="1"/>
  <c r="AF237" i="1"/>
  <c r="AE237" i="1"/>
  <c r="AG237" i="1"/>
  <c r="AE238" i="1"/>
  <c r="AD238" i="1"/>
  <c r="AF238" i="1"/>
  <c r="AG238" i="1"/>
  <c r="D46" i="1"/>
  <c r="D45" i="1"/>
  <c r="D44" i="1"/>
  <c r="AD224" i="1"/>
  <c r="AD226" i="1" s="1"/>
  <c r="AF224" i="1"/>
  <c r="AF226" i="1" s="1"/>
  <c r="AE224" i="1"/>
  <c r="AE226" i="1" s="1"/>
  <c r="AG229" i="1" l="1"/>
  <c r="AG228" i="1"/>
  <c r="AD228" i="1" s="1"/>
  <c r="AG227" i="1"/>
  <c r="AF227" i="1" l="1"/>
  <c r="AE227" i="1"/>
  <c r="AF228" i="1"/>
  <c r="AE228" i="1"/>
  <c r="J46" i="1"/>
  <c r="E48" i="1" s="1"/>
  <c r="AF229" i="1"/>
  <c r="AE229" i="1"/>
  <c r="J45" i="1"/>
  <c r="AD227" i="1"/>
  <c r="J47" i="1"/>
  <c r="E49" i="1" s="1"/>
  <c r="AD229" i="1"/>
  <c r="AD230" i="1" l="1"/>
  <c r="O100" i="1" s="1"/>
  <c r="E47" i="1"/>
  <c r="AE242" i="1"/>
  <c r="AE241" i="1"/>
  <c r="AG242" i="1"/>
  <c r="AF241" i="1"/>
  <c r="AD241" i="1"/>
  <c r="AF242" i="1"/>
  <c r="AD242" i="1"/>
  <c r="AG241" i="1"/>
  <c r="AF240" i="1"/>
  <c r="AE240" i="1"/>
  <c r="AG240" i="1"/>
  <c r="AD240" i="1"/>
  <c r="D48" i="1"/>
  <c r="AF244" i="1"/>
  <c r="AD244" i="1"/>
  <c r="AE244" i="1"/>
  <c r="AG244" i="1"/>
  <c r="D49" i="1"/>
  <c r="AD245" i="1"/>
  <c r="AG245" i="1"/>
  <c r="AE245" i="1"/>
  <c r="AF245" i="1"/>
  <c r="D47" i="1"/>
  <c r="AD243" i="1"/>
  <c r="AG243" i="1"/>
  <c r="AE243" i="1"/>
  <c r="AF243" i="1"/>
  <c r="AF230" i="1"/>
  <c r="Q100" i="1" s="1"/>
  <c r="AE230" i="1"/>
  <c r="P100" i="1" s="1"/>
  <c r="AD233" i="1" l="1"/>
  <c r="AD246" i="1" s="1"/>
  <c r="AC249" i="1" s="1"/>
  <c r="AG233" i="1"/>
  <c r="AG246" i="1" s="1"/>
  <c r="AF251" i="1" s="1"/>
  <c r="AF233" i="1"/>
  <c r="AF246" i="1" s="1"/>
  <c r="AE233" i="1"/>
  <c r="AE246" i="1" s="1"/>
  <c r="AC253" i="1" l="1"/>
  <c r="AC251" i="1"/>
  <c r="AC250" i="1"/>
  <c r="AC252" i="1"/>
  <c r="AF253" i="1"/>
  <c r="AF250" i="1"/>
  <c r="AF249" i="1"/>
  <c r="AF252" i="1"/>
  <c r="AE251" i="1"/>
  <c r="AE249" i="1"/>
  <c r="AE250" i="1"/>
  <c r="AE253" i="1"/>
  <c r="AE252" i="1"/>
  <c r="AD250" i="1"/>
  <c r="AD253" i="1"/>
  <c r="AD249" i="1"/>
  <c r="AD251" i="1"/>
  <c r="AD252" i="1"/>
  <c r="AG249" i="1" l="1"/>
  <c r="AG251" i="1"/>
  <c r="AG252" i="1"/>
  <c r="AG253" i="1"/>
  <c r="AG250" i="1"/>
  <c r="E56" i="1" s="1"/>
  <c r="AI251" i="1" l="1"/>
  <c r="E57" i="1"/>
  <c r="AK253" i="1"/>
  <c r="E59" i="1"/>
  <c r="AH252" i="1"/>
  <c r="E58" i="1"/>
  <c r="AH249" i="1"/>
  <c r="E55" i="1"/>
  <c r="AI249" i="1"/>
  <c r="D55" i="1"/>
  <c r="AJ249" i="1"/>
  <c r="AK249" i="1"/>
  <c r="AK251" i="1"/>
  <c r="AI252" i="1"/>
  <c r="AH251" i="1"/>
  <c r="D57" i="1"/>
  <c r="D59" i="1"/>
  <c r="AJ253" i="1"/>
  <c r="AH253" i="1"/>
  <c r="AI253" i="1"/>
  <c r="AJ251" i="1"/>
  <c r="D58" i="1"/>
  <c r="AK252" i="1"/>
  <c r="AJ252" i="1"/>
  <c r="AK250" i="1"/>
  <c r="AI250" i="1"/>
  <c r="AJ250" i="1"/>
  <c r="AH250" i="1"/>
  <c r="D56" i="1"/>
  <c r="BT143" i="1" l="1"/>
  <c r="N115" i="1" s="1"/>
  <c r="BU143" i="1"/>
  <c r="O115" i="1" s="1"/>
  <c r="BW143" i="1"/>
  <c r="Q115" i="1" s="1"/>
  <c r="BV143" i="1"/>
  <c r="P115" i="1" s="1"/>
</calcChain>
</file>

<file path=xl/comments1.xml><?xml version="1.0" encoding="utf-8"?>
<comments xmlns="http://schemas.openxmlformats.org/spreadsheetml/2006/main">
  <authors>
    <author>Usuário</author>
    <author>tecnico</author>
  </authors>
  <commentList>
    <comment ref="P8" authorId="0" shapeId="0">
      <text>
        <r>
          <rPr>
            <b/>
            <sz val="16"/>
            <color indexed="81"/>
            <rFont val="Segoe UI"/>
            <family val="2"/>
          </rPr>
          <t xml:space="preserve">Usuário:
</t>
        </r>
        <r>
          <rPr>
            <sz val="16"/>
            <color indexed="81"/>
            <rFont val="Segoe UI"/>
            <family val="2"/>
          </rPr>
          <t>Caso a analise de solo apresente o valor em mg/dm³, divida o valor por 391.</t>
        </r>
      </text>
    </comment>
    <comment ref="V11" authorId="0" shapeId="0">
      <text>
        <r>
          <rPr>
            <b/>
            <sz val="16"/>
            <color indexed="81"/>
            <rFont val="Segoe UI"/>
            <family val="2"/>
          </rPr>
          <t xml:space="preserve">Usuário:
</t>
        </r>
        <r>
          <rPr>
            <sz val="16"/>
            <color indexed="81"/>
            <rFont val="Segoe UI"/>
            <family val="2"/>
          </rPr>
          <t>Caso a analise de solo apresente o valor em mg/dm³, divida o valor por 391.</t>
        </r>
      </text>
    </comment>
    <comment ref="V15"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0"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2.xml><?xml version="1.0" encoding="utf-8"?>
<comments xmlns="http://schemas.openxmlformats.org/spreadsheetml/2006/main">
  <authors>
    <author>Usuário</author>
    <author>tecnico</author>
  </authors>
  <commentList>
    <comment ref="P8" authorId="0" shapeId="0">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3.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4.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5.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6.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7.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8.xml><?xml version="1.0" encoding="utf-8"?>
<comments xmlns="http://schemas.openxmlformats.org/spreadsheetml/2006/main">
  <authors>
    <author>Usuário</author>
    <author>tecnico</author>
  </authors>
  <commentList>
    <comment ref="P8" authorId="0" shapeId="0">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9.xml><?xml version="1.0" encoding="utf-8"?>
<comments xmlns="http://schemas.openxmlformats.org/spreadsheetml/2006/main">
  <authors>
    <author>Usuário</author>
    <author>tecnico</author>
  </authors>
  <commentList>
    <comment ref="P8" authorId="0" shapeId="0">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10.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1.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2.xml><?xml version="1.0" encoding="utf-8"?>
<comments xmlns="http://schemas.openxmlformats.org/spreadsheetml/2006/main">
  <authors>
    <author>Usuário</author>
    <author>tecnico</author>
  </authors>
  <commentList>
    <comment ref="P8" authorId="0" shapeId="0">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13.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4.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5.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6.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7.xml><?xml version="1.0" encoding="utf-8"?>
<comments xmlns="http://schemas.openxmlformats.org/spreadsheetml/2006/main">
  <authors>
    <author>Usuário</author>
    <author>tecnico</author>
  </authors>
  <commentList>
    <comment ref="P8" authorId="0" shapeId="0">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18.xml><?xml version="1.0" encoding="utf-8"?>
<comments xmlns="http://schemas.openxmlformats.org/spreadsheetml/2006/main">
  <authors>
    <author>Usuário</author>
    <author>tecnico</author>
  </authors>
  <commentList>
    <comment ref="P8" authorId="0" shapeId="0">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19.xml><?xml version="1.0" encoding="utf-8"?>
<comments xmlns="http://schemas.openxmlformats.org/spreadsheetml/2006/main">
  <authors>
    <author>Usuário</author>
    <author>tecnico</author>
  </authors>
  <commentList>
    <comment ref="P8" authorId="0" shapeId="0">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20.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21.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22.xml><?xml version="1.0" encoding="utf-8"?>
<comments xmlns="http://schemas.openxmlformats.org/spreadsheetml/2006/main">
  <authors>
    <author>Usuário</author>
    <author>tecnico</author>
  </authors>
  <commentList>
    <comment ref="P8" authorId="0" shapeId="0">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23.xml><?xml version="1.0" encoding="utf-8"?>
<comments xmlns="http://schemas.openxmlformats.org/spreadsheetml/2006/main">
  <authors>
    <author>Usuário</author>
    <author>tecnico</author>
  </authors>
  <commentList>
    <comment ref="P8" authorId="0" shapeId="0">
      <text>
        <r>
          <rPr>
            <b/>
            <sz val="16"/>
            <color indexed="81"/>
            <rFont val="Segoe UI"/>
            <family val="2"/>
          </rPr>
          <t xml:space="preserve">Usuário:
</t>
        </r>
        <r>
          <rPr>
            <sz val="16"/>
            <color indexed="81"/>
            <rFont val="Segoe UI"/>
            <family val="2"/>
          </rPr>
          <t>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1" authorId="1" shapeId="0">
      <text>
        <r>
          <rPr>
            <b/>
            <sz val="16"/>
            <color indexed="81"/>
            <rFont val="Segoe UI"/>
            <family val="2"/>
          </rPr>
          <t xml:space="preserve">Usuário:
</t>
        </r>
        <r>
          <rPr>
            <sz val="16"/>
            <color indexed="81"/>
            <rFont val="Segoe UI"/>
            <family val="2"/>
          </rPr>
          <t>Dividir o valor em g/kg da análise</t>
        </r>
        <r>
          <rPr>
            <b/>
            <sz val="16"/>
            <color indexed="81"/>
            <rFont val="Segoe UI"/>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List>
</comments>
</file>

<file path=xl/comments24.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25.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26.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sharedStrings.xml><?xml version="1.0" encoding="utf-8"?>
<sst xmlns="http://schemas.openxmlformats.org/spreadsheetml/2006/main" count="11885" uniqueCount="635">
  <si>
    <t>UNIDADE</t>
  </si>
  <si>
    <t>pH</t>
  </si>
  <si>
    <t xml:space="preserve"> - </t>
  </si>
  <si>
    <t>CALCIO</t>
  </si>
  <si>
    <t>MAGNÉSIO</t>
  </si>
  <si>
    <t>POTÁSSIO</t>
  </si>
  <si>
    <t>SÓDIO</t>
  </si>
  <si>
    <t>ALUMÍNIO</t>
  </si>
  <si>
    <t>H + Al</t>
  </si>
  <si>
    <t>CARBONO</t>
  </si>
  <si>
    <t>g/kg</t>
  </si>
  <si>
    <t>FÓSFORO</t>
  </si>
  <si>
    <t>mg/dm³ = ppm</t>
  </si>
  <si>
    <t>BORO</t>
  </si>
  <si>
    <t>ENXOFRE</t>
  </si>
  <si>
    <t>COBRE</t>
  </si>
  <si>
    <t>FERRO</t>
  </si>
  <si>
    <t>MANGANÊS</t>
  </si>
  <si>
    <t>ZINCO</t>
  </si>
  <si>
    <t>AREIA</t>
  </si>
  <si>
    <t>SILTE</t>
  </si>
  <si>
    <t>MAT. ORGÂNICA</t>
  </si>
  <si>
    <t>SAT. BASE</t>
  </si>
  <si>
    <t>%</t>
  </si>
  <si>
    <t>C.T.C</t>
  </si>
  <si>
    <t>Baixo</t>
  </si>
  <si>
    <t>Médio</t>
  </si>
  <si>
    <t>16 - 35</t>
  </si>
  <si>
    <t>35 - 60</t>
  </si>
  <si>
    <t>Teor de Argila</t>
  </si>
  <si>
    <t>12,1 - 18</t>
  </si>
  <si>
    <t>Adequado</t>
  </si>
  <si>
    <t>Idade</t>
  </si>
  <si>
    <t>N</t>
  </si>
  <si>
    <t>anos</t>
  </si>
  <si>
    <t>K20 (g/planta)</t>
  </si>
  <si>
    <t>P205 (g/planta)</t>
  </si>
  <si>
    <t>&lt; 15</t>
  </si>
  <si>
    <t>&gt; 60</t>
  </si>
  <si>
    <t>&lt; 12</t>
  </si>
  <si>
    <t>&lt; 10</t>
  </si>
  <si>
    <t>&lt; 5</t>
  </si>
  <si>
    <t>&lt; 3</t>
  </si>
  <si>
    <t>&gt; 18,1</t>
  </si>
  <si>
    <t>10,1 - 15</t>
  </si>
  <si>
    <t>5,1 - 8</t>
  </si>
  <si>
    <t>3,1 - 6</t>
  </si>
  <si>
    <t>&gt; 15,1</t>
  </si>
  <si>
    <t>&gt; 8,1</t>
  </si>
  <si>
    <t>&gt; 6,1</t>
  </si>
  <si>
    <t>&lt; 20</t>
  </si>
  <si>
    <t>Interpretação e teor de fósforo (mg/dm3)</t>
  </si>
  <si>
    <t>Argila</t>
  </si>
  <si>
    <t>Teor de argila</t>
  </si>
  <si>
    <t>Fósforo</t>
  </si>
  <si>
    <t>cmolс/dm³ = mE/100mL</t>
  </si>
  <si>
    <t>Tabela 1. Interpretação de análise de solo para recomendação de adubação fosfatada (extrator Mehlich-1)</t>
  </si>
  <si>
    <t>Fase 1</t>
  </si>
  <si>
    <t>Resultado final</t>
  </si>
  <si>
    <t>Programação funções excel</t>
  </si>
  <si>
    <t xml:space="preserve">Tabela 2. Interpretação de análise de solo para recomendação de adubação potássica </t>
  </si>
  <si>
    <t>&gt;20</t>
  </si>
  <si>
    <t>Potássio</t>
  </si>
  <si>
    <t>Lista de seleção</t>
  </si>
  <si>
    <t>N (g/planta)</t>
  </si>
  <si>
    <t>Resultado final (g/planta)</t>
  </si>
  <si>
    <t>P205</t>
  </si>
  <si>
    <t>K20</t>
  </si>
  <si>
    <t>baixo</t>
  </si>
  <si>
    <t>medio</t>
  </si>
  <si>
    <t>adequado</t>
  </si>
  <si>
    <t>Concatenação</t>
  </si>
  <si>
    <t>Concatenação Fósforo</t>
  </si>
  <si>
    <t>Concatenação Potássio</t>
  </si>
  <si>
    <t>Interpretação e teor de potássio (mg/dm3)</t>
  </si>
  <si>
    <t>Nível de no solo</t>
  </si>
  <si>
    <t>ADUBO</t>
  </si>
  <si>
    <t>R$/KG</t>
  </si>
  <si>
    <t>GARANTIAS (%)</t>
  </si>
  <si>
    <t>P</t>
  </si>
  <si>
    <t>K</t>
  </si>
  <si>
    <t>Ca</t>
  </si>
  <si>
    <t>Mg</t>
  </si>
  <si>
    <t>S</t>
  </si>
  <si>
    <t>B</t>
  </si>
  <si>
    <t>Mn</t>
  </si>
  <si>
    <t>Zn</t>
  </si>
  <si>
    <t>Cu</t>
  </si>
  <si>
    <t>Mo</t>
  </si>
  <si>
    <t>Fe</t>
  </si>
  <si>
    <t>NH4 (amoniacal)</t>
  </si>
  <si>
    <t>NO3 (nítrico)</t>
  </si>
  <si>
    <t>Indice Salino</t>
  </si>
  <si>
    <t>Nitrato de Amônio</t>
  </si>
  <si>
    <t>Nitrato de magnésio</t>
  </si>
  <si>
    <t>Sulfato de amônio</t>
  </si>
  <si>
    <t>Sulfato de potássio</t>
  </si>
  <si>
    <t>Uréia</t>
  </si>
  <si>
    <t>Lithothanium / Primaz</t>
  </si>
  <si>
    <t>Boráx</t>
  </si>
  <si>
    <t>Brexil Top</t>
  </si>
  <si>
    <t>Molibdato de sódio</t>
  </si>
  <si>
    <t>Sulfato de manganês</t>
  </si>
  <si>
    <t>Sulfato de zinco</t>
  </si>
  <si>
    <t>Ferro YaraVita™ Rexolin® M48</t>
  </si>
  <si>
    <t>% CaO</t>
  </si>
  <si>
    <t>% MgO</t>
  </si>
  <si>
    <t>% PRNT</t>
  </si>
  <si>
    <t>Necessidade de calagem (t/ha)</t>
  </si>
  <si>
    <t>V2</t>
  </si>
  <si>
    <t>PRNT</t>
  </si>
  <si>
    <t>NC</t>
  </si>
  <si>
    <t>Formulado 04-14-08</t>
  </si>
  <si>
    <t>Formulado 04-30-16</t>
  </si>
  <si>
    <t>Formulado 10-10-10</t>
  </si>
  <si>
    <t>Formulado 20-00-20</t>
  </si>
  <si>
    <t>EkoSil</t>
  </si>
  <si>
    <t>Si</t>
  </si>
  <si>
    <t>Tabela 3. Adubação de formação para abacate</t>
  </si>
  <si>
    <t>FOLHA DE RECOMENDAÇÃO TÉCNICA</t>
  </si>
  <si>
    <t>NOME DO PROPRIETÁRIO</t>
  </si>
  <si>
    <t>PROPRIEDADE</t>
  </si>
  <si>
    <t>EXPLORAÇÃO</t>
  </si>
  <si>
    <t>UNIDADE LOCAL</t>
  </si>
  <si>
    <t xml:space="preserve">DATA: </t>
  </si>
  <si>
    <t>Área (ha):</t>
  </si>
  <si>
    <t>Sat. Bases</t>
  </si>
  <si>
    <t>Na</t>
  </si>
  <si>
    <t>M.O.</t>
  </si>
  <si>
    <t>H+Al</t>
  </si>
  <si>
    <t>Al</t>
  </si>
  <si>
    <t>CTC</t>
  </si>
  <si>
    <t>Assinatura do Produtor ou Responsável</t>
  </si>
  <si>
    <t>Técnico Responsável</t>
  </si>
  <si>
    <t>Número de plantas por hectare (100m x 100m):</t>
  </si>
  <si>
    <t>Micronutrientes</t>
  </si>
  <si>
    <t>TIPOS</t>
  </si>
  <si>
    <t>ARAGUAIA Calcítico</t>
  </si>
  <si>
    <t>ARAGUAIA Dolomítico</t>
  </si>
  <si>
    <t>BRICCAL Calcítico</t>
  </si>
  <si>
    <t>BRITACAL Dolomítico</t>
  </si>
  <si>
    <t>BRITACAL Filler</t>
  </si>
  <si>
    <t>BRITACAL Calcítico</t>
  </si>
  <si>
    <t>PIRECAL Dolomítico</t>
  </si>
  <si>
    <t>Calcário Itaú Filler</t>
  </si>
  <si>
    <t>PIRINEUS Dolomítico</t>
  </si>
  <si>
    <t>GOIAS Filler Dolomítico</t>
  </si>
  <si>
    <t>GOIAS Filler Calcítico</t>
  </si>
  <si>
    <t>TERRA BRANCA Calcítico</t>
  </si>
  <si>
    <t>PIRINEUS Calcítico</t>
  </si>
  <si>
    <t>Rochas moídas</t>
  </si>
  <si>
    <t>FTE BR 12</t>
  </si>
  <si>
    <t>Gesso agrícola</t>
  </si>
  <si>
    <t>Siligesso Agronelli</t>
  </si>
  <si>
    <t>Nutrigesso Nutrion</t>
  </si>
  <si>
    <t>Kamafugito</t>
  </si>
  <si>
    <t>Micaxisto (61) 3233-9368</t>
  </si>
  <si>
    <t xml:space="preserve">Pó de brita Fmx (62) 3924 8565 </t>
  </si>
  <si>
    <t>Esterco de galinha</t>
  </si>
  <si>
    <t>Suphaphos</t>
  </si>
  <si>
    <t xml:space="preserve">Biotita Xisto (61) 3233-9368 </t>
  </si>
  <si>
    <t>Kmag</t>
  </si>
  <si>
    <t>FNR Fertipar ((061 3642-2080)</t>
  </si>
  <si>
    <t>FNR Heringer (061 3642-2596)</t>
  </si>
  <si>
    <t>FNR Paulivida (061 - 3361-6634)</t>
  </si>
  <si>
    <t>Agroffos Agronelli (061 3642-1777)</t>
  </si>
  <si>
    <t>Esterco de gado</t>
  </si>
  <si>
    <t>Formulado 05-25-15</t>
  </si>
  <si>
    <t>Formulado 04-26-10 (Timac)</t>
  </si>
  <si>
    <t>Formulado 00-18-00 (Timac)</t>
  </si>
  <si>
    <t>Formulado 07-00-30 (Ncalcio)</t>
  </si>
  <si>
    <t>Formulado 12-03-24 (Timac)</t>
  </si>
  <si>
    <t>Bokashi ORGANICS (062 3247-3100)</t>
  </si>
  <si>
    <t>Biobokashi Farelado FERTIBIO (61 9827-4439)</t>
  </si>
  <si>
    <t>Minhofertil (61 3361-6634)</t>
  </si>
  <si>
    <t>Torta de mamona Super thorg (061 9 9827-4439)</t>
  </si>
  <si>
    <t>Torta de mamona Nutrisafra (062 3310-8133)</t>
  </si>
  <si>
    <t>Farinha de osso (9 9124-8292)</t>
  </si>
  <si>
    <t>Bokashi Carlos (061 9 9681-3730)</t>
  </si>
  <si>
    <t>Composto ORGANICS (062 3247-3100)</t>
  </si>
  <si>
    <t>Bokashi Valdemar (9 9811-2414)</t>
  </si>
  <si>
    <t>Torta de mamona Vitaplan (061 3234-8485)</t>
  </si>
  <si>
    <t>Anos</t>
  </si>
  <si>
    <t>Dados de análise de solos</t>
  </si>
  <si>
    <t>GESSAGEM</t>
  </si>
  <si>
    <t>Calcário</t>
  </si>
  <si>
    <t>Gesso Nutrion</t>
  </si>
  <si>
    <t>Gesso Votorantim</t>
  </si>
  <si>
    <t>Gesso Agronelli</t>
  </si>
  <si>
    <t>Sim</t>
  </si>
  <si>
    <t>Não</t>
  </si>
  <si>
    <t>CaO</t>
  </si>
  <si>
    <t>MgO</t>
  </si>
  <si>
    <t>CaO + MgO</t>
  </si>
  <si>
    <t>Pó de rocha</t>
  </si>
  <si>
    <t>CaO+MgO</t>
  </si>
  <si>
    <t>DADOS DA ANALISE DE SOLOS</t>
  </si>
  <si>
    <t>DADOS DO ESPAÇAMENTO SIMPLES</t>
  </si>
  <si>
    <t>DADOS DA IDADE DO PLANTIO</t>
  </si>
  <si>
    <t>DIGA SE HÁ NECESSIDADE TÉCNICA DE GESSAGEM</t>
  </si>
  <si>
    <t>X</t>
  </si>
  <si>
    <t>Definição da quantidade indicada</t>
  </si>
  <si>
    <t>Necessidade de rochagem (t/ha)</t>
  </si>
  <si>
    <t>Qtde. indicada</t>
  </si>
  <si>
    <t>CaO+MgO+K2O</t>
  </si>
  <si>
    <t>Cloreto de potássio</t>
  </si>
  <si>
    <t>MAP</t>
  </si>
  <si>
    <t>MKP</t>
  </si>
  <si>
    <t>Nitrato de cálcio</t>
  </si>
  <si>
    <t>Nitrato de potássio</t>
  </si>
  <si>
    <t>PASSO 1</t>
  </si>
  <si>
    <t>PASSO 2</t>
  </si>
  <si>
    <t>PASSO 3</t>
  </si>
  <si>
    <t>PASSO 4</t>
  </si>
  <si>
    <t>PASSO 5</t>
  </si>
  <si>
    <t>PASSO 6</t>
  </si>
  <si>
    <t>Superfosfato simples</t>
  </si>
  <si>
    <t>Superfosfato triplo</t>
  </si>
  <si>
    <t>Hortimax Plantio 03-18-05</t>
  </si>
  <si>
    <t>Hortimax Cobertura 13-3-25</t>
  </si>
  <si>
    <t>Composto Bioforte BONASA (061 9 9967-0863)</t>
  </si>
  <si>
    <t>Composto Bioensima BONASA (061 9 9967-0863)</t>
  </si>
  <si>
    <t>Composto Biojá BONASA (061 9 9967-0863)</t>
  </si>
  <si>
    <t>P2O5</t>
  </si>
  <si>
    <t>K2O</t>
  </si>
  <si>
    <t>Maior</t>
  </si>
  <si>
    <t>Formulados</t>
  </si>
  <si>
    <t>Adubos simples</t>
  </si>
  <si>
    <t>Formulado 04-30-10</t>
  </si>
  <si>
    <t>Termofosfato YOORIN</t>
  </si>
  <si>
    <t>&gt; 1,61</t>
  </si>
  <si>
    <t>&gt; 5,1</t>
  </si>
  <si>
    <t>&gt; 0,81</t>
  </si>
  <si>
    <t>&gt; 0,51</t>
  </si>
  <si>
    <t>Alto</t>
  </si>
  <si>
    <t>1,1 - 1,6</t>
  </si>
  <si>
    <t>1,91 - 5</t>
  </si>
  <si>
    <t>0,41 - 0,8</t>
  </si>
  <si>
    <t>0,21 - 0,5</t>
  </si>
  <si>
    <t>&lt; 1</t>
  </si>
  <si>
    <t>&lt; 1,9</t>
  </si>
  <si>
    <t>&lt; 0,4</t>
  </si>
  <si>
    <t>&lt; 0,2</t>
  </si>
  <si>
    <t>Zinco</t>
  </si>
  <si>
    <t>Manganês</t>
  </si>
  <si>
    <t>Cobre</t>
  </si>
  <si>
    <t>Boro</t>
  </si>
  <si>
    <t>Tabela 4. Interpretação de resultado de análise de micronutrientes em solos de Cerrado</t>
  </si>
  <si>
    <t>Teor mg/dm3</t>
  </si>
  <si>
    <t>Programação excel</t>
  </si>
  <si>
    <t>Nutriente</t>
  </si>
  <si>
    <t>E DIGA O PERCENTUAL QUE CABERÁ A CADA ADUBO</t>
  </si>
  <si>
    <t>ESCOLHA O ADUBO FONTE DE FÓSFORO</t>
  </si>
  <si>
    <t>ESCOLHA O ADUBO FONTE DE POTÁSSIO</t>
  </si>
  <si>
    <t>ESCOLHA O ADUBO FONTE DE NITROGÊNIO</t>
  </si>
  <si>
    <t>ESCOLHA O ADUBO FONTE DE MICRONUTRIENTE</t>
  </si>
  <si>
    <t>USO DE ADUBOS COM MICRONUTRIENTES</t>
  </si>
  <si>
    <t>Sulfato de cobre</t>
  </si>
  <si>
    <t>nº</t>
  </si>
  <si>
    <t>Adubos</t>
  </si>
  <si>
    <t>Qtde</t>
  </si>
  <si>
    <t>Adubo</t>
  </si>
  <si>
    <t>Demanda (g/planta)</t>
  </si>
  <si>
    <t>Formula</t>
  </si>
  <si>
    <t>Observação: os valores acima não podem ser menores ou maiores que 100%</t>
  </si>
  <si>
    <t>PASSO 7</t>
  </si>
  <si>
    <t>Kg/hectare recomendados</t>
  </si>
  <si>
    <t>ADUBOS</t>
  </si>
  <si>
    <t>CaO+MgO+K20</t>
  </si>
  <si>
    <t>Nutrientes</t>
  </si>
  <si>
    <t>Excesso ou déficit (g/planta)</t>
  </si>
  <si>
    <t>PREENCHER SOMENTE OS CAMPOS EM LARANJA</t>
  </si>
  <si>
    <t>CALAGEM E ROCHAGEM</t>
  </si>
  <si>
    <t>Definição corrigida</t>
  </si>
  <si>
    <t>&lt; 0,04</t>
  </si>
  <si>
    <t>&lt; 0,06</t>
  </si>
  <si>
    <t>0,041 - 0,10</t>
  </si>
  <si>
    <t>&gt;  0,101</t>
  </si>
  <si>
    <t>0,06 - 0,20</t>
  </si>
  <si>
    <t>&gt; 0,201</t>
  </si>
  <si>
    <t>Adubos orgânicos</t>
  </si>
  <si>
    <t>Potomag Nutrisafra (061 3028-2695)</t>
  </si>
  <si>
    <t>TAMANHO DA ÁREA EM HECTARES</t>
  </si>
  <si>
    <t>Po de rocha</t>
  </si>
  <si>
    <t>Garantias</t>
  </si>
  <si>
    <t>Esterco de equino</t>
  </si>
  <si>
    <t>Composto de lixo (COL)</t>
  </si>
  <si>
    <t>Esterco de suínos</t>
  </si>
  <si>
    <t>Esterco de ovinos</t>
  </si>
  <si>
    <t>Lodo de esgosto</t>
  </si>
  <si>
    <t>Compostos orgânicos</t>
  </si>
  <si>
    <t>Produção</t>
  </si>
  <si>
    <t>Esterco Bovino curtido</t>
  </si>
  <si>
    <t>Cama de frango corte</t>
  </si>
  <si>
    <t>Matéria orgânica (litros por cova)</t>
  </si>
  <si>
    <t>&lt; 6</t>
  </si>
  <si>
    <t>6,1 - 12</t>
  </si>
  <si>
    <t>12,1 - 20</t>
  </si>
  <si>
    <t>20,1 - 30</t>
  </si>
  <si>
    <t>&gt; 30,1</t>
  </si>
  <si>
    <t>Produtividade esperada</t>
  </si>
  <si>
    <t>PRODUTIVIDADE ESPERADA</t>
  </si>
  <si>
    <t>Matéria orgânica (litros por planta)</t>
  </si>
  <si>
    <t>Toneladas por hectare</t>
  </si>
  <si>
    <t>Para detectar a necessidade de aplicação de gesso deve-se fazer amostragem de solo nas camadas subsuperficiais (40 - 60cm).
O gesso deve ser aplicado quando, no mínimo, uma destas condições seja satisfeita:
a) teor de cálcio (Ca) menor ou igual a 0,5 cmolc/dm³ ou 5 mmolc/dm³. 
b) teor de alumínio (Al) maior que 0,5 cmolc/dm³ ou 5 mmolc/dm³;
c) saturação por alumínio (m%) maior que 20%.</t>
  </si>
  <si>
    <t>ESCOLHA O CALCÁRIO E DIGA SEU PERCENTUAL PARA ATENDER A DEMANDA</t>
  </si>
  <si>
    <t>ESCOLHA O PÓ DE ROCHA E DIGA SEU PERCENTUAL PARA ATENDER A DEMANDA</t>
  </si>
  <si>
    <t>ESCOLHA O GESSO</t>
  </si>
  <si>
    <t>ESCOLHA A FONTE DE MATERIA ORGANICA</t>
  </si>
  <si>
    <t>Recomendação de adubação</t>
  </si>
  <si>
    <t xml:space="preserve">  </t>
  </si>
  <si>
    <t>Voltar</t>
  </si>
  <si>
    <t>Tabela 3. Adubação</t>
  </si>
  <si>
    <t>N (kg/hectare)</t>
  </si>
  <si>
    <t>P205 (kg/hectare)</t>
  </si>
  <si>
    <t>K20 (kg/hectare)</t>
  </si>
  <si>
    <t>Ácido Bórico</t>
  </si>
  <si>
    <t>10,1 - 20</t>
  </si>
  <si>
    <t>30,1 - 40</t>
  </si>
  <si>
    <t>&gt; 40,1</t>
  </si>
  <si>
    <t>40,1 - 50</t>
  </si>
  <si>
    <t xml:space="preserve">&gt; 50,1 </t>
  </si>
  <si>
    <t>20,1 - 40</t>
  </si>
  <si>
    <t>40,1 - 60</t>
  </si>
  <si>
    <t>60,1 - 80</t>
  </si>
  <si>
    <t>&gt; 80,1</t>
  </si>
  <si>
    <t>5,1 - 10</t>
  </si>
  <si>
    <t>15,1 - 20</t>
  </si>
  <si>
    <t>20,1 - 25</t>
  </si>
  <si>
    <t>&gt; 25,1</t>
  </si>
  <si>
    <t>Dias após plantio</t>
  </si>
  <si>
    <t>alto</t>
  </si>
  <si>
    <t>médio</t>
  </si>
  <si>
    <t>&gt; 30</t>
  </si>
  <si>
    <t>Culturas</t>
  </si>
  <si>
    <t>Espaçamentos</t>
  </si>
  <si>
    <t>Adubos e corretivos</t>
  </si>
  <si>
    <t>Abacate - formação</t>
  </si>
  <si>
    <t>Abacate - produção</t>
  </si>
  <si>
    <t>Abacaxi - produção</t>
  </si>
  <si>
    <t>Acerola - formação</t>
  </si>
  <si>
    <t>Acerola - produção</t>
  </si>
  <si>
    <t>Banana - formação</t>
  </si>
  <si>
    <t>Banana - produção</t>
  </si>
  <si>
    <t>Citros - formação</t>
  </si>
  <si>
    <t>Citros - produção</t>
  </si>
  <si>
    <t>Goiaba - formação</t>
  </si>
  <si>
    <t>Goiaba - produção</t>
  </si>
  <si>
    <t>Graviola - formação</t>
  </si>
  <si>
    <t>Graviola -produção</t>
  </si>
  <si>
    <t>Mamão - produção</t>
  </si>
  <si>
    <t>Manga - formação</t>
  </si>
  <si>
    <t>Manga - produção</t>
  </si>
  <si>
    <t>Maracujá - produção</t>
  </si>
  <si>
    <t>Pitaya - formação</t>
  </si>
  <si>
    <t>Pitaya - produção</t>
  </si>
  <si>
    <t>Pupunha - formação e produção</t>
  </si>
  <si>
    <t>Abacaxi</t>
  </si>
  <si>
    <t>Acerola</t>
  </si>
  <si>
    <t>Banana</t>
  </si>
  <si>
    <t>Citros</t>
  </si>
  <si>
    <t>Goiaba</t>
  </si>
  <si>
    <t>Graviola</t>
  </si>
  <si>
    <t>Mamão</t>
  </si>
  <si>
    <t>Pitaya</t>
  </si>
  <si>
    <t>Pupunha</t>
  </si>
  <si>
    <t>Seringueira</t>
  </si>
  <si>
    <t>Valores de saturação de base (V2) requerida por plantas perenes</t>
  </si>
  <si>
    <t>Manga</t>
  </si>
  <si>
    <t>Maracujá</t>
  </si>
  <si>
    <t>Análise de solo</t>
  </si>
  <si>
    <t>Análise foliar</t>
  </si>
  <si>
    <t>Saturação de base e PRNT</t>
  </si>
  <si>
    <t>V2 (%)</t>
  </si>
  <si>
    <t>ENTRADA DE DADOS</t>
  </si>
  <si>
    <t>Comprimento</t>
  </si>
  <si>
    <t>Relações Mais Importantes:</t>
  </si>
  <si>
    <t>Centímetro</t>
  </si>
  <si>
    <t>=</t>
  </si>
  <si>
    <t>Polegadas</t>
  </si>
  <si>
    <t>% = dag/kg</t>
  </si>
  <si>
    <t>Metro</t>
  </si>
  <si>
    <t>Pés</t>
  </si>
  <si>
    <t>Quilometro</t>
  </si>
  <si>
    <t>Milhas</t>
  </si>
  <si>
    <t>Polegada</t>
  </si>
  <si>
    <t>Centímetros</t>
  </si>
  <si>
    <t>Pé</t>
  </si>
  <si>
    <t>Metros</t>
  </si>
  <si>
    <t>Milha</t>
  </si>
  <si>
    <t>Quilômetros</t>
  </si>
  <si>
    <t>Volume</t>
  </si>
  <si>
    <t>Litro</t>
  </si>
  <si>
    <t>Galões Americano</t>
  </si>
  <si>
    <t>Metro Cúbico</t>
  </si>
  <si>
    <t>Pés Cúbico</t>
  </si>
  <si>
    <t>Galão Americano</t>
  </si>
  <si>
    <t>Litros</t>
  </si>
  <si>
    <t>Pé Cúbico</t>
  </si>
  <si>
    <t>Peso</t>
  </si>
  <si>
    <t>Quilograma</t>
  </si>
  <si>
    <t>Libras</t>
  </si>
  <si>
    <t>Onças</t>
  </si>
  <si>
    <t>Libra</t>
  </si>
  <si>
    <t>Quilogramas</t>
  </si>
  <si>
    <t>Ca x 1,4 = CaO</t>
  </si>
  <si>
    <t>Onça</t>
  </si>
  <si>
    <t>Gramas</t>
  </si>
  <si>
    <t>Mg x 1,7 = MgO</t>
  </si>
  <si>
    <t>Massa/Volume</t>
  </si>
  <si>
    <t>ppm</t>
  </si>
  <si>
    <t>Vazão</t>
  </si>
  <si>
    <t>Litros por segundo</t>
  </si>
  <si>
    <t>Metros Cúbicos por hora</t>
  </si>
  <si>
    <t>Galões por hora</t>
  </si>
  <si>
    <t>Litros por minuto</t>
  </si>
  <si>
    <t>Galões por minuto</t>
  </si>
  <si>
    <t>Potência</t>
  </si>
  <si>
    <t>Cavalo Vapor (CV)</t>
  </si>
  <si>
    <t>Horse Power (HP)</t>
  </si>
  <si>
    <t>Quilowatt</t>
  </si>
  <si>
    <t>Watt</t>
  </si>
  <si>
    <t>Pressão</t>
  </si>
  <si>
    <t>Libras por pol. Quadrada (PSI)</t>
  </si>
  <si>
    <t>Metros de coluna D´agua (MCA)</t>
  </si>
  <si>
    <t>Pés de coluna D´agua</t>
  </si>
  <si>
    <t>Milímetros de mercúrio (mm Hg)</t>
  </si>
  <si>
    <t>Atmosfera (Atm)</t>
  </si>
  <si>
    <t>Bar</t>
  </si>
  <si>
    <t>Mega Pascal (MPa)</t>
  </si>
  <si>
    <t>Tabela de conversão de unidades</t>
  </si>
  <si>
    <t>Abacate</t>
  </si>
  <si>
    <t>Recomendação de amostragem do solo para análise</t>
  </si>
  <si>
    <t>10 x 8 m, 10 x 6 m, 10 x 12 m, 12 x 12 m</t>
  </si>
  <si>
    <t>Espaçamentos tradicionais</t>
  </si>
  <si>
    <t>Espaçamentos adensados</t>
  </si>
  <si>
    <t>Fileira simples: 80 a 120 cm x 30 a 40 cm</t>
  </si>
  <si>
    <t>Fileira dupla: 70 a 90 cm entre fileiras duplas e 30 a 40 cm entre filas simples x 22 a 35 cm entre plantas</t>
  </si>
  <si>
    <t>Cultivares porte alto: 2,5 x 3 m e 3 x 3 m</t>
  </si>
  <si>
    <t>Fileira dupla: 4 m entre fileiras duplas, 2,5 m entre fileiras simples e 2,5 m entre plantas</t>
  </si>
  <si>
    <t>7 x 6 m e 8 x 5 m</t>
  </si>
  <si>
    <t>Indústria: 5 x 8 m, 7 x 7 m</t>
  </si>
  <si>
    <t>6 x 6 m, 7 x 7 m, 8 x 8 m</t>
  </si>
  <si>
    <t>3 x 3 m, 3 x 2 m</t>
  </si>
  <si>
    <t>10 x 10 m</t>
  </si>
  <si>
    <t>6 x 3 m e 6 x 4 m</t>
  </si>
  <si>
    <t>3 x 2 m e 3 x 3 m</t>
  </si>
  <si>
    <t>2 x 1 m</t>
  </si>
  <si>
    <t>8 x 2,5 m</t>
  </si>
  <si>
    <t>6 x 4 m e 6 x 3 m</t>
  </si>
  <si>
    <t>8 x 5 m, 7 x 6 m, 6 x 4 m</t>
  </si>
  <si>
    <t>7 x 5 m, 6 x 3 m, 6 x 1 a 2 m*</t>
  </si>
  <si>
    <t xml:space="preserve">* utilização de porta-enxertos ananicantes </t>
  </si>
  <si>
    <t>3 x 2 m, 2 x 2 m, 2 x 1 m</t>
  </si>
  <si>
    <t xml:space="preserve">5 x 4 m e 4 x 4 m </t>
  </si>
  <si>
    <t>4 x 3 m</t>
  </si>
  <si>
    <t>Cultivares porte baixo: 2 x 2 m e 2 x 2,5 m</t>
  </si>
  <si>
    <t>Fileira dupla: 90 a 120 cm entre fileiras duplas e 40 a 50 cm entre filas simples x 35 a 40 cm entre plantas</t>
  </si>
  <si>
    <t>Consumo in natura: 5 x 6 m, 6 a 8 x 5 m</t>
  </si>
  <si>
    <t xml:space="preserve">6 x 4 m, 5 x 4 m, 5 x 3 m </t>
  </si>
  <si>
    <t>6 x 5 m, 6 x 4 m, 5 x 5 m, 4 x 4 m</t>
  </si>
  <si>
    <t>3,5 m x 2 e 3,5 m x 1</t>
  </si>
  <si>
    <t>2,5 x 2,5 m</t>
  </si>
  <si>
    <t>Tabelas com espaçamentos de plantio tradicionais e adensados</t>
  </si>
  <si>
    <t xml:space="preserve">Deve-se evitar a amostragem em locais próximos de estradas e carreadores (contaminação pela poeira) e em plantas atacadas por doenças e pragas. 
Plantações que receberam pulverizações contendo nutrientes, só devem ser amostrados um mês após. 
As folhas coletadas devem ser colocadas em sacos de papel, identificadas (incluindo informações de manejo nutricional da planta) e envidas para o laboratório em um prazo máximo de 24h. 
Solicitar uma análise completa para uma boa interpretação dos resultados. 
</t>
  </si>
  <si>
    <t>Cultura</t>
  </si>
  <si>
    <t>Época</t>
  </si>
  <si>
    <t>Tipo de folha</t>
  </si>
  <si>
    <t>Número de folhas por gleba</t>
  </si>
  <si>
    <t>Fevereiro a março</t>
  </si>
  <si>
    <t>Folhas com 5 a 7 meses de idade, coletadas nos quatro lados da planta.</t>
  </si>
  <si>
    <t>100 folhas, de 25 plantas</t>
  </si>
  <si>
    <t>Antes da indução floral</t>
  </si>
  <si>
    <t>50 folhas, uma por planta</t>
  </si>
  <si>
    <t>Início da frutificação</t>
  </si>
  <si>
    <t>Folhas jovens, expandidas, coletadas nos quatro lados da planta.</t>
  </si>
  <si>
    <t>Florescimento</t>
  </si>
  <si>
    <t>Dezembro a janeiro</t>
  </si>
  <si>
    <t>Coletar a 2ª folha depois do fruto, uma folha em cada ponto cardeal.</t>
  </si>
  <si>
    <t>100 folhas em 25 plantas</t>
  </si>
  <si>
    <t>Coletar o 3º par de folhas desenvolvidas a partir da ponta de ramos e frutos.</t>
  </si>
  <si>
    <t>30 folhas, uma por planta</t>
  </si>
  <si>
    <t>Coletar folhas maduras na altura média da árvore em ramos com flores</t>
  </si>
  <si>
    <t>Coletar os pecíolos de folhas jovens, expandidas e maduras (17ª a 20 ª folhas a partir do ápice), com uma flor visível na axila</t>
  </si>
  <si>
    <t>30 folhas de 15 plantas</t>
  </si>
  <si>
    <t>Coletar folhas de ramos com flores na extremidade.</t>
  </si>
  <si>
    <t>80 folhas de 20 plantas</t>
  </si>
  <si>
    <t>Março a junho</t>
  </si>
  <si>
    <t>Coletar a 3ª ou 4ª folha a partir da ponta</t>
  </si>
  <si>
    <t xml:space="preserve">
A análise foliar e a análise do solo são complementares e podem oferecer informações valiosas na solução de algum problema nutricional nas frutíferas. 
A amostragem deve ser feita seguindo os critérios abaixo:</t>
  </si>
  <si>
    <t>Armazenagem e envio das amostras para analise em laboratório</t>
  </si>
  <si>
    <t>Observações para coleta</t>
  </si>
  <si>
    <t>ESCOLHA A CULTURA</t>
  </si>
  <si>
    <t>Remax Mistel (61) 99414-1975</t>
  </si>
  <si>
    <t>Dripsol Alface</t>
  </si>
  <si>
    <t>&lt;0,07</t>
  </si>
  <si>
    <t>0,08-0,15</t>
  </si>
  <si>
    <t>0,16-0,3</t>
  </si>
  <si>
    <t>0,31-0,5</t>
  </si>
  <si>
    <t>&gt;0,5</t>
  </si>
  <si>
    <t>Tabela 2. Interpretação de análise de solo para recomendação de adubação potássica</t>
  </si>
  <si>
    <t>&lt; 7</t>
  </si>
  <si>
    <t>8-20</t>
  </si>
  <si>
    <t>Plantio</t>
  </si>
  <si>
    <t>muito baixo</t>
  </si>
  <si>
    <t>muito alto</t>
  </si>
  <si>
    <t>120-180</t>
  </si>
  <si>
    <t>Tabela 3. Adubação nitrogênio</t>
  </si>
  <si>
    <t>Tabela 4. Adubação fósforo</t>
  </si>
  <si>
    <t>Tabela 5. Adubação potássio</t>
  </si>
  <si>
    <t/>
  </si>
  <si>
    <t>&gt; 10</t>
  </si>
  <si>
    <t>N (Kg/hectare)</t>
  </si>
  <si>
    <t>P205 (Kg/hectare)</t>
  </si>
  <si>
    <t>K20 (Kg/hectare)</t>
  </si>
  <si>
    <t>15-25</t>
  </si>
  <si>
    <t>25-35</t>
  </si>
  <si>
    <t>&gt;35</t>
  </si>
  <si>
    <t>&lt;15</t>
  </si>
  <si>
    <t>DADOS DO ESPAÇAMENTO DUPLO (ENTRE PLANTAS E ENTRE RUAS)</t>
  </si>
  <si>
    <t>120-360</t>
  </si>
  <si>
    <t>&lt;=0,15</t>
  </si>
  <si>
    <t>0,31-0,6</t>
  </si>
  <si>
    <t>&gt;0,6</t>
  </si>
  <si>
    <t>&lt;=6</t>
  </si>
  <si>
    <t>7-15</t>
  </si>
  <si>
    <t>16-30</t>
  </si>
  <si>
    <t>&gt;30</t>
  </si>
  <si>
    <t>&lt;20</t>
  </si>
  <si>
    <t>20-40</t>
  </si>
  <si>
    <t>40-60</t>
  </si>
  <si>
    <t>&gt;60</t>
  </si>
  <si>
    <r>
      <t xml:space="preserve">          Para uma amostragem de solo bem feita, deve-se primeiramente dividir toda a área em glebas ou talhões com características semelhantes (Figura 1). Cada gleba ou talhão deve apresentar a mesma topografia (topo de morro, encosta, baixada), a mesma vegetação, as mesmas características perceptíveis de solo (cor, textura, condição de drenagem) e o mesmo histórico de cultivo (plantas com mesma idade, uso de fertilizantes, culturas plantadas anteriormente). 
            As amostragens devem ser feitas coletando-se amostras simples em </t>
    </r>
    <r>
      <rPr>
        <b/>
        <sz val="16"/>
        <color theme="1"/>
        <rFont val="Helvetica"/>
      </rPr>
      <t>20 pontos ao acaso</t>
    </r>
    <r>
      <rPr>
        <sz val="16"/>
        <color theme="1"/>
        <rFont val="Helvetica"/>
      </rPr>
      <t xml:space="preserve">, caminhando em ziguezague em cada gleba ou talhão homogêneo e com o uso de trados, enxadas ou pás (Figura 2). Misturando-se bem as amostras simples, obtém-se uma amostra composta, da qual separam-se mais ou menos 300 gramas em embalagens limpas. Deve-se identificar cada amostra e levar para um laboratório para realizar a análise de solo. 
             Para </t>
    </r>
    <r>
      <rPr>
        <b/>
        <sz val="16"/>
        <color theme="1"/>
        <rFont val="Helvetica"/>
      </rPr>
      <t>áreas novas</t>
    </r>
    <r>
      <rPr>
        <sz val="16"/>
        <color theme="1"/>
        <rFont val="Helvetica"/>
      </rPr>
      <t xml:space="preserve">, as amostras devem ser coletadas na profundidade de 0 a 20 cm e 20 a 40 cm.
             Para </t>
    </r>
    <r>
      <rPr>
        <b/>
        <sz val="16"/>
        <color theme="1"/>
        <rFont val="Helvetica"/>
      </rPr>
      <t>áreas de fruticultura já implantadas</t>
    </r>
    <r>
      <rPr>
        <sz val="16"/>
        <color theme="1"/>
        <rFont val="Helvetica"/>
      </rPr>
      <t xml:space="preserve">, as amostras devem ser coletadas na camada de 0 a 20 cm na </t>
    </r>
    <r>
      <rPr>
        <b/>
        <sz val="16"/>
        <color theme="1"/>
        <rFont val="Helvetica"/>
      </rPr>
      <t>projeção da copa</t>
    </r>
    <r>
      <rPr>
        <sz val="16"/>
        <color theme="1"/>
        <rFont val="Helvetica"/>
      </rPr>
      <t xml:space="preserve"> para avaliação de aspectos nutricionais. Também deve ser coletada amostras na profundidade de 0 a 20 cm nas entrelinhas ou no centro das ruas para avaliação dos efeitos da calagem. 
             A frequência da amostragem depende do manejo da cultura. Recomenda-se amostragem anual a partir da fase produtiva e realizada antes do período das chuvas. E a cada três anos coletar amostras nas camadas de 20 a 40 cm. 
</t>
    </r>
  </si>
  <si>
    <r>
      <rPr>
        <b/>
        <sz val="14"/>
        <rFont val="Helvetica"/>
      </rPr>
      <t>Aplicar da seguinte forma</t>
    </r>
    <r>
      <rPr>
        <sz val="14"/>
        <rFont val="Helvetica"/>
      </rPr>
      <t>: a calagem/rochagem deve ser aplicada no final do período chuvoso anterior ao plantio, ou ainda, no início da estação chuvosa pouco antes do plantio. Se a dose de calcario for elevada (maior que 5 toneladas por hectare), a aplicação deverá ser parcelada em 2 vezes e o intervalo entre uma aplicação e a outra deverá ser de no mínimo 12 meses.</t>
    </r>
  </si>
  <si>
    <r>
      <rPr>
        <b/>
        <sz val="14"/>
        <rFont val="Helvetica"/>
      </rPr>
      <t>Aplicar da seguinte forma:</t>
    </r>
    <r>
      <rPr>
        <sz val="14"/>
        <rFont val="Helvetica"/>
      </rPr>
      <t xml:space="preserve"> o gesso agrícola deve ser aplicado a lanço </t>
    </r>
    <r>
      <rPr>
        <b/>
        <sz val="14"/>
        <rFont val="Helvetica"/>
      </rPr>
      <t xml:space="preserve">depois </t>
    </r>
    <r>
      <rPr>
        <sz val="14"/>
        <rFont val="Helvetica"/>
      </rPr>
      <t>da calagem</t>
    </r>
  </si>
  <si>
    <r>
      <rPr>
        <b/>
        <sz val="14"/>
        <rFont val="Helvetica"/>
      </rPr>
      <t>Aplicar da seguinte forma:</t>
    </r>
    <r>
      <rPr>
        <sz val="14"/>
        <rFont val="Helvetica"/>
      </rPr>
      <t xml:space="preserve"> 
a) O adubo fosfatado e adubos orgânicos podem ser aplicado de uma única vez no início da estação chuvosa.
b) Parcelar em três vezes, durante o período chuvoso, os adubos contendo nitrogênio e potássio.
c) Fazer nova amostragem de solo a cada dois ou três anos.</t>
    </r>
  </si>
  <si>
    <r>
      <rPr>
        <b/>
        <sz val="14"/>
        <rFont val="Helvetica"/>
      </rPr>
      <t>Aplicar da seguinte forma:</t>
    </r>
    <r>
      <rPr>
        <sz val="14"/>
        <rFont val="Helvetica"/>
      </rPr>
      <t xml:space="preserve">
a) Os micronutrientes podem ser misturados e aplicados juntos aos outros adubos fontes de nitrogênio, fósforo e potássio
b) A reaplicação de micronutrientes pode ser necessária após 4 anos, de acordo com análise do solo</t>
    </r>
  </si>
  <si>
    <t>O SISADUBA – FRUTAS foi desenvolvido para servir como apoio aos técnicos de campo da EMATER-DF que assessoram os fruticultores do Distrito Federal e RIDE.</t>
  </si>
  <si>
    <t>É importante ressaltar que as recomendações de adubação são baseadas nas informações da análise de solo, bem como escolha dos adubos orgânicos e convencionais pelos agricultores.</t>
  </si>
  <si>
    <t>Por fim, a definição da quantidade de corretivos, gesso agrícola, remineralizadores, adubos de plantio, cobertura e micronutrientes são baseados nos seguintes estudos cientificos:</t>
  </si>
  <si>
    <t>1. Livro - Cerrado: Correção do solo e adubação. Autores: Djalma Martinhão Gomes de Sousa e Edson Lobato. Editora EMBRAPA. Brasília-DF. 2004. ISBN: 85-7383-230-4</t>
  </si>
  <si>
    <t>2. Livro - Maracujá</t>
  </si>
  <si>
    <t>3. Livro - O Agronegócio da Banana. Autores: Alberto Duarte Vilarinhos, Alisson Jadavi Pereira da Silva, et. al.. Editora EMBRAPA. Brasília-DF. 2016. ISBN: 9788570355232</t>
  </si>
  <si>
    <t>Para maiores informações entre em contato
Email: juliano.oliveira@emater.df.gov.br</t>
  </si>
  <si>
    <r>
      <t>Folha recém-madura "D", normalmente a 4</t>
    </r>
    <r>
      <rPr>
        <vertAlign val="superscript"/>
        <sz val="14"/>
        <color theme="1"/>
        <rFont val="Helvetica"/>
      </rPr>
      <t xml:space="preserve">a </t>
    </r>
    <r>
      <rPr>
        <sz val="14"/>
        <color theme="1"/>
        <rFont val="Helvetica"/>
      </rPr>
      <t xml:space="preserve">folha a partir do ápice </t>
    </r>
  </si>
  <si>
    <r>
      <t>Retirar de 5 a 10 cm da porção central, da 3</t>
    </r>
    <r>
      <rPr>
        <vertAlign val="superscript"/>
        <sz val="14"/>
        <color theme="1"/>
        <rFont val="Helvetica"/>
      </rPr>
      <t xml:space="preserve">a </t>
    </r>
    <r>
      <rPr>
        <sz val="14"/>
        <color theme="1"/>
        <rFont val="Helvetica"/>
      </rPr>
      <t>folha a partir da inflorescência.</t>
    </r>
  </si>
  <si>
    <r>
      <t>K x 1,2 = K</t>
    </r>
    <r>
      <rPr>
        <vertAlign val="subscript"/>
        <sz val="14"/>
        <rFont val="Helvetica"/>
      </rPr>
      <t>2</t>
    </r>
    <r>
      <rPr>
        <sz val="14"/>
        <rFont val="Helvetica"/>
      </rPr>
      <t>O</t>
    </r>
  </si>
  <si>
    <r>
      <t>ppm = mg/dm</t>
    </r>
    <r>
      <rPr>
        <vertAlign val="superscript"/>
        <sz val="14"/>
        <rFont val="Helvetica"/>
      </rPr>
      <t>3</t>
    </r>
    <r>
      <rPr>
        <sz val="14"/>
        <rFont val="Helvetica"/>
      </rPr>
      <t xml:space="preserve"> = mg/kg = mg/L</t>
    </r>
  </si>
  <si>
    <r>
      <t>P x 2,3 = P</t>
    </r>
    <r>
      <rPr>
        <vertAlign val="subscript"/>
        <sz val="14"/>
        <rFont val="Helvetica"/>
      </rPr>
      <t>2</t>
    </r>
    <r>
      <rPr>
        <sz val="14"/>
        <rFont val="Helvetica"/>
      </rPr>
      <t>O</t>
    </r>
    <r>
      <rPr>
        <vertAlign val="subscript"/>
        <sz val="14"/>
        <rFont val="Helvetica"/>
      </rPr>
      <t>5</t>
    </r>
  </si>
  <si>
    <r>
      <t>meq/100g = cmol</t>
    </r>
    <r>
      <rPr>
        <vertAlign val="subscript"/>
        <sz val="14"/>
        <rFont val="Helvetica"/>
      </rPr>
      <t>c</t>
    </r>
    <r>
      <rPr>
        <sz val="14"/>
        <rFont val="Helvetica"/>
      </rPr>
      <t>/dm</t>
    </r>
    <r>
      <rPr>
        <vertAlign val="superscript"/>
        <sz val="14"/>
        <rFont val="Helvetica"/>
      </rPr>
      <t>3</t>
    </r>
  </si>
  <si>
    <r>
      <t>mmol</t>
    </r>
    <r>
      <rPr>
        <vertAlign val="subscript"/>
        <sz val="14"/>
        <rFont val="Helvetica"/>
      </rPr>
      <t>c</t>
    </r>
    <r>
      <rPr>
        <sz val="14"/>
        <rFont val="Helvetica"/>
      </rPr>
      <t>/dm</t>
    </r>
    <r>
      <rPr>
        <vertAlign val="superscript"/>
        <sz val="14"/>
        <rFont val="Helvetica"/>
      </rPr>
      <t>3</t>
    </r>
    <r>
      <rPr>
        <sz val="14"/>
        <rFont val="Helvetica"/>
      </rPr>
      <t xml:space="preserve"> = cmol</t>
    </r>
    <r>
      <rPr>
        <vertAlign val="subscript"/>
        <sz val="14"/>
        <rFont val="Helvetica"/>
      </rPr>
      <t>c</t>
    </r>
    <r>
      <rPr>
        <sz val="14"/>
        <rFont val="Helvetica"/>
      </rPr>
      <t>/dm</t>
    </r>
    <r>
      <rPr>
        <vertAlign val="superscript"/>
        <sz val="14"/>
        <rFont val="Helvetica"/>
      </rPr>
      <t>3</t>
    </r>
    <r>
      <rPr>
        <sz val="14"/>
        <rFont val="Helvetica"/>
      </rPr>
      <t xml:space="preserve"> x 10</t>
    </r>
  </si>
  <si>
    <r>
      <t>% x 10.000 = mg/dm</t>
    </r>
    <r>
      <rPr>
        <vertAlign val="superscript"/>
        <sz val="14"/>
        <rFont val="Helvetica"/>
      </rPr>
      <t>3</t>
    </r>
  </si>
  <si>
    <r>
      <t>Ca x 2,5 = CaCO</t>
    </r>
    <r>
      <rPr>
        <vertAlign val="subscript"/>
        <sz val="14"/>
        <rFont val="Helvetica"/>
      </rPr>
      <t>3</t>
    </r>
  </si>
  <si>
    <r>
      <t>mg/dm</t>
    </r>
    <r>
      <rPr>
        <vertAlign val="superscript"/>
        <sz val="14"/>
        <rFont val="Helvetica"/>
      </rPr>
      <t xml:space="preserve">3 </t>
    </r>
    <r>
      <rPr>
        <sz val="14"/>
        <rFont val="Helvetica"/>
      </rPr>
      <t>x 2 = kg/ha</t>
    </r>
  </si>
  <si>
    <r>
      <t>mol/dm</t>
    </r>
    <r>
      <rPr>
        <vertAlign val="superscript"/>
        <sz val="14"/>
        <rFont val="Helvetica"/>
      </rPr>
      <t>3</t>
    </r>
    <r>
      <rPr>
        <sz val="14"/>
        <rFont val="Helvetica"/>
      </rPr>
      <t xml:space="preserve"> x mol = g/dm</t>
    </r>
    <r>
      <rPr>
        <vertAlign val="superscript"/>
        <sz val="14"/>
        <rFont val="Helvetica"/>
      </rPr>
      <t>3</t>
    </r>
  </si>
  <si>
    <r>
      <t>cmol/dm</t>
    </r>
    <r>
      <rPr>
        <vertAlign val="superscript"/>
        <sz val="14"/>
        <rFont val="Helvetica"/>
      </rPr>
      <t>3</t>
    </r>
    <r>
      <rPr>
        <sz val="14"/>
        <rFont val="Helvetica"/>
      </rPr>
      <t xml:space="preserve"> x mol = cg/dm</t>
    </r>
    <r>
      <rPr>
        <vertAlign val="superscript"/>
        <sz val="14"/>
        <rFont val="Helvetica"/>
      </rPr>
      <t>3</t>
    </r>
  </si>
  <si>
    <r>
      <t>mmol/dm</t>
    </r>
    <r>
      <rPr>
        <vertAlign val="superscript"/>
        <sz val="14"/>
        <rFont val="Helvetica"/>
      </rPr>
      <t xml:space="preserve">3 </t>
    </r>
    <r>
      <rPr>
        <sz val="14"/>
        <rFont val="Helvetica"/>
      </rPr>
      <t>x mol = mg/dm</t>
    </r>
    <r>
      <rPr>
        <vertAlign val="superscript"/>
        <sz val="14"/>
        <rFont val="Helvetica"/>
      </rPr>
      <t>3</t>
    </r>
  </si>
  <si>
    <r>
      <t>Kg por cent. Quadrado (kgf/cm</t>
    </r>
    <r>
      <rPr>
        <vertAlign val="superscript"/>
        <sz val="14"/>
        <rFont val="Helvetica"/>
      </rPr>
      <t>2</t>
    </r>
    <r>
      <rPr>
        <sz val="14"/>
        <rFont val="Helvetica"/>
      </rPr>
      <t>)</t>
    </r>
  </si>
  <si>
    <t>10-30</t>
  </si>
  <si>
    <t>&lt;10</t>
  </si>
  <si>
    <t>30-50</t>
  </si>
  <si>
    <t>50-70</t>
  </si>
  <si>
    <t>&gt;70</t>
  </si>
  <si>
    <t>PRODUTIVIDADE ESPERADA DA FLORAÇÃO ATÉ 360 DIAS APÓS PLANTIO</t>
  </si>
  <si>
    <t>INDICE</t>
  </si>
  <si>
    <t>Ca (Cálcio)</t>
  </si>
  <si>
    <t>CaCO3 (Carbonato de cálcio)</t>
  </si>
  <si>
    <t>Mg (Magnésio)</t>
  </si>
  <si>
    <t>MgO (Óxido de magnésio)</t>
  </si>
  <si>
    <t>CaO (Óxido de cálcio)</t>
  </si>
  <si>
    <t>P (Fósforo)</t>
  </si>
  <si>
    <t>P2O5 (Fósforo)</t>
  </si>
  <si>
    <t>K (Potássio)</t>
  </si>
  <si>
    <t>K2O (Potássio)</t>
  </si>
  <si>
    <t xml:space="preserve">mmol/dm3 x mol </t>
  </si>
  <si>
    <t>mg/dm3</t>
  </si>
  <si>
    <t>cmol/dm3 x mol</t>
  </si>
  <si>
    <t>cg/dm3</t>
  </si>
  <si>
    <t>Laranja industria - formação</t>
  </si>
  <si>
    <t>mol/dm3 x mol</t>
  </si>
  <si>
    <t>g/dm3</t>
  </si>
  <si>
    <t>Laranja industria - produção</t>
  </si>
  <si>
    <t>kg/hectare</t>
  </si>
  <si>
    <t>Limão tahiti e Lima ácida - formação</t>
  </si>
  <si>
    <t>Limão tahiti e Lima ácida - produção</t>
  </si>
  <si>
    <t>dag/kg</t>
  </si>
  <si>
    <t xml:space="preserve">mmolc/dm3 </t>
  </si>
  <si>
    <t>cmolc/dm3</t>
  </si>
  <si>
    <t>Mamão - 1º ano</t>
  </si>
  <si>
    <t>ppm = mg/dm3 = mg/kg = mg/L</t>
  </si>
  <si>
    <t>Mamão - 2º ano</t>
  </si>
  <si>
    <t>meq/100g = cmolc/dm3</t>
  </si>
  <si>
    <t>Maracujá - formação</t>
  </si>
  <si>
    <t>Laranja e tangerinas - formação</t>
  </si>
  <si>
    <t>Laranja e tangerinas - produção</t>
  </si>
  <si>
    <r>
      <t>Folha recém-madura "D", normalmente a 4</t>
    </r>
    <r>
      <rPr>
        <vertAlign val="superscript"/>
        <sz val="12"/>
        <color theme="1"/>
        <rFont val="Arial"/>
        <family val="2"/>
      </rPr>
      <t xml:space="preserve">a </t>
    </r>
    <r>
      <rPr>
        <sz val="12"/>
        <color theme="1"/>
        <rFont val="Arial"/>
        <family val="2"/>
      </rPr>
      <t xml:space="preserve">folha a partir do ápice </t>
    </r>
  </si>
  <si>
    <r>
      <t>Retirar de 5 a 10 cm da porção central, da 3</t>
    </r>
    <r>
      <rPr>
        <vertAlign val="superscript"/>
        <sz val="12"/>
        <color theme="1"/>
        <rFont val="Arial"/>
        <family val="2"/>
      </rPr>
      <t xml:space="preserve">a </t>
    </r>
    <r>
      <rPr>
        <sz val="12"/>
        <color theme="1"/>
        <rFont val="Arial"/>
        <family val="2"/>
      </rPr>
      <t>folha a partir da inflorescência.</t>
    </r>
  </si>
  <si>
    <t>Citros (laranja, tangerina, limão, lima)</t>
  </si>
  <si>
    <t>Custo/área total</t>
  </si>
  <si>
    <t>Custo/nº plantas</t>
  </si>
  <si>
    <t>DETALHE O ESPAÇAMENTO SE ESTE FOR SIMPLES</t>
  </si>
  <si>
    <t>DETALHE O ESPAÇAMENTO SE ESTE FOR DUPLO</t>
  </si>
  <si>
    <t>TAMANHO DA ÁREA PLANTADA EM HECTARES</t>
  </si>
  <si>
    <t>Custo/planta</t>
  </si>
  <si>
    <t>ESCOLHA OS CORRETIVOS E DIGA SEU PERCENTUAL PARA ATENDER A DEMANDA</t>
  </si>
  <si>
    <t>Cálcio</t>
  </si>
  <si>
    <t>Alumínio</t>
  </si>
  <si>
    <t>AGROSILICIO</t>
  </si>
  <si>
    <t>Saturação Alumínio</t>
  </si>
  <si>
    <t>DIGA SE FOI REALIZADA AMOSTRAGEM DE SOLO DE 40-60 CM</t>
  </si>
  <si>
    <t>SE A RESPOSTA ANTERIOR FOI SIM, DIGA OS DADOS ABAIXO</t>
  </si>
  <si>
    <t>SAT. ALUMÍNIO</t>
  </si>
  <si>
    <t>Torta de mamona Hortibraz</t>
  </si>
  <si>
    <t>CUSTOS</t>
  </si>
  <si>
    <t>Custo/área total (com esterco, composto ou lodo)</t>
  </si>
  <si>
    <t>Custo/área total (sem esterco, composto ou lodo)</t>
  </si>
  <si>
    <t>Custo/planta (com esterco, composto ou lodo)</t>
  </si>
  <si>
    <t>Custo/planta (sem esterco, composto ou lodo)</t>
  </si>
  <si>
    <t>SIMULE A COMBINAÇÃO DE ADUBOS</t>
  </si>
  <si>
    <t>ESCOLHA OS ADUBOS E VEJA AS QUANTIDADES</t>
  </si>
  <si>
    <t>Farinha de osso</t>
  </si>
  <si>
    <t>Algas marinhas Algen</t>
  </si>
  <si>
    <t>PARA OBTER O MENOR CUSTO</t>
  </si>
  <si>
    <t>SOLUÇÃO DO PROBLEMA</t>
  </si>
  <si>
    <t>Qtde do adubo</t>
  </si>
  <si>
    <t>Custo total</t>
  </si>
  <si>
    <t>Adubos selecionados</t>
  </si>
  <si>
    <t>50,1 - 60</t>
  </si>
  <si>
    <t>60,1 - 70</t>
  </si>
  <si>
    <t>50,1  - 60</t>
  </si>
  <si>
    <t>Após o preenchimento dos dados da analise de solo pelo usuário no PASSO 1 o excel define fosforo, potássio, boro, zinco, cobre, manganês como baixo, medio, adequado</t>
  </si>
  <si>
    <t>&gt;&gt;&gt;&gt;&gt;</t>
  </si>
  <si>
    <t>Após o preenchimento dos dados da idade do plantio ou produtividade pelo usuário no PASSO 3 o excel compara o resultado do PASSO 1 para definir a quantidade de adubos por planta (há uma variação no calculo do abacate formação para abacate produção)</t>
  </si>
  <si>
    <t>Após o preenchimento dos dados no PASSO 4 e PASSO 5 o excel busca os valores definidos em tabelas de gesso e calcario e faz um calculo de divisão para obter o resultado por área</t>
  </si>
  <si>
    <t>Após o preenchimento dos dados no PASSO 6 e PASSO 7 o excel busca os valores definidos em tabelas de adubos e faz um calculo de divisão para obter o resultado por planta</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</si>
</sst>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R$&quot;\ * #,##0.00_-;\-&quot;R$&quot;\ * #,##0.00_-;_-&quot;R$&quot;\ * &quot;-&quot;??_-;_-@_-"/>
    <numFmt numFmtId="43" formatCode="_-* #,##0.00_-;\-* #,##0.00_-;_-* &quot;-&quot;??_-;_-@_-"/>
    <numFmt numFmtId="164" formatCode="0.0"/>
    <numFmt numFmtId="165" formatCode="0.0%"/>
    <numFmt numFmtId="166" formatCode="0.000"/>
  </numFmts>
  <fonts count="43" x14ac:knownFonts="1">
    <font>
      <sz val="11"/>
      <color theme="1"/>
      <name val="Calibri"/>
      <family val="2"/>
      <scheme val="minor"/>
    </font>
    <font>
      <sz val="12"/>
      <color theme="1"/>
      <name val="Helvetica"/>
      <family val="2"/>
    </font>
    <font>
      <sz val="11"/>
      <color theme="1"/>
      <name val="Calibri"/>
      <family val="2"/>
      <scheme val="minor"/>
    </font>
    <font>
      <sz val="9"/>
      <color indexed="81"/>
      <name val="Segoe UI"/>
      <family val="2"/>
    </font>
    <font>
      <u/>
      <sz val="11"/>
      <color theme="10"/>
      <name val="Calibri"/>
      <family val="2"/>
      <scheme val="minor"/>
    </font>
    <font>
      <b/>
      <sz val="16"/>
      <color indexed="81"/>
      <name val="Segoe UI"/>
      <family val="2"/>
    </font>
    <font>
      <sz val="16"/>
      <color indexed="81"/>
      <name val="Segoe UI"/>
      <family val="2"/>
    </font>
    <font>
      <b/>
      <sz val="14"/>
      <color indexed="81"/>
      <name val="Arial"/>
      <family val="2"/>
    </font>
    <font>
      <sz val="8"/>
      <name val="Calibri"/>
      <family val="2"/>
      <scheme val="minor"/>
    </font>
    <font>
      <u/>
      <sz val="12"/>
      <color theme="10"/>
      <name val="Arial"/>
      <family val="2"/>
    </font>
    <font>
      <u/>
      <sz val="14"/>
      <color theme="10"/>
      <name val="Arial"/>
      <family val="2"/>
    </font>
    <font>
      <sz val="12"/>
      <color theme="1"/>
      <name val="Arial"/>
      <family val="2"/>
    </font>
    <font>
      <sz val="16"/>
      <color theme="1"/>
      <name val="Arial"/>
      <family val="2"/>
    </font>
    <font>
      <sz val="12"/>
      <color theme="1"/>
      <name val="Helvetica"/>
    </font>
    <font>
      <u/>
      <sz val="12"/>
      <color theme="10"/>
      <name val="Helvetica"/>
    </font>
    <font>
      <sz val="16"/>
      <color theme="1"/>
      <name val="Helvetica"/>
    </font>
    <font>
      <u/>
      <sz val="11"/>
      <color theme="10"/>
      <name val="Helvetica"/>
    </font>
    <font>
      <sz val="14"/>
      <color theme="0"/>
      <name val="Helvetica"/>
    </font>
    <font>
      <sz val="14"/>
      <name val="Helvetica"/>
    </font>
    <font>
      <b/>
      <sz val="14"/>
      <name val="Helvetica"/>
    </font>
    <font>
      <b/>
      <sz val="16"/>
      <color theme="1"/>
      <name val="Helvetica"/>
    </font>
    <font>
      <sz val="14"/>
      <color rgb="FFFF0000"/>
      <name val="Helvetica"/>
    </font>
    <font>
      <u/>
      <sz val="14"/>
      <color theme="10"/>
      <name val="Helvetica"/>
    </font>
    <font>
      <b/>
      <sz val="14"/>
      <color theme="0"/>
      <name val="Helvetica"/>
    </font>
    <font>
      <sz val="14"/>
      <color theme="1"/>
      <name val="Helvetica"/>
    </font>
    <font>
      <b/>
      <sz val="14"/>
      <color theme="1"/>
      <name val="Helvetica"/>
    </font>
    <font>
      <vertAlign val="superscript"/>
      <sz val="14"/>
      <color theme="1"/>
      <name val="Helvetica"/>
    </font>
    <font>
      <sz val="14"/>
      <color theme="6" tint="-0.249977111117893"/>
      <name val="Helvetica"/>
    </font>
    <font>
      <vertAlign val="subscript"/>
      <sz val="14"/>
      <name val="Helvetica"/>
    </font>
    <font>
      <vertAlign val="superscript"/>
      <sz val="14"/>
      <name val="Helvetica"/>
    </font>
    <font>
      <b/>
      <sz val="16"/>
      <color theme="1"/>
      <name val="Arial"/>
      <family val="2"/>
    </font>
    <font>
      <b/>
      <sz val="10"/>
      <name val="Arial"/>
      <family val="2"/>
    </font>
    <font>
      <sz val="11"/>
      <color theme="1"/>
      <name val="Arial"/>
      <family val="2"/>
    </font>
    <font>
      <sz val="12"/>
      <name val="Arial"/>
      <family val="2"/>
    </font>
    <font>
      <sz val="10"/>
      <name val="Arial"/>
      <family val="2"/>
    </font>
    <font>
      <sz val="11"/>
      <name val="Calibri"/>
      <family val="2"/>
      <scheme val="minor"/>
    </font>
    <font>
      <sz val="10"/>
      <color theme="1"/>
      <name val="Arial"/>
      <family val="2"/>
    </font>
    <font>
      <b/>
      <sz val="12"/>
      <color theme="1"/>
      <name val="Arial"/>
      <family val="2"/>
    </font>
    <font>
      <vertAlign val="superscript"/>
      <sz val="12"/>
      <color theme="1"/>
      <name val="Arial"/>
      <family val="2"/>
    </font>
    <font>
      <sz val="14"/>
      <color theme="10"/>
      <name val="Helvetica"/>
    </font>
    <font>
      <sz val="14"/>
      <name val="Arial"/>
      <family val="2"/>
    </font>
    <font>
      <b/>
      <sz val="12"/>
      <name val="Helvetica"/>
    </font>
    <font>
      <sz val="12"/>
      <name val="Helvetica"/>
    </font>
  </fonts>
  <fills count="30">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theme="0"/>
        <bgColor rgb="FFFF9900"/>
      </patternFill>
    </fill>
    <fill>
      <patternFill patternType="solid">
        <fgColor theme="0"/>
        <bgColor rgb="FFC3D69A"/>
      </patternFill>
    </fill>
    <fill>
      <patternFill patternType="solid">
        <fgColor theme="9" tint="0.59999389629810485"/>
        <bgColor indexed="64"/>
      </patternFill>
    </fill>
    <fill>
      <patternFill patternType="solid">
        <fgColor theme="9" tint="0.59999389629810485"/>
        <bgColor rgb="FFC3D69A"/>
      </patternFill>
    </fill>
    <fill>
      <patternFill patternType="solid">
        <fgColor theme="9" tint="0.59999389629810485"/>
        <bgColor rgb="FFFF9900"/>
      </patternFill>
    </fill>
    <fill>
      <patternFill patternType="solid">
        <fgColor theme="0"/>
        <bgColor rgb="FFD9D9D9"/>
      </patternFill>
    </fill>
    <fill>
      <patternFill patternType="solid">
        <fgColor theme="0" tint="-0.14999847407452621"/>
        <bgColor indexed="64"/>
      </patternFill>
    </fill>
    <fill>
      <patternFill patternType="solid">
        <fgColor theme="0" tint="-0.14999847407452621"/>
        <bgColor rgb="FFD9D9D9"/>
      </patternFill>
    </fill>
    <fill>
      <patternFill patternType="solid">
        <fgColor theme="4" tint="0.59999389629810485"/>
        <bgColor indexed="64"/>
      </patternFill>
    </fill>
    <fill>
      <patternFill patternType="solid">
        <fgColor theme="4" tint="0.59999389629810485"/>
        <bgColor rgb="FFC3D69A"/>
      </patternFill>
    </fill>
    <fill>
      <patternFill patternType="solid">
        <fgColor theme="0" tint="-0.14999847407452621"/>
        <bgColor rgb="FFFF9900"/>
      </patternFill>
    </fill>
    <fill>
      <patternFill patternType="solid">
        <fgColor theme="9" tint="0.59999389629810485"/>
        <bgColor rgb="FFD9D9D9"/>
      </patternFill>
    </fill>
    <fill>
      <patternFill patternType="solid">
        <fgColor theme="4" tint="0.59999389629810485"/>
        <bgColor rgb="FFD9D9D9"/>
      </patternFill>
    </fill>
    <fill>
      <patternFill patternType="solid">
        <fgColor rgb="FFFFFF00"/>
        <bgColor indexed="64"/>
      </patternFill>
    </fill>
    <fill>
      <patternFill patternType="solid">
        <fgColor rgb="FFFF6D6D"/>
        <bgColor indexed="64"/>
      </patternFill>
    </fill>
    <fill>
      <patternFill patternType="solid">
        <fgColor theme="9" tint="0.39997558519241921"/>
        <bgColor indexed="64"/>
      </patternFill>
    </fill>
    <fill>
      <patternFill patternType="solid">
        <fgColor theme="2" tint="-0.249977111117893"/>
        <bgColor rgb="FFD9D9D9"/>
      </patternFill>
    </fill>
    <fill>
      <patternFill patternType="solid">
        <fgColor theme="2" tint="-0.249977111117893"/>
        <bgColor rgb="FFFF9900"/>
      </patternFill>
    </fill>
    <fill>
      <patternFill patternType="solid">
        <fgColor indexed="9"/>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FF0000"/>
        <bgColor indexed="64"/>
      </patternFill>
    </fill>
    <fill>
      <patternFill patternType="solid">
        <fgColor rgb="FF92D050"/>
        <bgColor indexed="64"/>
      </patternFill>
    </fill>
    <fill>
      <patternFill patternType="solid">
        <fgColor rgb="FF92D050"/>
        <bgColor rgb="FFD9D9D9"/>
      </patternFill>
    </fill>
    <fill>
      <patternFill patternType="solid">
        <fgColor rgb="FF92D050"/>
        <bgColor rgb="FFFF9900"/>
      </patternFill>
    </fill>
    <fill>
      <patternFill patternType="solid">
        <fgColor rgb="FF92D050"/>
        <bgColor rgb="FFC3D69A"/>
      </patternFill>
    </fill>
  </fills>
  <borders count="42">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
      <left style="medium">
        <color indexed="64"/>
      </left>
      <right style="medium">
        <color indexed="64"/>
      </right>
      <top/>
      <bottom/>
      <diagonal/>
    </border>
  </borders>
  <cellStyleXfs count="5">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applyNumberFormat="0" applyFill="0" applyBorder="0" applyAlignment="0" applyProtection="0"/>
    <xf numFmtId="44" fontId="2" fillId="0" borderId="0" applyFont="0" applyFill="0" applyBorder="0" applyAlignment="0" applyProtection="0"/>
  </cellStyleXfs>
  <cellXfs count="648">
    <xf numFmtId="0" fontId="0" fillId="0" borderId="0" xfId="0"/>
    <xf numFmtId="0" fontId="11" fillId="19" borderId="0" xfId="0" applyFont="1" applyFill="1" applyProtection="1"/>
    <xf numFmtId="0" fontId="1" fillId="19" borderId="0" xfId="0" applyFont="1" applyFill="1" applyProtection="1"/>
    <xf numFmtId="0" fontId="1" fillId="19" borderId="0" xfId="0" applyFont="1" applyFill="1" applyProtection="1">
      <protection locked="0"/>
    </xf>
    <xf numFmtId="0" fontId="10" fillId="19" borderId="0" xfId="3" applyFont="1" applyFill="1" applyAlignment="1" applyProtection="1">
      <alignment horizontal="left"/>
      <protection locked="0"/>
    </xf>
    <xf numFmtId="0" fontId="9" fillId="19" borderId="0" xfId="3" applyFont="1" applyFill="1" applyAlignment="1" applyProtection="1">
      <alignment horizontal="center"/>
      <protection locked="0"/>
    </xf>
    <xf numFmtId="0" fontId="13" fillId="19" borderId="0" xfId="0" applyFont="1" applyFill="1" applyProtection="1">
      <protection locked="0"/>
    </xf>
    <xf numFmtId="0" fontId="13" fillId="19" borderId="0" xfId="0" applyFont="1" applyFill="1" applyProtection="1"/>
    <xf numFmtId="0" fontId="13" fillId="19" borderId="0" xfId="0" applyFont="1" applyFill="1" applyAlignment="1" applyProtection="1">
      <alignment horizontal="center" wrapText="1"/>
    </xf>
    <xf numFmtId="0" fontId="17" fillId="3" borderId="0" xfId="0" applyFont="1" applyFill="1" applyBorder="1" applyProtection="1">
      <protection locked="0"/>
    </xf>
    <xf numFmtId="0" fontId="17" fillId="3" borderId="0" xfId="0" applyFont="1" applyFill="1" applyBorder="1" applyProtection="1"/>
    <xf numFmtId="0" fontId="18" fillId="3" borderId="0" xfId="0" applyFont="1" applyFill="1" applyAlignment="1" applyProtection="1">
      <alignment horizontal="center" vertical="center"/>
    </xf>
    <xf numFmtId="0" fontId="17" fillId="5" borderId="0" xfId="0" applyFont="1" applyFill="1" applyBorder="1" applyAlignment="1" applyProtection="1">
      <alignment horizontal="center" vertical="center"/>
    </xf>
    <xf numFmtId="0" fontId="19" fillId="15" borderId="2" xfId="0" applyFont="1" applyFill="1" applyBorder="1" applyAlignment="1" applyProtection="1">
      <alignment horizontal="center" vertical="center" wrapText="1"/>
    </xf>
    <xf numFmtId="0" fontId="18" fillId="8" borderId="2" xfId="0" applyFont="1" applyFill="1" applyBorder="1" applyAlignment="1" applyProtection="1">
      <alignment horizontal="center" vertical="center"/>
    </xf>
    <xf numFmtId="0" fontId="18" fillId="7" borderId="2" xfId="0" applyFont="1" applyFill="1" applyBorder="1" applyAlignment="1" applyProtection="1">
      <alignment horizontal="center" vertical="center"/>
    </xf>
    <xf numFmtId="0" fontId="18" fillId="3" borderId="0" xfId="0" applyFont="1" applyFill="1" applyBorder="1" applyProtection="1"/>
    <xf numFmtId="0" fontId="18" fillId="3" borderId="2" xfId="0" applyFont="1" applyFill="1" applyBorder="1" applyProtection="1"/>
    <xf numFmtId="0" fontId="19" fillId="3" borderId="0" xfId="0" applyFont="1" applyFill="1" applyAlignment="1" applyProtection="1">
      <alignment horizontal="center" vertical="center"/>
    </xf>
    <xf numFmtId="0" fontId="18" fillId="3" borderId="2" xfId="0" applyFont="1" applyFill="1" applyBorder="1" applyAlignment="1" applyProtection="1">
      <alignment horizontal="center" vertical="center"/>
    </xf>
    <xf numFmtId="0" fontId="18" fillId="3" borderId="5" xfId="0" applyFont="1" applyFill="1" applyBorder="1" applyAlignment="1" applyProtection="1">
      <alignment horizontal="center" vertical="center"/>
    </xf>
    <xf numFmtId="0" fontId="18" fillId="3" borderId="2" xfId="0" applyFont="1" applyFill="1" applyBorder="1" applyAlignment="1" applyProtection="1">
      <alignment horizontal="center" vertical="center"/>
      <protection locked="0"/>
    </xf>
    <xf numFmtId="14" fontId="18" fillId="3" borderId="2" xfId="0" applyNumberFormat="1" applyFont="1" applyFill="1" applyBorder="1" applyAlignment="1" applyProtection="1">
      <alignment horizontal="center" vertical="center"/>
      <protection locked="0"/>
    </xf>
    <xf numFmtId="0" fontId="18" fillId="3" borderId="0" xfId="0" applyFont="1" applyFill="1" applyAlignment="1" applyProtection="1">
      <alignment horizontal="center" vertical="center"/>
      <protection locked="0"/>
    </xf>
    <xf numFmtId="0" fontId="18" fillId="3" borderId="0" xfId="0" applyFont="1" applyFill="1" applyBorder="1" applyAlignment="1" applyProtection="1">
      <alignment horizontal="center" vertical="center"/>
    </xf>
    <xf numFmtId="0" fontId="18" fillId="3" borderId="0" xfId="0" applyFont="1" applyFill="1" applyBorder="1" applyAlignment="1" applyProtection="1">
      <alignment horizontal="center" vertical="center"/>
    </xf>
    <xf numFmtId="0" fontId="19" fillId="3" borderId="0" xfId="0" applyFont="1" applyFill="1" applyBorder="1" applyAlignment="1" applyProtection="1">
      <alignment horizontal="center" vertical="center" wrapText="1"/>
    </xf>
    <xf numFmtId="0" fontId="18" fillId="3" borderId="0" xfId="0" applyFont="1" applyFill="1" applyBorder="1" applyAlignment="1" applyProtection="1">
      <alignment horizontal="center" vertical="center" wrapText="1"/>
    </xf>
    <xf numFmtId="0" fontId="18" fillId="3" borderId="0" xfId="0" applyFont="1" applyFill="1" applyAlignment="1" applyProtection="1">
      <alignment horizontal="center" vertical="center" wrapText="1"/>
    </xf>
    <xf numFmtId="0" fontId="18" fillId="3" borderId="0" xfId="0" applyFont="1" applyFill="1" applyBorder="1" applyAlignment="1" applyProtection="1">
      <alignment vertical="center"/>
    </xf>
    <xf numFmtId="0" fontId="19" fillId="3" borderId="0" xfId="0" applyFont="1" applyFill="1" applyAlignment="1" applyProtection="1">
      <alignment horizontal="center" vertical="center"/>
      <protection locked="0"/>
    </xf>
    <xf numFmtId="0" fontId="19" fillId="3" borderId="2" xfId="0" applyFont="1" applyFill="1" applyBorder="1" applyAlignment="1" applyProtection="1">
      <alignment horizontal="center" vertical="center"/>
      <protection locked="0"/>
    </xf>
    <xf numFmtId="164" fontId="18" fillId="2" borderId="2" xfId="0" applyNumberFormat="1" applyFont="1" applyFill="1" applyBorder="1" applyAlignment="1" applyProtection="1">
      <alignment horizontal="center" vertical="center"/>
      <protection locked="0"/>
    </xf>
    <xf numFmtId="0" fontId="18" fillId="3" borderId="5" xfId="0" applyFont="1" applyFill="1" applyBorder="1" applyAlignment="1" applyProtection="1">
      <alignment horizontal="center" vertical="center"/>
      <protection locked="0"/>
    </xf>
    <xf numFmtId="0" fontId="18" fillId="3" borderId="11" xfId="0" applyFont="1" applyFill="1" applyBorder="1" applyAlignment="1" applyProtection="1">
      <alignment horizontal="center" vertical="center"/>
      <protection locked="0"/>
    </xf>
    <xf numFmtId="0" fontId="18" fillId="3" borderId="12" xfId="0" applyFont="1" applyFill="1" applyBorder="1" applyAlignment="1" applyProtection="1">
      <alignment horizontal="center" vertical="center"/>
      <protection locked="0"/>
    </xf>
    <xf numFmtId="0" fontId="18" fillId="3" borderId="13" xfId="0" applyFont="1" applyFill="1" applyBorder="1" applyAlignment="1" applyProtection="1">
      <alignment horizontal="center" vertical="center"/>
      <protection locked="0"/>
    </xf>
    <xf numFmtId="0" fontId="18" fillId="3" borderId="0" xfId="0" applyFont="1" applyFill="1" applyBorder="1" applyAlignment="1" applyProtection="1">
      <alignment horizontal="center" vertical="center"/>
      <protection locked="0"/>
    </xf>
    <xf numFmtId="0" fontId="18" fillId="3" borderId="21" xfId="0" applyFont="1" applyFill="1" applyBorder="1" applyAlignment="1" applyProtection="1">
      <alignment horizontal="center" vertical="center"/>
      <protection locked="0"/>
    </xf>
    <xf numFmtId="0" fontId="18" fillId="3" borderId="14" xfId="0" applyFont="1" applyFill="1" applyBorder="1" applyAlignment="1" applyProtection="1">
      <alignment horizontal="center" vertical="center"/>
      <protection locked="0"/>
    </xf>
    <xf numFmtId="0" fontId="18" fillId="3" borderId="15" xfId="0" applyFont="1" applyFill="1" applyBorder="1" applyAlignment="1" applyProtection="1">
      <alignment horizontal="center" vertical="center"/>
      <protection locked="0"/>
    </xf>
    <xf numFmtId="0" fontId="18" fillId="3" borderId="16" xfId="0" applyFont="1" applyFill="1" applyBorder="1" applyAlignment="1" applyProtection="1">
      <alignment horizontal="center" vertical="center"/>
      <protection locked="0"/>
    </xf>
    <xf numFmtId="0" fontId="19" fillId="3" borderId="0" xfId="0" applyFont="1" applyFill="1" applyBorder="1" applyAlignment="1" applyProtection="1">
      <alignment horizontal="center" vertical="center" wrapText="1"/>
      <protection locked="0"/>
    </xf>
    <xf numFmtId="0" fontId="18" fillId="3" borderId="0" xfId="0" applyFont="1" applyFill="1" applyBorder="1" applyAlignment="1" applyProtection="1">
      <alignment horizontal="center" vertical="center" wrapText="1"/>
      <protection locked="0"/>
    </xf>
    <xf numFmtId="0" fontId="18" fillId="3" borderId="0" xfId="0" applyFont="1" applyFill="1" applyAlignment="1" applyProtection="1">
      <alignment horizontal="center" vertical="center" wrapText="1"/>
      <protection locked="0"/>
    </xf>
    <xf numFmtId="0" fontId="18" fillId="3" borderId="0" xfId="0" applyFont="1" applyFill="1" applyBorder="1" applyAlignment="1" applyProtection="1">
      <alignment vertical="center"/>
      <protection locked="0"/>
    </xf>
    <xf numFmtId="0" fontId="21" fillId="3" borderId="0" xfId="0" applyFont="1" applyFill="1" applyAlignment="1" applyProtection="1">
      <alignment horizontal="center" vertical="center"/>
    </xf>
    <xf numFmtId="0" fontId="18" fillId="3" borderId="0" xfId="0" applyFont="1" applyFill="1" applyAlignment="1" applyProtection="1">
      <alignment horizontal="center" vertical="center"/>
      <protection hidden="1"/>
    </xf>
    <xf numFmtId="0" fontId="18" fillId="3" borderId="11" xfId="0" applyFont="1" applyFill="1" applyBorder="1" applyAlignment="1" applyProtection="1">
      <alignment horizontal="center" vertical="center"/>
    </xf>
    <xf numFmtId="0" fontId="18" fillId="3" borderId="12" xfId="0" applyFont="1" applyFill="1" applyBorder="1" applyAlignment="1" applyProtection="1">
      <alignment horizontal="center" vertical="center"/>
    </xf>
    <xf numFmtId="0" fontId="18" fillId="3" borderId="13" xfId="0" applyFont="1" applyFill="1" applyBorder="1" applyAlignment="1" applyProtection="1">
      <alignment horizontal="center" vertical="center"/>
    </xf>
    <xf numFmtId="0" fontId="18" fillId="3" borderId="2" xfId="0" applyFont="1" applyFill="1" applyBorder="1" applyAlignment="1" applyProtection="1">
      <alignment horizontal="center" vertical="center"/>
    </xf>
    <xf numFmtId="0" fontId="19" fillId="3" borderId="2" xfId="0" applyFont="1" applyFill="1" applyBorder="1" applyAlignment="1" applyProtection="1">
      <alignment horizontal="center" vertical="center"/>
    </xf>
    <xf numFmtId="0" fontId="18" fillId="3" borderId="21" xfId="0" applyFont="1" applyFill="1" applyBorder="1" applyAlignment="1" applyProtection="1">
      <alignment horizontal="center" vertical="center"/>
    </xf>
    <xf numFmtId="0" fontId="18" fillId="2" borderId="2" xfId="0" applyFont="1" applyFill="1" applyBorder="1" applyAlignment="1" applyProtection="1">
      <alignment horizontal="center" vertical="center"/>
      <protection hidden="1"/>
    </xf>
    <xf numFmtId="2" fontId="18" fillId="2" borderId="2" xfId="0" applyNumberFormat="1" applyFont="1" applyFill="1" applyBorder="1" applyAlignment="1" applyProtection="1">
      <alignment horizontal="center" vertical="center"/>
      <protection hidden="1"/>
    </xf>
    <xf numFmtId="2" fontId="18" fillId="2" borderId="2" xfId="0" applyNumberFormat="1" applyFont="1" applyFill="1" applyBorder="1" applyAlignment="1" applyProtection="1">
      <alignment horizontal="center" vertical="center"/>
      <protection locked="0"/>
    </xf>
    <xf numFmtId="0" fontId="18" fillId="18" borderId="2" xfId="0" applyFont="1" applyFill="1" applyBorder="1" applyAlignment="1" applyProtection="1">
      <alignment horizontal="center" vertical="center"/>
    </xf>
    <xf numFmtId="0" fontId="18" fillId="0" borderId="2" xfId="0" applyFont="1" applyBorder="1" applyAlignment="1" applyProtection="1">
      <alignment horizontal="center" vertical="center"/>
    </xf>
    <xf numFmtId="2" fontId="18" fillId="3" borderId="0" xfId="0" applyNumberFormat="1" applyFont="1" applyFill="1" applyAlignment="1" applyProtection="1">
      <alignment horizontal="center" vertical="center"/>
      <protection hidden="1"/>
    </xf>
    <xf numFmtId="1" fontId="18" fillId="3" borderId="2" xfId="0" applyNumberFormat="1" applyFont="1" applyFill="1" applyBorder="1" applyAlignment="1" applyProtection="1">
      <alignment horizontal="center" vertical="center"/>
    </xf>
    <xf numFmtId="2" fontId="18" fillId="3" borderId="0" xfId="0" applyNumberFormat="1" applyFont="1" applyFill="1" applyAlignment="1" applyProtection="1">
      <alignment horizontal="center" vertical="center"/>
    </xf>
    <xf numFmtId="0" fontId="18" fillId="3" borderId="5" xfId="0" applyFont="1" applyFill="1" applyBorder="1" applyAlignment="1" applyProtection="1">
      <alignment horizontal="center" vertical="center"/>
    </xf>
    <xf numFmtId="2" fontId="18" fillId="3" borderId="2" xfId="0" applyNumberFormat="1" applyFont="1" applyFill="1" applyBorder="1" applyAlignment="1" applyProtection="1">
      <alignment horizontal="center" vertical="center"/>
    </xf>
    <xf numFmtId="165" fontId="18" fillId="3" borderId="2" xfId="0" applyNumberFormat="1" applyFont="1" applyFill="1" applyBorder="1" applyAlignment="1" applyProtection="1">
      <alignment horizontal="center" vertical="center"/>
    </xf>
    <xf numFmtId="164" fontId="18" fillId="3" borderId="2" xfId="1" applyNumberFormat="1" applyFont="1" applyFill="1" applyBorder="1" applyAlignment="1" applyProtection="1">
      <alignment horizontal="center" vertical="center"/>
    </xf>
    <xf numFmtId="0" fontId="17" fillId="3" borderId="0" xfId="0" applyFont="1" applyFill="1" applyAlignment="1" applyProtection="1">
      <alignment horizontal="center" vertical="center"/>
    </xf>
    <xf numFmtId="164" fontId="18" fillId="3" borderId="2" xfId="0" applyNumberFormat="1" applyFont="1" applyFill="1" applyBorder="1" applyAlignment="1" applyProtection="1">
      <alignment horizontal="center" vertical="center"/>
    </xf>
    <xf numFmtId="0" fontId="18" fillId="3" borderId="2" xfId="0" applyFont="1" applyFill="1" applyBorder="1" applyAlignment="1" applyProtection="1">
      <alignment horizontal="center" vertical="center"/>
      <protection hidden="1"/>
    </xf>
    <xf numFmtId="0" fontId="18" fillId="3" borderId="14" xfId="0" applyFont="1" applyFill="1" applyBorder="1" applyAlignment="1" applyProtection="1">
      <alignment horizontal="center" vertical="center"/>
    </xf>
    <xf numFmtId="0" fontId="18" fillId="3" borderId="15" xfId="0" applyFont="1" applyFill="1" applyBorder="1" applyAlignment="1" applyProtection="1">
      <alignment horizontal="center" vertical="center"/>
    </xf>
    <xf numFmtId="0" fontId="18" fillId="3" borderId="16" xfId="0" applyFont="1" applyFill="1" applyBorder="1" applyAlignment="1" applyProtection="1">
      <alignment horizontal="center" vertical="center"/>
    </xf>
    <xf numFmtId="2" fontId="18" fillId="3" borderId="2" xfId="0" applyNumberFormat="1" applyFont="1" applyFill="1" applyBorder="1" applyAlignment="1" applyProtection="1">
      <alignment horizontal="center" vertical="center"/>
      <protection hidden="1"/>
    </xf>
    <xf numFmtId="166" fontId="19" fillId="3" borderId="0" xfId="0" applyNumberFormat="1" applyFont="1" applyFill="1" applyAlignment="1" applyProtection="1">
      <alignment horizontal="center" vertical="center"/>
    </xf>
    <xf numFmtId="166" fontId="17" fillId="3" borderId="0" xfId="0" applyNumberFormat="1" applyFont="1" applyFill="1" applyAlignment="1" applyProtection="1">
      <alignment horizontal="center" vertical="center"/>
    </xf>
    <xf numFmtId="0" fontId="18" fillId="17" borderId="2" xfId="0" applyFont="1" applyFill="1" applyBorder="1" applyAlignment="1" applyProtection="1">
      <alignment horizontal="center" vertical="center"/>
    </xf>
    <xf numFmtId="9" fontId="18" fillId="3" borderId="2" xfId="0" applyNumberFormat="1" applyFont="1" applyFill="1" applyBorder="1" applyAlignment="1" applyProtection="1">
      <alignment horizontal="center" vertical="center"/>
    </xf>
    <xf numFmtId="164" fontId="19" fillId="3" borderId="2" xfId="0" applyNumberFormat="1" applyFont="1" applyFill="1" applyBorder="1" applyAlignment="1" applyProtection="1">
      <alignment horizontal="center" vertical="center"/>
    </xf>
    <xf numFmtId="0" fontId="19" fillId="17" borderId="2" xfId="0" applyFont="1" applyFill="1" applyBorder="1" applyAlignment="1" applyProtection="1">
      <alignment horizontal="center" vertical="center"/>
    </xf>
    <xf numFmtId="1" fontId="18" fillId="3" borderId="0" xfId="0" applyNumberFormat="1" applyFont="1" applyFill="1" applyAlignment="1" applyProtection="1">
      <alignment horizontal="center" vertical="center"/>
    </xf>
    <xf numFmtId="164" fontId="18" fillId="3" borderId="0" xfId="0" applyNumberFormat="1" applyFont="1" applyFill="1" applyBorder="1" applyAlignment="1" applyProtection="1">
      <alignment horizontal="center" vertical="center"/>
      <protection locked="0"/>
    </xf>
    <xf numFmtId="166" fontId="17" fillId="3" borderId="0" xfId="0" applyNumberFormat="1" applyFont="1" applyFill="1" applyBorder="1" applyAlignment="1" applyProtection="1">
      <alignment horizontal="center" vertical="center"/>
    </xf>
    <xf numFmtId="164" fontId="19" fillId="3" borderId="0" xfId="0" applyNumberFormat="1" applyFont="1" applyFill="1" applyAlignment="1" applyProtection="1">
      <alignment horizontal="center" vertical="center"/>
    </xf>
    <xf numFmtId="1" fontId="17" fillId="3" borderId="15" xfId="0" applyNumberFormat="1" applyFont="1" applyFill="1" applyBorder="1" applyAlignment="1" applyProtection="1">
      <alignment horizontal="center" vertical="center"/>
    </xf>
    <xf numFmtId="1" fontId="19" fillId="3" borderId="0" xfId="0" applyNumberFormat="1" applyFont="1" applyFill="1" applyAlignment="1" applyProtection="1">
      <alignment horizontal="center" vertical="center"/>
    </xf>
    <xf numFmtId="2" fontId="18" fillId="3" borderId="0" xfId="0" applyNumberFormat="1" applyFont="1" applyFill="1" applyBorder="1" applyAlignment="1" applyProtection="1">
      <alignment horizontal="center" vertical="center"/>
      <protection hidden="1"/>
    </xf>
    <xf numFmtId="2" fontId="19" fillId="3" borderId="0" xfId="0" applyNumberFormat="1" applyFont="1" applyFill="1" applyBorder="1" applyAlignment="1" applyProtection="1">
      <alignment horizontal="center" vertical="center"/>
    </xf>
    <xf numFmtId="1" fontId="19" fillId="3" borderId="0" xfId="0" applyNumberFormat="1" applyFont="1" applyFill="1" applyBorder="1" applyAlignment="1" applyProtection="1">
      <alignment horizontal="center" vertical="center"/>
    </xf>
    <xf numFmtId="0" fontId="18" fillId="3" borderId="0" xfId="0" applyFont="1" applyFill="1" applyBorder="1" applyAlignment="1" applyProtection="1">
      <alignment horizontal="center" vertical="center"/>
      <protection hidden="1"/>
    </xf>
    <xf numFmtId="2" fontId="18" fillId="17" borderId="2" xfId="0" applyNumberFormat="1" applyFont="1" applyFill="1" applyBorder="1" applyAlignment="1" applyProtection="1">
      <alignment horizontal="center" vertical="center"/>
    </xf>
    <xf numFmtId="9" fontId="18" fillId="2" borderId="4" xfId="2" applyFont="1" applyFill="1" applyBorder="1" applyAlignment="1" applyProtection="1">
      <alignment horizontal="center" vertical="center"/>
      <protection locked="0"/>
    </xf>
    <xf numFmtId="2" fontId="17" fillId="3" borderId="0" xfId="0" applyNumberFormat="1" applyFont="1" applyFill="1" applyBorder="1" applyAlignment="1" applyProtection="1">
      <alignment horizontal="center" vertical="center"/>
    </xf>
    <xf numFmtId="9" fontId="18" fillId="2" borderId="2" xfId="2" applyFont="1" applyFill="1" applyBorder="1" applyAlignment="1" applyProtection="1">
      <alignment horizontal="center" vertical="center"/>
      <protection locked="0"/>
    </xf>
    <xf numFmtId="0" fontId="18" fillId="3" borderId="2" xfId="0" applyFont="1" applyFill="1" applyBorder="1" applyAlignment="1" applyProtection="1">
      <alignment vertical="center" wrapText="1"/>
    </xf>
    <xf numFmtId="0" fontId="18" fillId="3" borderId="0" xfId="0" applyFont="1" applyFill="1" applyBorder="1" applyAlignment="1" applyProtection="1">
      <alignment horizontal="center" vertical="center" wrapText="1"/>
    </xf>
    <xf numFmtId="0" fontId="19" fillId="11" borderId="2" xfId="0" applyFont="1" applyFill="1" applyBorder="1" applyAlignment="1" applyProtection="1">
      <alignment horizontal="center" vertical="center" wrapText="1"/>
    </xf>
    <xf numFmtId="0" fontId="18" fillId="14" borderId="2" xfId="0" applyFont="1" applyFill="1" applyBorder="1" applyAlignment="1" applyProtection="1">
      <alignment horizontal="center" vertical="center"/>
    </xf>
    <xf numFmtId="0" fontId="18" fillId="17" borderId="2" xfId="0" applyFont="1" applyFill="1" applyBorder="1" applyAlignment="1" applyProtection="1">
      <alignment vertical="center" wrapText="1"/>
    </xf>
    <xf numFmtId="0" fontId="19" fillId="16" borderId="2" xfId="0" applyFont="1" applyFill="1" applyBorder="1" applyAlignment="1" applyProtection="1">
      <alignment horizontal="center" vertical="center" wrapText="1"/>
    </xf>
    <xf numFmtId="0" fontId="18" fillId="13" borderId="2" xfId="0" applyFont="1" applyFill="1" applyBorder="1" applyAlignment="1" applyProtection="1">
      <alignment horizontal="center" vertical="center"/>
    </xf>
    <xf numFmtId="2" fontId="18" fillId="13" borderId="2" xfId="0" applyNumberFormat="1" applyFont="1" applyFill="1" applyBorder="1" applyAlignment="1" applyProtection="1">
      <alignment horizontal="center" vertical="center"/>
    </xf>
    <xf numFmtId="0" fontId="18" fillId="3" borderId="20" xfId="0" applyFont="1" applyFill="1" applyBorder="1" applyAlignment="1" applyProtection="1">
      <alignment horizontal="center" vertical="center"/>
    </xf>
    <xf numFmtId="0" fontId="18" fillId="12" borderId="2" xfId="0" applyFont="1" applyFill="1" applyBorder="1" applyAlignment="1" applyProtection="1">
      <alignment horizontal="center" vertical="center"/>
    </xf>
    <xf numFmtId="2" fontId="18" fillId="6" borderId="2" xfId="0" applyNumberFormat="1" applyFont="1" applyFill="1" applyBorder="1" applyAlignment="1" applyProtection="1">
      <alignment horizontal="center" vertical="center"/>
    </xf>
    <xf numFmtId="0" fontId="19" fillId="9" borderId="2" xfId="0" applyFont="1" applyFill="1" applyBorder="1" applyAlignment="1" applyProtection="1">
      <alignment horizontal="center" vertical="center" wrapText="1"/>
    </xf>
    <xf numFmtId="0" fontId="19" fillId="3" borderId="0" xfId="0" applyFont="1" applyFill="1" applyBorder="1" applyAlignment="1" applyProtection="1">
      <alignment horizontal="center" vertical="center"/>
    </xf>
    <xf numFmtId="164" fontId="19" fillId="3" borderId="0" xfId="0" applyNumberFormat="1" applyFont="1" applyFill="1" applyAlignment="1" applyProtection="1">
      <alignment horizontal="left" vertical="center" indent="2"/>
    </xf>
    <xf numFmtId="1" fontId="19" fillId="3" borderId="0" xfId="0" applyNumberFormat="1" applyFont="1" applyFill="1" applyAlignment="1" applyProtection="1">
      <alignment horizontal="left" vertical="center" indent="2"/>
    </xf>
    <xf numFmtId="0" fontId="18" fillId="3" borderId="0" xfId="0" applyFont="1" applyFill="1" applyBorder="1" applyAlignment="1" applyProtection="1">
      <alignment vertical="center"/>
    </xf>
    <xf numFmtId="164" fontId="19" fillId="3" borderId="0" xfId="0" applyNumberFormat="1" applyFont="1" applyFill="1" applyBorder="1" applyAlignment="1" applyProtection="1">
      <alignment horizontal="center" vertical="center"/>
    </xf>
    <xf numFmtId="0" fontId="18" fillId="2" borderId="2" xfId="0" applyFont="1" applyFill="1" applyBorder="1" applyAlignment="1" applyProtection="1">
      <alignment horizontal="center" vertical="center"/>
    </xf>
    <xf numFmtId="0" fontId="18" fillId="2" borderId="2" xfId="0" applyFont="1" applyFill="1" applyBorder="1" applyAlignment="1" applyProtection="1">
      <alignment vertical="center" wrapText="1"/>
    </xf>
    <xf numFmtId="0" fontId="19" fillId="11" borderId="6" xfId="0" applyFont="1" applyFill="1" applyBorder="1" applyAlignment="1" applyProtection="1">
      <alignment horizontal="center" vertical="center" wrapText="1"/>
    </xf>
    <xf numFmtId="164" fontId="19" fillId="3" borderId="2" xfId="0" quotePrefix="1" applyNumberFormat="1" applyFont="1" applyFill="1" applyBorder="1" applyAlignment="1" applyProtection="1">
      <alignment horizontal="center" vertical="center"/>
    </xf>
    <xf numFmtId="0" fontId="18" fillId="3" borderId="2" xfId="0" applyFont="1" applyFill="1" applyBorder="1" applyAlignment="1" applyProtection="1">
      <alignment horizontal="center" vertical="center" wrapText="1"/>
    </xf>
    <xf numFmtId="1" fontId="18" fillId="3" borderId="11" xfId="0" applyNumberFormat="1" applyFont="1" applyFill="1" applyBorder="1" applyAlignment="1" applyProtection="1">
      <alignment horizontal="center" vertical="center"/>
    </xf>
    <xf numFmtId="1" fontId="18" fillId="3" borderId="12" xfId="0" applyNumberFormat="1" applyFont="1" applyFill="1" applyBorder="1" applyAlignment="1" applyProtection="1">
      <alignment horizontal="center" vertical="center"/>
    </xf>
    <xf numFmtId="1" fontId="18" fillId="3" borderId="13" xfId="0" applyNumberFormat="1" applyFont="1" applyFill="1" applyBorder="1" applyAlignment="1" applyProtection="1">
      <alignment horizontal="center" vertical="center"/>
    </xf>
    <xf numFmtId="1" fontId="18" fillId="3" borderId="21" xfId="0" applyNumberFormat="1" applyFont="1" applyFill="1" applyBorder="1" applyAlignment="1" applyProtection="1">
      <alignment horizontal="center" vertical="center"/>
    </xf>
    <xf numFmtId="1" fontId="19" fillId="3" borderId="2" xfId="0" quotePrefix="1" applyNumberFormat="1" applyFont="1" applyFill="1" applyBorder="1" applyAlignment="1" applyProtection="1">
      <alignment horizontal="center" vertical="center"/>
    </xf>
    <xf numFmtId="1" fontId="18" fillId="3" borderId="0" xfId="0" applyNumberFormat="1" applyFont="1" applyFill="1" applyBorder="1" applyAlignment="1" applyProtection="1">
      <alignment horizontal="center" vertical="center"/>
      <protection locked="0"/>
    </xf>
    <xf numFmtId="1" fontId="18" fillId="2" borderId="2" xfId="0" applyNumberFormat="1" applyFont="1" applyFill="1" applyBorder="1" applyAlignment="1" applyProtection="1">
      <alignment horizontal="center" vertical="center"/>
      <protection locked="0"/>
    </xf>
    <xf numFmtId="1" fontId="18" fillId="3" borderId="14" xfId="0" applyNumberFormat="1" applyFont="1" applyFill="1" applyBorder="1" applyAlignment="1" applyProtection="1">
      <alignment horizontal="center" vertical="center"/>
    </xf>
    <xf numFmtId="1" fontId="18" fillId="3" borderId="15" xfId="0" applyNumberFormat="1" applyFont="1" applyFill="1" applyBorder="1" applyAlignment="1" applyProtection="1">
      <alignment horizontal="center" vertical="center"/>
    </xf>
    <xf numFmtId="1" fontId="18" fillId="3" borderId="16" xfId="0" applyNumberFormat="1" applyFont="1" applyFill="1" applyBorder="1" applyAlignment="1" applyProtection="1">
      <alignment horizontal="center" vertical="center"/>
    </xf>
    <xf numFmtId="49" fontId="18" fillId="3" borderId="2" xfId="0" applyNumberFormat="1" applyFont="1" applyFill="1" applyBorder="1" applyAlignment="1" applyProtection="1">
      <alignment horizontal="center" vertical="center"/>
    </xf>
    <xf numFmtId="0" fontId="11" fillId="19" borderId="0" xfId="0" applyFont="1" applyFill="1" applyAlignment="1" applyProtection="1"/>
    <xf numFmtId="0" fontId="1" fillId="19" borderId="0" xfId="0" applyFont="1" applyFill="1" applyAlignment="1" applyProtection="1">
      <alignment vertical="center" wrapText="1"/>
    </xf>
    <xf numFmtId="0" fontId="1" fillId="19" borderId="20" xfId="0" applyFont="1" applyFill="1" applyBorder="1" applyProtection="1"/>
    <xf numFmtId="0" fontId="1" fillId="19" borderId="0" xfId="0" applyFont="1" applyFill="1" applyBorder="1" applyProtection="1"/>
    <xf numFmtId="0" fontId="1" fillId="19" borderId="21" xfId="0" applyFont="1" applyFill="1" applyBorder="1" applyProtection="1"/>
    <xf numFmtId="0" fontId="1" fillId="19" borderId="20" xfId="0" applyFont="1" applyFill="1" applyBorder="1" applyAlignment="1" applyProtection="1">
      <alignment horizontal="center" wrapText="1"/>
    </xf>
    <xf numFmtId="0" fontId="1" fillId="19" borderId="0" xfId="0" applyFont="1" applyFill="1" applyBorder="1" applyAlignment="1" applyProtection="1">
      <alignment horizontal="center" wrapText="1"/>
    </xf>
    <xf numFmtId="0" fontId="1" fillId="19" borderId="11" xfId="0" applyFont="1" applyFill="1" applyBorder="1" applyProtection="1"/>
    <xf numFmtId="0" fontId="1" fillId="19" borderId="12" xfId="0" applyFont="1" applyFill="1" applyBorder="1" applyProtection="1"/>
    <xf numFmtId="0" fontId="1" fillId="19" borderId="13" xfId="0" applyFont="1" applyFill="1" applyBorder="1" applyProtection="1"/>
    <xf numFmtId="0" fontId="1" fillId="19" borderId="14" xfId="0" applyFont="1" applyFill="1" applyBorder="1" applyAlignment="1" applyProtection="1">
      <alignment vertical="center" wrapText="1"/>
    </xf>
    <xf numFmtId="0" fontId="1" fillId="19" borderId="15" xfId="0" applyFont="1" applyFill="1" applyBorder="1" applyAlignment="1" applyProtection="1">
      <alignment vertical="center" wrapText="1"/>
    </xf>
    <xf numFmtId="0" fontId="1" fillId="19" borderId="16" xfId="0" applyFont="1" applyFill="1" applyBorder="1" applyProtection="1"/>
    <xf numFmtId="0" fontId="13" fillId="19" borderId="11" xfId="0" applyFont="1" applyFill="1" applyBorder="1" applyProtection="1"/>
    <xf numFmtId="0" fontId="13" fillId="19" borderId="12" xfId="0" applyFont="1" applyFill="1" applyBorder="1" applyProtection="1"/>
    <xf numFmtId="0" fontId="13" fillId="19" borderId="13" xfId="0" applyFont="1" applyFill="1" applyBorder="1" applyProtection="1"/>
    <xf numFmtId="0" fontId="13" fillId="19" borderId="20" xfId="0" applyFont="1" applyFill="1" applyBorder="1" applyProtection="1"/>
    <xf numFmtId="0" fontId="14" fillId="19" borderId="21" xfId="3" applyFont="1" applyFill="1" applyBorder="1" applyAlignment="1" applyProtection="1">
      <alignment horizontal="center"/>
      <protection locked="0"/>
    </xf>
    <xf numFmtId="0" fontId="13" fillId="19" borderId="14" xfId="0" applyFont="1" applyFill="1" applyBorder="1" applyProtection="1"/>
    <xf numFmtId="0" fontId="13" fillId="19" borderId="15" xfId="0" applyFont="1" applyFill="1" applyBorder="1" applyProtection="1"/>
    <xf numFmtId="0" fontId="14" fillId="19" borderId="15" xfId="3" applyFont="1" applyFill="1" applyBorder="1" applyAlignment="1" applyProtection="1">
      <alignment horizontal="center" wrapText="1"/>
      <protection locked="0"/>
    </xf>
    <xf numFmtId="0" fontId="14" fillId="19" borderId="16" xfId="3" applyFont="1" applyFill="1" applyBorder="1" applyAlignment="1" applyProtection="1">
      <alignment horizontal="center" wrapText="1"/>
      <protection locked="0"/>
    </xf>
    <xf numFmtId="0" fontId="13" fillId="19" borderId="0" xfId="0" applyFont="1" applyFill="1" applyBorder="1" applyProtection="1"/>
    <xf numFmtId="0" fontId="14" fillId="19" borderId="0" xfId="3" applyFont="1" applyFill="1" applyBorder="1" applyAlignment="1" applyProtection="1">
      <alignment horizontal="center" wrapText="1"/>
      <protection locked="0"/>
    </xf>
    <xf numFmtId="0" fontId="14" fillId="19" borderId="12" xfId="3" applyFont="1" applyFill="1" applyBorder="1" applyAlignment="1" applyProtection="1">
      <alignment horizontal="center" wrapText="1"/>
      <protection locked="0"/>
    </xf>
    <xf numFmtId="0" fontId="14" fillId="19" borderId="13" xfId="3" applyFont="1" applyFill="1" applyBorder="1" applyAlignment="1" applyProtection="1">
      <alignment horizontal="center" wrapText="1"/>
      <protection locked="0"/>
    </xf>
    <xf numFmtId="0" fontId="13" fillId="19" borderId="20" xfId="0" applyFont="1" applyFill="1" applyBorder="1" applyAlignment="1" applyProtection="1">
      <alignment horizontal="center"/>
    </xf>
    <xf numFmtId="0" fontId="14" fillId="19" borderId="16" xfId="3" applyFont="1" applyFill="1" applyBorder="1" applyAlignment="1" applyProtection="1">
      <alignment horizontal="center"/>
      <protection locked="0"/>
    </xf>
    <xf numFmtId="164" fontId="18" fillId="7" borderId="2" xfId="0" applyNumberFormat="1" applyFont="1" applyFill="1" applyBorder="1" applyAlignment="1" applyProtection="1">
      <alignment horizontal="center" vertical="center"/>
    </xf>
    <xf numFmtId="0" fontId="18" fillId="5" borderId="2" xfId="0" applyFont="1" applyFill="1" applyBorder="1" applyAlignment="1" applyProtection="1">
      <alignment horizontal="center" vertical="center"/>
    </xf>
    <xf numFmtId="164" fontId="18" fillId="5" borderId="2" xfId="0" applyNumberFormat="1" applyFont="1" applyFill="1" applyBorder="1" applyAlignment="1" applyProtection="1">
      <alignment horizontal="center" vertical="center"/>
    </xf>
    <xf numFmtId="0" fontId="23" fillId="3" borderId="0" xfId="0" applyFont="1" applyFill="1" applyBorder="1" applyAlignment="1" applyProtection="1">
      <alignment horizontal="center" vertical="center" wrapText="1"/>
    </xf>
    <xf numFmtId="2" fontId="17" fillId="4" borderId="0" xfId="0" applyNumberFormat="1" applyFont="1" applyFill="1" applyBorder="1" applyAlignment="1" applyProtection="1">
      <alignment horizontal="center" vertical="center"/>
    </xf>
    <xf numFmtId="2" fontId="18" fillId="14" borderId="2" xfId="0" applyNumberFormat="1" applyFont="1" applyFill="1" applyBorder="1" applyAlignment="1" applyProtection="1">
      <alignment horizontal="center" vertical="center"/>
    </xf>
    <xf numFmtId="0" fontId="23" fillId="9" borderId="0" xfId="0" applyFont="1" applyFill="1" applyBorder="1" applyAlignment="1" applyProtection="1">
      <alignment horizontal="center" vertical="center" wrapText="1"/>
    </xf>
    <xf numFmtId="0" fontId="18" fillId="5" borderId="0" xfId="0" applyFont="1" applyFill="1" applyBorder="1" applyAlignment="1" applyProtection="1">
      <alignment horizontal="center" vertical="center"/>
    </xf>
    <xf numFmtId="164" fontId="18" fillId="5" borderId="0" xfId="0" applyNumberFormat="1" applyFont="1" applyFill="1" applyBorder="1" applyAlignment="1" applyProtection="1">
      <alignment horizontal="center" vertical="center"/>
    </xf>
    <xf numFmtId="0" fontId="24" fillId="3" borderId="0" xfId="0" applyFont="1" applyFill="1" applyAlignment="1">
      <alignment vertical="top" wrapText="1"/>
    </xf>
    <xf numFmtId="0" fontId="25" fillId="0" borderId="36" xfId="0" applyFont="1" applyBorder="1" applyAlignment="1">
      <alignment vertical="center" wrapText="1"/>
    </xf>
    <xf numFmtId="0" fontId="25" fillId="0" borderId="10" xfId="0" applyFont="1" applyBorder="1" applyAlignment="1">
      <alignment vertical="center" wrapText="1"/>
    </xf>
    <xf numFmtId="0" fontId="24" fillId="0" borderId="38" xfId="0" applyFont="1" applyBorder="1" applyAlignment="1">
      <alignment vertical="center" wrapText="1"/>
    </xf>
    <xf numFmtId="0" fontId="24" fillId="0" borderId="16" xfId="0" applyFont="1" applyBorder="1" applyAlignment="1">
      <alignment vertical="center" wrapText="1"/>
    </xf>
    <xf numFmtId="0" fontId="24" fillId="0" borderId="31" xfId="0" applyFont="1" applyBorder="1" applyAlignment="1">
      <alignment vertical="center" wrapText="1"/>
    </xf>
    <xf numFmtId="0" fontId="24" fillId="0" borderId="0" xfId="0" applyFont="1" applyProtection="1">
      <protection locked="0"/>
    </xf>
    <xf numFmtId="0" fontId="24" fillId="0" borderId="0" xfId="0" applyFont="1" applyProtection="1"/>
    <xf numFmtId="0" fontId="18" fillId="22" borderId="0" xfId="0" applyFont="1" applyFill="1" applyAlignment="1" applyProtection="1">
      <alignment horizontal="left" vertical="top"/>
      <protection hidden="1"/>
    </xf>
    <xf numFmtId="0" fontId="18" fillId="22" borderId="0" xfId="0" applyFont="1" applyFill="1" applyProtection="1">
      <protection hidden="1"/>
    </xf>
    <xf numFmtId="0" fontId="24" fillId="23" borderId="33" xfId="0" applyFont="1" applyFill="1" applyBorder="1" applyAlignment="1" applyProtection="1">
      <alignment horizontal="center" vertical="center"/>
      <protection locked="0"/>
    </xf>
    <xf numFmtId="0" fontId="18" fillId="0" borderId="16" xfId="0" applyFont="1" applyBorder="1" applyAlignment="1" applyProtection="1">
      <alignment vertical="center" wrapText="1"/>
      <protection hidden="1"/>
    </xf>
    <xf numFmtId="0" fontId="18" fillId="0" borderId="16" xfId="0" applyFont="1" applyBorder="1" applyAlignment="1" applyProtection="1">
      <alignment horizontal="center" vertical="center" wrapText="1"/>
      <protection hidden="1"/>
    </xf>
    <xf numFmtId="0" fontId="18" fillId="24" borderId="16" xfId="0" applyFont="1" applyFill="1" applyBorder="1" applyAlignment="1" applyProtection="1">
      <alignment horizontal="center" vertical="center" wrapText="1"/>
      <protection hidden="1"/>
    </xf>
    <xf numFmtId="0" fontId="18" fillId="22" borderId="28" xfId="0" applyFont="1" applyFill="1" applyBorder="1" applyAlignment="1" applyProtection="1">
      <alignment horizontal="left" vertical="top"/>
      <protection hidden="1"/>
    </xf>
    <xf numFmtId="0" fontId="24" fillId="0" borderId="0" xfId="0" applyFont="1" applyAlignment="1" applyProtection="1">
      <alignment horizontal="left" vertical="top"/>
      <protection hidden="1"/>
    </xf>
    <xf numFmtId="0" fontId="24" fillId="23" borderId="34" xfId="0" applyFont="1" applyFill="1" applyBorder="1" applyAlignment="1" applyProtection="1">
      <alignment horizontal="center" vertical="center"/>
      <protection locked="0"/>
    </xf>
    <xf numFmtId="0" fontId="24" fillId="0" borderId="0" xfId="0" applyFont="1" applyProtection="1">
      <protection hidden="1"/>
    </xf>
    <xf numFmtId="0" fontId="24" fillId="23" borderId="35" xfId="0" applyFont="1" applyFill="1" applyBorder="1" applyAlignment="1" applyProtection="1">
      <alignment horizontal="center" vertical="center"/>
      <protection locked="0"/>
    </xf>
    <xf numFmtId="0" fontId="18" fillId="0" borderId="0" xfId="0" applyFont="1" applyAlignment="1" applyProtection="1">
      <alignment vertical="center"/>
      <protection hidden="1"/>
    </xf>
    <xf numFmtId="0" fontId="24" fillId="0" borderId="0" xfId="0" applyFont="1" applyAlignment="1" applyProtection="1">
      <alignment vertical="center"/>
      <protection hidden="1"/>
    </xf>
    <xf numFmtId="0" fontId="18" fillId="23" borderId="36" xfId="0" applyFont="1" applyFill="1" applyBorder="1" applyAlignment="1" applyProtection="1">
      <alignment horizontal="center"/>
      <protection locked="0"/>
    </xf>
    <xf numFmtId="0" fontId="18" fillId="3" borderId="37" xfId="0" applyFont="1" applyFill="1" applyBorder="1" applyProtection="1">
      <protection hidden="1"/>
    </xf>
    <xf numFmtId="0" fontId="18" fillId="0" borderId="23" xfId="0" applyFont="1" applyBorder="1" applyAlignment="1" applyProtection="1">
      <alignment horizontal="center" vertical="center" wrapText="1"/>
      <protection hidden="1"/>
    </xf>
    <xf numFmtId="0" fontId="18" fillId="24" borderId="23" xfId="0" applyFont="1" applyFill="1" applyBorder="1" applyAlignment="1" applyProtection="1">
      <alignment horizontal="center"/>
      <protection hidden="1"/>
    </xf>
    <xf numFmtId="0" fontId="18" fillId="0" borderId="24" xfId="0" applyFont="1" applyBorder="1" applyAlignment="1" applyProtection="1">
      <alignment vertical="center" wrapText="1"/>
      <protection hidden="1"/>
    </xf>
    <xf numFmtId="0" fontId="18" fillId="0" borderId="16" xfId="0" applyFont="1" applyBorder="1" applyAlignment="1" applyProtection="1">
      <alignment horizontal="left" vertical="top" wrapText="1"/>
      <protection hidden="1"/>
    </xf>
    <xf numFmtId="0" fontId="18" fillId="0" borderId="16" xfId="0" applyFont="1" applyBorder="1" applyAlignment="1" applyProtection="1">
      <alignment vertical="top" wrapText="1"/>
      <protection hidden="1"/>
    </xf>
    <xf numFmtId="0" fontId="24" fillId="0" borderId="0" xfId="0" applyFont="1" applyAlignment="1" applyProtection="1"/>
    <xf numFmtId="0" fontId="25" fillId="0" borderId="6" xfId="0" applyFont="1" applyBorder="1" applyProtection="1"/>
    <xf numFmtId="0" fontId="24" fillId="0" borderId="6" xfId="0" applyFont="1" applyBorder="1" applyProtection="1"/>
    <xf numFmtId="0" fontId="24" fillId="0" borderId="26" xfId="0" applyFont="1" applyBorder="1" applyAlignment="1" applyProtection="1">
      <alignment horizontal="center"/>
    </xf>
    <xf numFmtId="0" fontId="24" fillId="0" borderId="0" xfId="0" applyFont="1" applyBorder="1" applyAlignment="1" applyProtection="1">
      <alignment horizontal="center"/>
    </xf>
    <xf numFmtId="0" fontId="24" fillId="0" borderId="0" xfId="0" applyFont="1" applyFill="1" applyBorder="1" applyProtection="1"/>
    <xf numFmtId="0" fontId="19" fillId="20" borderId="6" xfId="0" applyFont="1" applyFill="1" applyBorder="1" applyAlignment="1" applyProtection="1">
      <alignment horizontal="center" vertical="center" wrapText="1"/>
    </xf>
    <xf numFmtId="0" fontId="18" fillId="14" borderId="26" xfId="0" applyFont="1" applyFill="1" applyBorder="1" applyAlignment="1" applyProtection="1">
      <alignment horizontal="center" vertical="center"/>
    </xf>
    <xf numFmtId="2" fontId="18" fillId="14" borderId="26" xfId="0" applyNumberFormat="1" applyFont="1" applyFill="1" applyBorder="1" applyAlignment="1" applyProtection="1">
      <alignment horizontal="center" vertical="center"/>
    </xf>
    <xf numFmtId="2" fontId="18" fillId="21" borderId="26" xfId="0" applyNumberFormat="1" applyFont="1" applyFill="1" applyBorder="1" applyAlignment="1" applyProtection="1">
      <alignment horizontal="center" vertical="center"/>
    </xf>
    <xf numFmtId="0" fontId="18" fillId="14" borderId="0" xfId="0" applyFont="1" applyFill="1" applyBorder="1" applyAlignment="1" applyProtection="1">
      <alignment horizontal="center" vertical="center"/>
    </xf>
    <xf numFmtId="2" fontId="18" fillId="14" borderId="0" xfId="0" applyNumberFormat="1" applyFont="1" applyFill="1" applyBorder="1" applyAlignment="1" applyProtection="1">
      <alignment horizontal="center" vertical="center"/>
    </xf>
    <xf numFmtId="2" fontId="18" fillId="21" borderId="0" xfId="0" applyNumberFormat="1" applyFont="1" applyFill="1" applyBorder="1" applyAlignment="1" applyProtection="1">
      <alignment horizontal="center" vertical="center"/>
    </xf>
    <xf numFmtId="0" fontId="24" fillId="0" borderId="28" xfId="0" applyFont="1" applyBorder="1" applyProtection="1"/>
    <xf numFmtId="0" fontId="18" fillId="14" borderId="28" xfId="0" applyFont="1" applyFill="1" applyBorder="1" applyAlignment="1" applyProtection="1">
      <alignment horizontal="center" vertical="center"/>
    </xf>
    <xf numFmtId="2" fontId="18" fillId="14" borderId="28" xfId="0" applyNumberFormat="1" applyFont="1" applyFill="1" applyBorder="1" applyAlignment="1" applyProtection="1">
      <alignment horizontal="center" vertical="center"/>
    </xf>
    <xf numFmtId="2" fontId="18" fillId="21" borderId="28" xfId="0" applyNumberFormat="1" applyFont="1" applyFill="1" applyBorder="1" applyAlignment="1" applyProtection="1">
      <alignment horizontal="center" vertical="center"/>
    </xf>
    <xf numFmtId="0" fontId="18" fillId="3" borderId="3" xfId="0" applyFont="1" applyFill="1" applyBorder="1" applyAlignment="1" applyProtection="1">
      <alignment vertical="center"/>
    </xf>
    <xf numFmtId="0" fontId="18" fillId="3" borderId="5" xfId="0" applyFont="1" applyFill="1" applyBorder="1" applyAlignment="1" applyProtection="1">
      <alignment horizontal="center" vertical="center"/>
      <protection locked="0"/>
    </xf>
    <xf numFmtId="0" fontId="18" fillId="3" borderId="1" xfId="0" applyFont="1" applyFill="1" applyBorder="1" applyAlignment="1" applyProtection="1">
      <alignment horizontal="center" vertical="center"/>
      <protection locked="0"/>
    </xf>
    <xf numFmtId="0" fontId="18" fillId="3" borderId="20" xfId="0" applyFont="1" applyFill="1" applyBorder="1" applyAlignment="1" applyProtection="1">
      <alignment horizontal="center" vertical="center"/>
      <protection locked="0"/>
    </xf>
    <xf numFmtId="0" fontId="18" fillId="3" borderId="11" xfId="0" applyFont="1" applyFill="1" applyBorder="1" applyAlignment="1" applyProtection="1">
      <alignment horizontal="center" vertical="center"/>
      <protection locked="0"/>
    </xf>
    <xf numFmtId="0" fontId="18" fillId="3" borderId="12" xfId="0" applyFont="1" applyFill="1" applyBorder="1" applyAlignment="1" applyProtection="1">
      <alignment horizontal="center" vertical="center"/>
      <protection locked="0"/>
    </xf>
    <xf numFmtId="0" fontId="18" fillId="3" borderId="13" xfId="0" applyFont="1" applyFill="1" applyBorder="1" applyAlignment="1" applyProtection="1">
      <alignment horizontal="center" vertical="center"/>
      <protection locked="0"/>
    </xf>
    <xf numFmtId="0" fontId="18" fillId="3" borderId="0" xfId="0" applyFont="1" applyFill="1" applyBorder="1" applyAlignment="1" applyProtection="1">
      <alignment horizontal="center" vertical="center"/>
      <protection locked="0"/>
    </xf>
    <xf numFmtId="0" fontId="18" fillId="3" borderId="21" xfId="0" applyFont="1" applyFill="1" applyBorder="1" applyAlignment="1" applyProtection="1">
      <alignment horizontal="center" vertical="center"/>
      <protection locked="0"/>
    </xf>
    <xf numFmtId="0" fontId="18" fillId="3" borderId="14" xfId="0" applyFont="1" applyFill="1" applyBorder="1" applyAlignment="1" applyProtection="1">
      <alignment horizontal="center" vertical="center"/>
      <protection locked="0"/>
    </xf>
    <xf numFmtId="0" fontId="18" fillId="3" borderId="15" xfId="0" applyFont="1" applyFill="1" applyBorder="1" applyAlignment="1" applyProtection="1">
      <alignment horizontal="center" vertical="center"/>
      <protection locked="0"/>
    </xf>
    <xf numFmtId="0" fontId="18" fillId="3" borderId="16" xfId="0" applyFont="1" applyFill="1" applyBorder="1" applyAlignment="1" applyProtection="1">
      <alignment horizontal="center" vertical="center"/>
      <protection locked="0"/>
    </xf>
    <xf numFmtId="0" fontId="18" fillId="2" borderId="2" xfId="0" applyFont="1" applyFill="1" applyBorder="1" applyAlignment="1" applyProtection="1">
      <alignment horizontal="center" vertical="center"/>
      <protection hidden="1"/>
    </xf>
    <xf numFmtId="0" fontId="18" fillId="2" borderId="2" xfId="0" applyFont="1" applyFill="1" applyBorder="1" applyAlignment="1" applyProtection="1">
      <alignment horizontal="center" vertical="center"/>
      <protection locked="0"/>
    </xf>
    <xf numFmtId="0" fontId="18" fillId="3" borderId="2" xfId="0" applyFont="1" applyFill="1" applyBorder="1" applyAlignment="1" applyProtection="1">
      <alignment horizontal="center" vertical="center"/>
      <protection hidden="1"/>
    </xf>
    <xf numFmtId="0" fontId="18" fillId="3" borderId="11" xfId="0" applyFont="1" applyFill="1" applyBorder="1" applyAlignment="1" applyProtection="1">
      <alignment horizontal="center" vertical="center"/>
    </xf>
    <xf numFmtId="0" fontId="18" fillId="3" borderId="12" xfId="0" applyFont="1" applyFill="1" applyBorder="1" applyAlignment="1" applyProtection="1">
      <alignment horizontal="center" vertical="center"/>
    </xf>
    <xf numFmtId="0" fontId="18" fillId="3" borderId="13" xfId="0" applyFont="1" applyFill="1" applyBorder="1" applyAlignment="1" applyProtection="1">
      <alignment horizontal="center" vertical="center"/>
    </xf>
    <xf numFmtId="0" fontId="18" fillId="3" borderId="20" xfId="0" applyFont="1" applyFill="1" applyBorder="1" applyAlignment="1" applyProtection="1">
      <alignment horizontal="center" vertical="center"/>
    </xf>
    <xf numFmtId="0" fontId="18" fillId="3" borderId="0" xfId="0" applyFont="1" applyFill="1" applyBorder="1" applyAlignment="1" applyProtection="1">
      <alignment horizontal="center" vertical="center"/>
    </xf>
    <xf numFmtId="0" fontId="18" fillId="3" borderId="21" xfId="0" applyFont="1" applyFill="1" applyBorder="1" applyAlignment="1" applyProtection="1">
      <alignment horizontal="center" vertical="center"/>
    </xf>
    <xf numFmtId="0" fontId="18" fillId="3" borderId="14" xfId="0" applyFont="1" applyFill="1" applyBorder="1" applyAlignment="1" applyProtection="1">
      <alignment horizontal="center" vertical="center"/>
    </xf>
    <xf numFmtId="0" fontId="18" fillId="3" borderId="15" xfId="0" applyFont="1" applyFill="1" applyBorder="1" applyAlignment="1" applyProtection="1">
      <alignment horizontal="center" vertical="center"/>
    </xf>
    <xf numFmtId="0" fontId="18" fillId="3" borderId="16" xfId="0" applyFont="1" applyFill="1" applyBorder="1" applyAlignment="1" applyProtection="1">
      <alignment horizontal="center" vertical="center"/>
    </xf>
    <xf numFmtId="0" fontId="18" fillId="3" borderId="2" xfId="0" applyFont="1" applyFill="1" applyBorder="1" applyAlignment="1" applyProtection="1">
      <alignment horizontal="center" vertical="center"/>
    </xf>
    <xf numFmtId="0" fontId="18" fillId="3" borderId="0" xfId="0" applyFont="1" applyFill="1" applyBorder="1" applyAlignment="1" applyProtection="1">
      <alignment vertical="center"/>
    </xf>
    <xf numFmtId="0" fontId="30" fillId="3" borderId="0" xfId="0" applyFont="1" applyFill="1" applyBorder="1" applyAlignment="1">
      <alignment horizontal="center" vertical="center"/>
    </xf>
    <xf numFmtId="0" fontId="0" fillId="0" borderId="0" xfId="0" applyBorder="1"/>
    <xf numFmtId="0" fontId="0" fillId="3" borderId="0" xfId="0" applyFill="1" applyBorder="1"/>
    <xf numFmtId="0" fontId="32" fillId="0" borderId="0" xfId="0" applyFont="1"/>
    <xf numFmtId="0" fontId="22" fillId="3" borderId="0" xfId="3" applyFont="1" applyFill="1" applyBorder="1" applyAlignment="1" applyProtection="1">
      <alignment vertical="center"/>
      <protection locked="0"/>
    </xf>
    <xf numFmtId="0" fontId="33" fillId="22" borderId="0" xfId="0" applyFont="1" applyFill="1" applyBorder="1" applyAlignment="1" applyProtection="1">
      <alignment horizontal="left" vertical="top"/>
      <protection hidden="1"/>
    </xf>
    <xf numFmtId="0" fontId="33" fillId="22" borderId="0" xfId="0" applyFont="1" applyFill="1" applyBorder="1" applyProtection="1">
      <protection hidden="1"/>
    </xf>
    <xf numFmtId="0" fontId="34" fillId="23" borderId="36" xfId="0" applyFont="1" applyFill="1" applyBorder="1" applyAlignment="1" applyProtection="1">
      <alignment horizontal="center"/>
      <protection locked="0"/>
    </xf>
    <xf numFmtId="0" fontId="34" fillId="3" borderId="36" xfId="0" applyFont="1" applyFill="1" applyBorder="1" applyProtection="1">
      <protection hidden="1"/>
    </xf>
    <xf numFmtId="0" fontId="34" fillId="0" borderId="36" xfId="0" applyFont="1" applyBorder="1" applyAlignment="1" applyProtection="1">
      <alignment horizontal="center" vertical="center" wrapText="1"/>
      <protection hidden="1"/>
    </xf>
    <xf numFmtId="0" fontId="34" fillId="24" borderId="36" xfId="0" applyFont="1" applyFill="1" applyBorder="1" applyAlignment="1" applyProtection="1">
      <alignment horizontal="center"/>
      <protection hidden="1"/>
    </xf>
    <xf numFmtId="0" fontId="34" fillId="0" borderId="10" xfId="0" applyFont="1" applyBorder="1" applyAlignment="1" applyProtection="1">
      <alignment vertical="center" wrapText="1"/>
      <protection hidden="1"/>
    </xf>
    <xf numFmtId="0" fontId="35" fillId="3" borderId="0" xfId="3" applyFont="1" applyFill="1" applyAlignment="1">
      <alignment horizontal="center" vertical="center"/>
    </xf>
    <xf numFmtId="0" fontId="4" fillId="3" borderId="0" xfId="3" applyFill="1" applyAlignment="1">
      <alignment horizontal="center" vertical="center"/>
    </xf>
    <xf numFmtId="0" fontId="32" fillId="0" borderId="0" xfId="0" applyFont="1" applyBorder="1" applyProtection="1">
      <protection hidden="1"/>
    </xf>
    <xf numFmtId="0" fontId="36" fillId="3" borderId="0" xfId="0" applyFont="1" applyFill="1" applyBorder="1" applyAlignment="1" applyProtection="1">
      <alignment horizontal="center" vertical="center"/>
      <protection locked="0"/>
    </xf>
    <xf numFmtId="0" fontId="34" fillId="3" borderId="0" xfId="0" applyFont="1" applyFill="1" applyBorder="1" applyAlignment="1" applyProtection="1">
      <alignment vertical="center" wrapText="1"/>
      <protection hidden="1"/>
    </xf>
    <xf numFmtId="0" fontId="34" fillId="3" borderId="0" xfId="0" applyFont="1" applyFill="1" applyBorder="1" applyAlignment="1" applyProtection="1">
      <alignment horizontal="center" vertical="center" wrapText="1"/>
      <protection hidden="1"/>
    </xf>
    <xf numFmtId="0" fontId="18" fillId="3" borderId="0" xfId="0" applyFont="1" applyFill="1" applyBorder="1"/>
    <xf numFmtId="0" fontId="32" fillId="0" borderId="0" xfId="0" applyFont="1" applyBorder="1"/>
    <xf numFmtId="0" fontId="15" fillId="19" borderId="0" xfId="0" applyFont="1" applyFill="1" applyAlignment="1">
      <alignment horizontal="center" vertical="center"/>
    </xf>
    <xf numFmtId="0" fontId="37" fillId="25" borderId="2" xfId="0" applyFont="1" applyFill="1" applyBorder="1" applyAlignment="1">
      <alignment vertical="center" wrapText="1"/>
    </xf>
    <xf numFmtId="0" fontId="11" fillId="25" borderId="2" xfId="0" applyFont="1" applyFill="1" applyBorder="1" applyAlignment="1">
      <alignment vertical="center" wrapText="1"/>
    </xf>
    <xf numFmtId="0" fontId="13" fillId="25" borderId="0" xfId="0" applyFont="1" applyFill="1" applyProtection="1"/>
    <xf numFmtId="0" fontId="4" fillId="25" borderId="0" xfId="3" applyFill="1" applyAlignment="1">
      <alignment horizontal="center" vertical="center"/>
    </xf>
    <xf numFmtId="0" fontId="39" fillId="3" borderId="0" xfId="3" applyFont="1" applyFill="1" applyBorder="1" applyAlignment="1" applyProtection="1">
      <alignment vertical="center"/>
      <protection locked="0"/>
    </xf>
    <xf numFmtId="0" fontId="18" fillId="0" borderId="2" xfId="0" applyFont="1" applyBorder="1" applyAlignment="1" applyProtection="1">
      <alignment horizontal="center" vertical="center"/>
      <protection locked="0"/>
    </xf>
    <xf numFmtId="1" fontId="18" fillId="3" borderId="2" xfId="0" applyNumberFormat="1" applyFont="1" applyFill="1" applyBorder="1" applyAlignment="1" applyProtection="1">
      <alignment horizontal="center" vertical="center"/>
      <protection locked="0"/>
    </xf>
    <xf numFmtId="2" fontId="18" fillId="3" borderId="0" xfId="0" applyNumberFormat="1" applyFont="1" applyFill="1" applyAlignment="1" applyProtection="1">
      <alignment horizontal="center" vertical="center"/>
      <protection locked="0"/>
    </xf>
    <xf numFmtId="2" fontId="18" fillId="3" borderId="2" xfId="0" applyNumberFormat="1" applyFont="1" applyFill="1" applyBorder="1" applyAlignment="1" applyProtection="1">
      <alignment horizontal="center" vertical="center"/>
      <protection locked="0"/>
    </xf>
    <xf numFmtId="165" fontId="18" fillId="3" borderId="2" xfId="0" applyNumberFormat="1" applyFont="1" applyFill="1" applyBorder="1" applyAlignment="1" applyProtection="1">
      <alignment horizontal="center" vertical="center"/>
      <protection locked="0"/>
    </xf>
    <xf numFmtId="164" fontId="18" fillId="3" borderId="2" xfId="1" applyNumberFormat="1" applyFont="1" applyFill="1" applyBorder="1" applyAlignment="1" applyProtection="1">
      <alignment horizontal="center" vertical="center"/>
      <protection locked="0"/>
    </xf>
    <xf numFmtId="164" fontId="18" fillId="3" borderId="2" xfId="0" applyNumberFormat="1" applyFont="1" applyFill="1" applyBorder="1" applyAlignment="1" applyProtection="1">
      <alignment horizontal="center" vertical="center"/>
      <protection locked="0"/>
    </xf>
    <xf numFmtId="0" fontId="17" fillId="3" borderId="0" xfId="0" applyFont="1" applyFill="1" applyAlignment="1" applyProtection="1">
      <alignment horizontal="center" vertical="center"/>
      <protection locked="0"/>
    </xf>
    <xf numFmtId="166" fontId="19" fillId="3" borderId="0" xfId="0" applyNumberFormat="1" applyFont="1" applyFill="1" applyAlignment="1" applyProtection="1">
      <alignment horizontal="center" vertical="center"/>
      <protection locked="0"/>
    </xf>
    <xf numFmtId="44" fontId="18" fillId="3" borderId="12" xfId="4" applyFont="1" applyFill="1" applyBorder="1" applyAlignment="1" applyProtection="1">
      <alignment vertical="center"/>
      <protection locked="0"/>
    </xf>
    <xf numFmtId="166" fontId="17" fillId="3" borderId="0" xfId="0" applyNumberFormat="1" applyFont="1" applyFill="1" applyAlignment="1" applyProtection="1">
      <alignment horizontal="center" vertical="center"/>
      <protection locked="0"/>
    </xf>
    <xf numFmtId="2" fontId="19" fillId="3" borderId="0" xfId="0" applyNumberFormat="1" applyFont="1" applyFill="1" applyAlignment="1" applyProtection="1">
      <alignment horizontal="center" vertical="center"/>
      <protection locked="0"/>
    </xf>
    <xf numFmtId="44" fontId="18" fillId="3" borderId="0" xfId="4" applyFont="1" applyFill="1" applyBorder="1" applyAlignment="1" applyProtection="1">
      <alignment vertical="center"/>
      <protection locked="0"/>
    </xf>
    <xf numFmtId="0" fontId="18" fillId="17" borderId="2" xfId="0" applyFont="1" applyFill="1" applyBorder="1" applyAlignment="1" applyProtection="1">
      <alignment horizontal="center" vertical="center"/>
      <protection locked="0"/>
    </xf>
    <xf numFmtId="9" fontId="18" fillId="3" borderId="2" xfId="0" applyNumberFormat="1" applyFont="1" applyFill="1" applyBorder="1" applyAlignment="1" applyProtection="1">
      <alignment horizontal="center" vertical="center"/>
      <protection locked="0"/>
    </xf>
    <xf numFmtId="0" fontId="18" fillId="7" borderId="2" xfId="0" applyFont="1" applyFill="1" applyBorder="1" applyAlignment="1">
      <alignment horizontal="center" vertical="center"/>
    </xf>
    <xf numFmtId="44" fontId="18" fillId="7" borderId="2" xfId="4" applyFont="1" applyFill="1" applyBorder="1" applyAlignment="1">
      <alignment horizontal="center" vertical="center"/>
    </xf>
    <xf numFmtId="164" fontId="19" fillId="3" borderId="2" xfId="0" applyNumberFormat="1" applyFont="1" applyFill="1" applyBorder="1" applyAlignment="1" applyProtection="1">
      <alignment horizontal="center" vertical="center"/>
      <protection locked="0"/>
    </xf>
    <xf numFmtId="0" fontId="18" fillId="17" borderId="0" xfId="0" applyFont="1" applyFill="1" applyAlignment="1" applyProtection="1">
      <alignment horizontal="center" vertical="center"/>
      <protection locked="0"/>
    </xf>
    <xf numFmtId="0" fontId="18" fillId="5" borderId="2" xfId="0" applyFont="1" applyFill="1" applyBorder="1" applyAlignment="1">
      <alignment horizontal="center" vertical="center"/>
    </xf>
    <xf numFmtId="44" fontId="18" fillId="5" borderId="2" xfId="4" applyFont="1" applyFill="1" applyBorder="1" applyAlignment="1">
      <alignment horizontal="center" vertical="center"/>
    </xf>
    <xf numFmtId="1" fontId="18" fillId="3" borderId="0" xfId="0" applyNumberFormat="1" applyFont="1" applyFill="1" applyAlignment="1" applyProtection="1">
      <alignment horizontal="center" vertical="center"/>
      <protection locked="0"/>
    </xf>
    <xf numFmtId="0" fontId="21" fillId="3" borderId="0" xfId="0" applyFont="1" applyFill="1" applyAlignment="1" applyProtection="1">
      <alignment horizontal="center" vertical="center"/>
      <protection locked="0"/>
    </xf>
    <xf numFmtId="0" fontId="17" fillId="3" borderId="15" xfId="0" applyFont="1" applyFill="1" applyBorder="1" applyAlignment="1" applyProtection="1">
      <alignment horizontal="center" vertical="center"/>
      <protection locked="0"/>
    </xf>
    <xf numFmtId="1" fontId="17" fillId="3" borderId="15" xfId="0" applyNumberFormat="1" applyFont="1" applyFill="1" applyBorder="1" applyAlignment="1" applyProtection="1">
      <alignment horizontal="center" vertical="center"/>
      <protection locked="0"/>
    </xf>
    <xf numFmtId="43" fontId="19" fillId="3" borderId="0" xfId="1" applyFont="1" applyFill="1" applyAlignment="1" applyProtection="1">
      <alignment horizontal="center" vertical="center"/>
      <protection locked="0"/>
    </xf>
    <xf numFmtId="166" fontId="17" fillId="3" borderId="0" xfId="0" applyNumberFormat="1" applyFont="1" applyFill="1" applyBorder="1" applyAlignment="1" applyProtection="1">
      <alignment horizontal="center" vertical="center"/>
      <protection locked="0"/>
    </xf>
    <xf numFmtId="43" fontId="19" fillId="3" borderId="0" xfId="1" applyNumberFormat="1" applyFont="1" applyFill="1" applyAlignment="1" applyProtection="1">
      <alignment horizontal="center" vertical="center"/>
      <protection locked="0"/>
    </xf>
    <xf numFmtId="43" fontId="19" fillId="3" borderId="0" xfId="1" applyNumberFormat="1" applyFont="1" applyFill="1" applyBorder="1" applyAlignment="1" applyProtection="1">
      <alignment horizontal="center" vertical="center"/>
      <protection locked="0"/>
    </xf>
    <xf numFmtId="2" fontId="18" fillId="17" borderId="2" xfId="0" applyNumberFormat="1" applyFont="1" applyFill="1" applyBorder="1" applyAlignment="1" applyProtection="1">
      <alignment horizontal="center" vertical="center"/>
      <protection locked="0"/>
    </xf>
    <xf numFmtId="43" fontId="18" fillId="3" borderId="0" xfId="0" applyNumberFormat="1" applyFont="1" applyFill="1" applyAlignment="1" applyProtection="1">
      <alignment horizontal="center" vertical="center"/>
      <protection locked="0"/>
    </xf>
    <xf numFmtId="0" fontId="18" fillId="2" borderId="2" xfId="0" applyFont="1" applyFill="1" applyBorder="1" applyAlignment="1" applyProtection="1">
      <alignment horizontal="center" vertical="center" wrapText="1"/>
      <protection locked="0"/>
    </xf>
    <xf numFmtId="2" fontId="17" fillId="3" borderId="0" xfId="0" applyNumberFormat="1" applyFont="1" applyFill="1" applyBorder="1" applyAlignment="1" applyProtection="1">
      <alignment horizontal="center" vertical="center"/>
      <protection locked="0"/>
    </xf>
    <xf numFmtId="0" fontId="19" fillId="11" borderId="2" xfId="0" applyFont="1" applyFill="1" applyBorder="1" applyAlignment="1" applyProtection="1">
      <alignment horizontal="center" vertical="center" wrapText="1"/>
      <protection locked="0"/>
    </xf>
    <xf numFmtId="0" fontId="18" fillId="14" borderId="2" xfId="0" applyFont="1" applyFill="1" applyBorder="1" applyAlignment="1" applyProtection="1">
      <alignment horizontal="center" vertical="center"/>
      <protection locked="0"/>
    </xf>
    <xf numFmtId="0" fontId="19" fillId="15" borderId="2" xfId="0" applyFont="1" applyFill="1" applyBorder="1" applyAlignment="1" applyProtection="1">
      <alignment horizontal="center" vertical="center" wrapText="1"/>
      <protection locked="0"/>
    </xf>
    <xf numFmtId="0" fontId="18" fillId="8" borderId="2" xfId="0" applyFont="1" applyFill="1" applyBorder="1" applyAlignment="1" applyProtection="1">
      <alignment horizontal="center" vertical="center"/>
      <protection locked="0"/>
    </xf>
    <xf numFmtId="0" fontId="19" fillId="16" borderId="2" xfId="0" applyFont="1" applyFill="1" applyBorder="1" applyAlignment="1" applyProtection="1">
      <alignment horizontal="center" vertical="center" wrapText="1"/>
      <protection locked="0"/>
    </xf>
    <xf numFmtId="166" fontId="18" fillId="3" borderId="0" xfId="0" applyNumberFormat="1" applyFont="1" applyFill="1" applyAlignment="1" applyProtection="1">
      <alignment horizontal="center" vertical="center"/>
      <protection locked="0"/>
    </xf>
    <xf numFmtId="0" fontId="18" fillId="13" borderId="2" xfId="0" applyFont="1" applyFill="1" applyBorder="1" applyAlignment="1" applyProtection="1">
      <alignment horizontal="center" vertical="center"/>
      <protection locked="0"/>
    </xf>
    <xf numFmtId="2" fontId="18" fillId="13" borderId="2" xfId="0" applyNumberFormat="1" applyFont="1" applyFill="1" applyBorder="1" applyAlignment="1" applyProtection="1">
      <alignment horizontal="center" vertical="center"/>
      <protection locked="0"/>
    </xf>
    <xf numFmtId="166" fontId="18" fillId="3" borderId="0" xfId="0" applyNumberFormat="1" applyFont="1" applyFill="1" applyBorder="1" applyAlignment="1" applyProtection="1">
      <alignment horizontal="center" vertical="center"/>
      <protection locked="0"/>
    </xf>
    <xf numFmtId="0" fontId="18" fillId="12" borderId="2" xfId="0" applyFont="1" applyFill="1" applyBorder="1" applyAlignment="1" applyProtection="1">
      <alignment horizontal="center" vertical="center"/>
      <protection locked="0"/>
    </xf>
    <xf numFmtId="2" fontId="18" fillId="6" borderId="2" xfId="0" applyNumberFormat="1" applyFont="1" applyFill="1" applyBorder="1" applyAlignment="1" applyProtection="1">
      <alignment horizontal="center" vertical="center"/>
      <protection locked="0"/>
    </xf>
    <xf numFmtId="0" fontId="19" fillId="9" borderId="2" xfId="0" applyFont="1" applyFill="1" applyBorder="1" applyAlignment="1" applyProtection="1">
      <alignment horizontal="center" vertical="center" wrapText="1"/>
      <protection locked="0"/>
    </xf>
    <xf numFmtId="0" fontId="18" fillId="7" borderId="2" xfId="0" applyFont="1" applyFill="1" applyBorder="1" applyAlignment="1" applyProtection="1">
      <alignment horizontal="center" vertical="center"/>
      <protection locked="0"/>
    </xf>
    <xf numFmtId="0" fontId="19" fillId="3" borderId="0" xfId="0" applyFont="1" applyFill="1" applyBorder="1" applyAlignment="1" applyProtection="1">
      <alignment vertical="center"/>
      <protection locked="0"/>
    </xf>
    <xf numFmtId="0" fontId="18" fillId="3" borderId="0" xfId="0" applyFont="1" applyFill="1" applyAlignment="1" applyProtection="1">
      <alignment vertical="center"/>
      <protection locked="0"/>
    </xf>
    <xf numFmtId="0" fontId="18" fillId="3" borderId="20" xfId="0" applyFont="1" applyFill="1" applyBorder="1" applyAlignment="1" applyProtection="1">
      <alignment vertical="center" wrapText="1"/>
      <protection locked="0"/>
    </xf>
    <xf numFmtId="0" fontId="18" fillId="3" borderId="0" xfId="0" applyFont="1" applyFill="1" applyBorder="1" applyAlignment="1" applyProtection="1">
      <alignment vertical="center" wrapText="1"/>
      <protection locked="0"/>
    </xf>
    <xf numFmtId="44" fontId="18" fillId="12" borderId="2" xfId="4" applyFont="1" applyFill="1" applyBorder="1" applyAlignment="1" applyProtection="1">
      <alignment horizontal="center" vertical="center"/>
      <protection locked="0"/>
    </xf>
    <xf numFmtId="44" fontId="18" fillId="3" borderId="21" xfId="0" applyNumberFormat="1" applyFont="1" applyFill="1" applyBorder="1" applyAlignment="1" applyProtection="1">
      <alignment vertical="center"/>
      <protection locked="0"/>
    </xf>
    <xf numFmtId="0" fontId="41" fillId="9" borderId="0" xfId="0" applyFont="1" applyFill="1" applyBorder="1" applyAlignment="1">
      <alignment vertical="center" wrapText="1"/>
    </xf>
    <xf numFmtId="0" fontId="41" fillId="9" borderId="0" xfId="0" applyFont="1" applyFill="1" applyBorder="1" applyAlignment="1">
      <alignment horizontal="center" vertical="center" wrapText="1"/>
    </xf>
    <xf numFmtId="0" fontId="41" fillId="9" borderId="2" xfId="0" applyFont="1" applyFill="1" applyBorder="1" applyAlignment="1">
      <alignment horizontal="center" vertical="center" wrapText="1"/>
    </xf>
    <xf numFmtId="0" fontId="13" fillId="6" borderId="2" xfId="0" applyFont="1" applyFill="1" applyBorder="1" applyAlignment="1">
      <alignment horizontal="center" vertical="center"/>
    </xf>
    <xf numFmtId="0" fontId="42" fillId="7" borderId="2" xfId="0" applyFont="1" applyFill="1" applyBorder="1" applyAlignment="1">
      <alignment horizontal="center" vertical="center"/>
    </xf>
    <xf numFmtId="164" fontId="42" fillId="7" borderId="2" xfId="0" applyNumberFormat="1" applyFont="1" applyFill="1" applyBorder="1" applyAlignment="1">
      <alignment horizontal="center" vertical="center"/>
    </xf>
    <xf numFmtId="164" fontId="42" fillId="5" borderId="0" xfId="0" applyNumberFormat="1" applyFont="1" applyFill="1" applyBorder="1" applyAlignment="1">
      <alignment horizontal="center" vertical="center"/>
    </xf>
    <xf numFmtId="0" fontId="13" fillId="3" borderId="0" xfId="0" applyFont="1" applyFill="1" applyBorder="1"/>
    <xf numFmtId="164" fontId="13" fillId="3" borderId="0" xfId="0" applyNumberFormat="1" applyFont="1" applyFill="1"/>
    <xf numFmtId="0" fontId="10" fillId="19" borderId="0" xfId="3" applyFont="1" applyFill="1" applyAlignment="1" applyProtection="1">
      <alignment horizontal="left"/>
      <protection locked="0"/>
    </xf>
    <xf numFmtId="0" fontId="9" fillId="19" borderId="0" xfId="3" applyFont="1" applyFill="1" applyAlignment="1" applyProtection="1">
      <alignment horizontal="center"/>
      <protection locked="0"/>
    </xf>
    <xf numFmtId="0" fontId="9" fillId="19" borderId="0" xfId="3" applyFont="1" applyFill="1" applyAlignment="1" applyProtection="1">
      <alignment horizontal="center" wrapText="1"/>
      <protection locked="0"/>
    </xf>
    <xf numFmtId="0" fontId="12" fillId="19" borderId="0" xfId="0" applyFont="1" applyFill="1" applyAlignment="1" applyProtection="1">
      <alignment horizontal="left"/>
    </xf>
    <xf numFmtId="0" fontId="1" fillId="19" borderId="20" xfId="0" applyFont="1" applyFill="1" applyBorder="1" applyAlignment="1" applyProtection="1">
      <alignment horizontal="left" vertical="center" indent="6"/>
    </xf>
    <xf numFmtId="0" fontId="1" fillId="19" borderId="0" xfId="0" applyFont="1" applyFill="1" applyBorder="1" applyAlignment="1" applyProtection="1">
      <alignment horizontal="left" vertical="center" indent="6"/>
    </xf>
    <xf numFmtId="0" fontId="1" fillId="19" borderId="20" xfId="0" applyFont="1" applyFill="1" applyBorder="1" applyAlignment="1" applyProtection="1">
      <alignment horizontal="left" vertical="center" wrapText="1" indent="6"/>
    </xf>
    <xf numFmtId="0" fontId="1" fillId="19" borderId="0" xfId="0" applyFont="1" applyFill="1" applyBorder="1" applyAlignment="1" applyProtection="1">
      <alignment horizontal="left" vertical="center" wrapText="1" indent="6"/>
    </xf>
    <xf numFmtId="0" fontId="11" fillId="19" borderId="0" xfId="0" applyFont="1" applyFill="1" applyAlignment="1" applyProtection="1">
      <alignment horizontal="center"/>
    </xf>
    <xf numFmtId="0" fontId="1" fillId="19" borderId="20" xfId="0" applyFont="1" applyFill="1" applyBorder="1" applyAlignment="1" applyProtection="1">
      <alignment horizontal="center" vertical="center" wrapText="1"/>
    </xf>
    <xf numFmtId="0" fontId="1" fillId="19" borderId="0" xfId="0" applyFont="1" applyFill="1" applyBorder="1" applyAlignment="1" applyProtection="1">
      <alignment horizontal="center" vertical="center" wrapText="1"/>
    </xf>
    <xf numFmtId="0" fontId="1" fillId="19" borderId="20" xfId="0" applyFont="1" applyFill="1" applyBorder="1" applyAlignment="1" applyProtection="1">
      <alignment horizontal="left" vertical="center"/>
    </xf>
    <xf numFmtId="0" fontId="1" fillId="19" borderId="0" xfId="0" applyFont="1" applyFill="1" applyBorder="1" applyAlignment="1" applyProtection="1">
      <alignment horizontal="left" vertical="center"/>
    </xf>
    <xf numFmtId="0" fontId="1" fillId="19" borderId="20" xfId="0" applyFont="1" applyFill="1" applyBorder="1" applyAlignment="1" applyProtection="1">
      <alignment horizontal="center"/>
    </xf>
    <xf numFmtId="0" fontId="1" fillId="19" borderId="0" xfId="0" applyFont="1" applyFill="1" applyBorder="1" applyAlignment="1" applyProtection="1">
      <alignment horizontal="center"/>
    </xf>
    <xf numFmtId="0" fontId="14" fillId="19" borderId="0" xfId="3" applyFont="1" applyFill="1" applyBorder="1" applyAlignment="1" applyProtection="1">
      <alignment horizontal="center"/>
      <protection locked="0"/>
    </xf>
    <xf numFmtId="0" fontId="14" fillId="19" borderId="0" xfId="3" applyFont="1" applyFill="1" applyAlignment="1" applyProtection="1">
      <alignment horizontal="center"/>
      <protection locked="0"/>
    </xf>
    <xf numFmtId="0" fontId="13" fillId="19" borderId="0" xfId="0" applyFont="1" applyFill="1" applyAlignment="1" applyProtection="1">
      <alignment horizontal="left"/>
    </xf>
    <xf numFmtId="0" fontId="14" fillId="19" borderId="15" xfId="3" applyFont="1" applyFill="1" applyBorder="1" applyAlignment="1" applyProtection="1">
      <alignment horizontal="center"/>
      <protection locked="0"/>
    </xf>
    <xf numFmtId="0" fontId="19" fillId="6" borderId="2" xfId="0" applyFont="1" applyFill="1" applyBorder="1" applyAlignment="1" applyProtection="1">
      <alignment horizontal="center" vertical="center"/>
    </xf>
    <xf numFmtId="0" fontId="19" fillId="9" borderId="2" xfId="0" applyFont="1" applyFill="1" applyBorder="1" applyAlignment="1" applyProtection="1">
      <alignment horizontal="center" vertical="center" wrapText="1"/>
    </xf>
    <xf numFmtId="0" fontId="19" fillId="6" borderId="2" xfId="0" applyFont="1" applyFill="1" applyBorder="1" applyAlignment="1" applyProtection="1">
      <alignment horizontal="center" vertical="center" wrapText="1"/>
    </xf>
    <xf numFmtId="0" fontId="19" fillId="3" borderId="2" xfId="0" applyFont="1" applyFill="1" applyBorder="1" applyAlignment="1" applyProtection="1">
      <alignment horizontal="center" vertical="center" wrapText="1"/>
    </xf>
    <xf numFmtId="0" fontId="19" fillId="11" borderId="2" xfId="0" applyFont="1" applyFill="1" applyBorder="1" applyAlignment="1" applyProtection="1">
      <alignment horizontal="center" vertical="center" wrapText="1"/>
    </xf>
    <xf numFmtId="0" fontId="19" fillId="10" borderId="2" xfId="0" applyFont="1" applyFill="1" applyBorder="1" applyAlignment="1" applyProtection="1">
      <alignment horizontal="center" vertical="center" wrapText="1"/>
    </xf>
    <xf numFmtId="0" fontId="22" fillId="12" borderId="0" xfId="3" applyFont="1" applyFill="1" applyBorder="1" applyAlignment="1" applyProtection="1">
      <alignment horizontal="center" vertical="center"/>
      <protection locked="0"/>
    </xf>
    <xf numFmtId="0" fontId="19" fillId="15" borderId="2" xfId="0" applyFont="1" applyFill="1" applyBorder="1" applyAlignment="1" applyProtection="1">
      <alignment horizontal="center" vertical="center" wrapText="1"/>
    </xf>
    <xf numFmtId="0" fontId="19" fillId="10" borderId="22" xfId="0" applyFont="1" applyFill="1" applyBorder="1" applyAlignment="1" applyProtection="1">
      <alignment horizontal="center" vertical="center"/>
    </xf>
    <xf numFmtId="0" fontId="19" fillId="10" borderId="23" xfId="0" applyFont="1" applyFill="1" applyBorder="1" applyAlignment="1" applyProtection="1">
      <alignment horizontal="center" vertical="center"/>
    </xf>
    <xf numFmtId="0" fontId="19" fillId="10" borderId="24" xfId="0" applyFont="1" applyFill="1" applyBorder="1" applyAlignment="1" applyProtection="1">
      <alignment horizontal="center" vertical="center"/>
    </xf>
    <xf numFmtId="0" fontId="16" fillId="12" borderId="0" xfId="3" applyFont="1" applyFill="1" applyBorder="1" applyAlignment="1" applyProtection="1">
      <alignment horizontal="center" vertical="center"/>
      <protection locked="0"/>
    </xf>
    <xf numFmtId="0" fontId="18" fillId="3" borderId="5" xfId="0" applyFont="1" applyFill="1" applyBorder="1" applyAlignment="1" applyProtection="1">
      <alignment horizontal="center" vertical="center"/>
      <protection locked="0"/>
    </xf>
    <xf numFmtId="0" fontId="18" fillId="3" borderId="6" xfId="0" applyFont="1" applyFill="1" applyBorder="1" applyAlignment="1" applyProtection="1">
      <alignment horizontal="center" vertical="center"/>
      <protection locked="0"/>
    </xf>
    <xf numFmtId="0" fontId="18" fillId="3" borderId="1" xfId="0" applyFont="1" applyFill="1" applyBorder="1" applyAlignment="1" applyProtection="1">
      <alignment horizontal="center" vertical="center"/>
      <protection locked="0"/>
    </xf>
    <xf numFmtId="0" fontId="19" fillId="10" borderId="8" xfId="0" applyFont="1" applyFill="1" applyBorder="1" applyAlignment="1" applyProtection="1">
      <alignment horizontal="center" vertical="center"/>
    </xf>
    <xf numFmtId="0" fontId="19" fillId="10" borderId="9" xfId="0" applyFont="1" applyFill="1" applyBorder="1" applyAlignment="1" applyProtection="1">
      <alignment horizontal="center" vertical="center"/>
    </xf>
    <xf numFmtId="0" fontId="19" fillId="10" borderId="10" xfId="0" applyFont="1" applyFill="1" applyBorder="1" applyAlignment="1" applyProtection="1">
      <alignment horizontal="center" vertical="center"/>
    </xf>
    <xf numFmtId="0" fontId="15" fillId="0" borderId="12" xfId="0" applyFont="1" applyBorder="1" applyAlignment="1" applyProtection="1">
      <alignment horizontal="justify" vertical="top" wrapText="1"/>
    </xf>
    <xf numFmtId="0" fontId="15" fillId="0" borderId="0" xfId="0" applyFont="1" applyAlignment="1" applyProtection="1">
      <alignment horizontal="justify" vertical="top" wrapText="1"/>
    </xf>
    <xf numFmtId="0" fontId="15" fillId="0" borderId="15" xfId="0" applyFont="1" applyBorder="1" applyAlignment="1" applyProtection="1">
      <alignment horizontal="justify" vertical="top" wrapText="1"/>
    </xf>
    <xf numFmtId="0" fontId="18" fillId="3" borderId="11" xfId="0" applyFont="1" applyFill="1" applyBorder="1" applyAlignment="1" applyProtection="1">
      <alignment horizontal="center" vertical="center"/>
    </xf>
    <xf numFmtId="0" fontId="18" fillId="3" borderId="12" xfId="0" applyFont="1" applyFill="1" applyBorder="1" applyAlignment="1" applyProtection="1">
      <alignment horizontal="center" vertical="center"/>
    </xf>
    <xf numFmtId="0" fontId="18" fillId="3" borderId="13" xfId="0" applyFont="1" applyFill="1" applyBorder="1" applyAlignment="1" applyProtection="1">
      <alignment horizontal="center" vertical="center"/>
    </xf>
    <xf numFmtId="0" fontId="18" fillId="3" borderId="20" xfId="0" applyFont="1" applyFill="1" applyBorder="1" applyAlignment="1" applyProtection="1">
      <alignment horizontal="center" vertical="center"/>
    </xf>
    <xf numFmtId="0" fontId="18" fillId="3" borderId="0" xfId="0" applyFont="1" applyFill="1" applyBorder="1" applyAlignment="1" applyProtection="1">
      <alignment horizontal="center" vertical="center"/>
    </xf>
    <xf numFmtId="0" fontId="18" fillId="3" borderId="21" xfId="0" applyFont="1" applyFill="1" applyBorder="1" applyAlignment="1" applyProtection="1">
      <alignment horizontal="center" vertical="center"/>
    </xf>
    <xf numFmtId="0" fontId="18" fillId="3" borderId="14" xfId="0" applyFont="1" applyFill="1" applyBorder="1" applyAlignment="1" applyProtection="1">
      <alignment horizontal="center" vertical="center"/>
    </xf>
    <xf numFmtId="0" fontId="18" fillId="3" borderId="15" xfId="0" applyFont="1" applyFill="1" applyBorder="1" applyAlignment="1" applyProtection="1">
      <alignment horizontal="center" vertical="center"/>
    </xf>
    <xf numFmtId="0" fontId="18" fillId="3" borderId="16" xfId="0" applyFont="1" applyFill="1" applyBorder="1" applyAlignment="1" applyProtection="1">
      <alignment horizontal="center" vertical="center"/>
    </xf>
    <xf numFmtId="0" fontId="18" fillId="3" borderId="4" xfId="0" applyFont="1" applyFill="1" applyBorder="1" applyAlignment="1" applyProtection="1">
      <alignment horizontal="center" vertical="center"/>
    </xf>
    <xf numFmtId="0" fontId="18" fillId="3" borderId="17" xfId="0" applyFont="1" applyFill="1" applyBorder="1" applyAlignment="1" applyProtection="1">
      <alignment horizontal="center" vertical="center"/>
    </xf>
    <xf numFmtId="0" fontId="24" fillId="3" borderId="0" xfId="0" applyFont="1" applyFill="1" applyAlignment="1">
      <alignment horizontal="center" vertical="top" wrapText="1"/>
    </xf>
    <xf numFmtId="165" fontId="19" fillId="10" borderId="8" xfId="0" applyNumberFormat="1" applyFont="1" applyFill="1" applyBorder="1" applyAlignment="1" applyProtection="1">
      <alignment horizontal="center" vertical="center"/>
      <protection locked="0"/>
    </xf>
    <xf numFmtId="165" fontId="19" fillId="10" borderId="9" xfId="0" applyNumberFormat="1" applyFont="1" applyFill="1" applyBorder="1" applyAlignment="1" applyProtection="1">
      <alignment horizontal="center" vertical="center"/>
      <protection locked="0"/>
    </xf>
    <xf numFmtId="165" fontId="19" fillId="10" borderId="10" xfId="0" applyNumberFormat="1" applyFont="1" applyFill="1" applyBorder="1" applyAlignment="1" applyProtection="1">
      <alignment horizontal="center" vertical="center"/>
      <protection locked="0"/>
    </xf>
    <xf numFmtId="0" fontId="18" fillId="3" borderId="20" xfId="0" applyFont="1" applyFill="1" applyBorder="1" applyAlignment="1" applyProtection="1">
      <alignment horizontal="center" vertical="center"/>
      <protection locked="0"/>
    </xf>
    <xf numFmtId="0" fontId="24" fillId="3" borderId="12" xfId="0" applyFont="1" applyFill="1" applyBorder="1" applyAlignment="1">
      <alignment horizontal="left" vertical="top" wrapText="1" indent="6"/>
    </xf>
    <xf numFmtId="0" fontId="24" fillId="3" borderId="0" xfId="0" applyFont="1" applyFill="1" applyBorder="1" applyAlignment="1">
      <alignment horizontal="left" vertical="top" wrapText="1" indent="6"/>
    </xf>
    <xf numFmtId="0" fontId="18" fillId="3" borderId="22" xfId="0" applyFont="1" applyFill="1" applyBorder="1" applyAlignment="1" applyProtection="1">
      <alignment horizontal="center" vertical="center"/>
      <protection locked="0"/>
    </xf>
    <xf numFmtId="0" fontId="18" fillId="3" borderId="23" xfId="0" applyFont="1" applyFill="1" applyBorder="1" applyAlignment="1" applyProtection="1">
      <alignment horizontal="center" vertical="center"/>
      <protection locked="0"/>
    </xf>
    <xf numFmtId="0" fontId="18" fillId="3" borderId="39" xfId="0" applyFont="1" applyFill="1" applyBorder="1" applyAlignment="1" applyProtection="1">
      <alignment horizontal="center" vertical="center"/>
      <protection locked="0"/>
    </xf>
    <xf numFmtId="0" fontId="18" fillId="3" borderId="24" xfId="0" applyFont="1" applyFill="1" applyBorder="1" applyAlignment="1" applyProtection="1">
      <alignment horizontal="center" vertical="center"/>
      <protection locked="0"/>
    </xf>
    <xf numFmtId="0" fontId="19" fillId="10" borderId="22" xfId="0" applyFont="1" applyFill="1" applyBorder="1" applyAlignment="1" applyProtection="1">
      <alignment horizontal="center" vertical="center"/>
      <protection locked="0"/>
    </xf>
    <xf numFmtId="0" fontId="19" fillId="10" borderId="23" xfId="0" applyFont="1" applyFill="1" applyBorder="1" applyAlignment="1" applyProtection="1">
      <alignment horizontal="center" vertical="center"/>
      <protection locked="0"/>
    </xf>
    <xf numFmtId="0" fontId="19" fillId="10" borderId="24" xfId="0" applyFont="1" applyFill="1" applyBorder="1" applyAlignment="1" applyProtection="1">
      <alignment horizontal="center" vertical="center"/>
      <protection locked="0"/>
    </xf>
    <xf numFmtId="0" fontId="24" fillId="3" borderId="0" xfId="0" applyFont="1" applyFill="1" applyAlignment="1">
      <alignment horizontal="left" vertical="top" wrapText="1" indent="6"/>
    </xf>
    <xf numFmtId="0" fontId="24" fillId="3" borderId="15" xfId="0" applyFont="1" applyFill="1" applyBorder="1" applyAlignment="1">
      <alignment horizontal="left" vertical="top" wrapText="1" indent="6"/>
    </xf>
    <xf numFmtId="0" fontId="18" fillId="3" borderId="11" xfId="0" applyFont="1" applyFill="1" applyBorder="1" applyAlignment="1" applyProtection="1">
      <alignment horizontal="center" vertical="center"/>
      <protection locked="0"/>
    </xf>
    <xf numFmtId="0" fontId="18" fillId="3" borderId="12" xfId="0" applyFont="1" applyFill="1" applyBorder="1" applyAlignment="1" applyProtection="1">
      <alignment horizontal="center" vertical="center"/>
      <protection locked="0"/>
    </xf>
    <xf numFmtId="0" fontId="18" fillId="3" borderId="13" xfId="0" applyFont="1" applyFill="1" applyBorder="1" applyAlignment="1" applyProtection="1">
      <alignment horizontal="center" vertical="center"/>
      <protection locked="0"/>
    </xf>
    <xf numFmtId="0" fontId="18" fillId="3" borderId="0" xfId="0" applyFont="1" applyFill="1" applyBorder="1" applyAlignment="1" applyProtection="1">
      <alignment horizontal="center" vertical="center"/>
      <protection locked="0"/>
    </xf>
    <xf numFmtId="0" fontId="18" fillId="3" borderId="21" xfId="0" applyFont="1" applyFill="1" applyBorder="1" applyAlignment="1" applyProtection="1">
      <alignment horizontal="center" vertical="center"/>
      <protection locked="0"/>
    </xf>
    <xf numFmtId="0" fontId="18" fillId="3" borderId="14" xfId="0" applyFont="1" applyFill="1" applyBorder="1" applyAlignment="1" applyProtection="1">
      <alignment horizontal="center" vertical="center"/>
      <protection locked="0"/>
    </xf>
    <xf numFmtId="0" fontId="18" fillId="3" borderId="15" xfId="0" applyFont="1" applyFill="1" applyBorder="1" applyAlignment="1" applyProtection="1">
      <alignment horizontal="center" vertical="center"/>
      <protection locked="0"/>
    </xf>
    <xf numFmtId="0" fontId="18" fillId="3" borderId="16" xfId="0" applyFont="1" applyFill="1" applyBorder="1" applyAlignment="1" applyProtection="1">
      <alignment horizontal="center" vertical="center"/>
      <protection locked="0"/>
    </xf>
    <xf numFmtId="0" fontId="31" fillId="17" borderId="31" xfId="0" applyFont="1" applyFill="1" applyBorder="1" applyAlignment="1" applyProtection="1">
      <alignment horizontal="center" vertical="center" wrapText="1"/>
      <protection hidden="1"/>
    </xf>
    <xf numFmtId="0" fontId="31" fillId="17" borderId="41" xfId="0" applyFont="1" applyFill="1" applyBorder="1" applyAlignment="1" applyProtection="1">
      <alignment horizontal="center" vertical="center" wrapText="1"/>
      <protection hidden="1"/>
    </xf>
    <xf numFmtId="0" fontId="31" fillId="0" borderId="11" xfId="0" applyFont="1" applyBorder="1" applyAlignment="1" applyProtection="1">
      <alignment horizontal="center" vertical="center" wrapText="1"/>
      <protection hidden="1"/>
    </xf>
    <xf numFmtId="0" fontId="31" fillId="0" borderId="12" xfId="0" applyFont="1" applyBorder="1" applyAlignment="1" applyProtection="1">
      <alignment horizontal="center" vertical="center" wrapText="1"/>
      <protection hidden="1"/>
    </xf>
    <xf numFmtId="0" fontId="31" fillId="0" borderId="13" xfId="0" applyFont="1" applyBorder="1" applyAlignment="1" applyProtection="1">
      <alignment horizontal="center" vertical="center" wrapText="1"/>
      <protection hidden="1"/>
    </xf>
    <xf numFmtId="0" fontId="31" fillId="0" borderId="14" xfId="0" applyFont="1" applyBorder="1" applyAlignment="1" applyProtection="1">
      <alignment horizontal="center" vertical="center" wrapText="1"/>
      <protection hidden="1"/>
    </xf>
    <xf numFmtId="0" fontId="31" fillId="0" borderId="15" xfId="0" applyFont="1" applyBorder="1" applyAlignment="1" applyProtection="1">
      <alignment horizontal="center" vertical="center" wrapText="1"/>
      <protection hidden="1"/>
    </xf>
    <xf numFmtId="0" fontId="31" fillId="0" borderId="16" xfId="0" applyFont="1" applyBorder="1" applyAlignment="1" applyProtection="1">
      <alignment horizontal="center" vertical="center" wrapText="1"/>
      <protection hidden="1"/>
    </xf>
    <xf numFmtId="0" fontId="36" fillId="3" borderId="11" xfId="0" applyFont="1" applyFill="1" applyBorder="1" applyAlignment="1" applyProtection="1">
      <alignment horizontal="center" vertical="center"/>
      <protection locked="0"/>
    </xf>
    <xf numFmtId="0" fontId="36" fillId="3" borderId="12" xfId="0" applyFont="1" applyFill="1" applyBorder="1" applyAlignment="1" applyProtection="1">
      <alignment horizontal="center" vertical="center"/>
      <protection locked="0"/>
    </xf>
    <xf numFmtId="0" fontId="36" fillId="3" borderId="13" xfId="0" applyFont="1" applyFill="1" applyBorder="1" applyAlignment="1" applyProtection="1">
      <alignment horizontal="center" vertical="center"/>
      <protection locked="0"/>
    </xf>
    <xf numFmtId="0" fontId="36" fillId="3" borderId="8" xfId="0" applyFont="1" applyFill="1" applyBorder="1" applyAlignment="1" applyProtection="1">
      <alignment horizontal="center" vertical="center"/>
      <protection locked="0"/>
    </xf>
    <xf numFmtId="0" fontId="36" fillId="3" borderId="9" xfId="0" applyFont="1" applyFill="1" applyBorder="1" applyAlignment="1" applyProtection="1">
      <alignment horizontal="center" vertical="center"/>
      <protection locked="0"/>
    </xf>
    <xf numFmtId="0" fontId="36" fillId="3" borderId="10" xfId="0" applyFont="1" applyFill="1" applyBorder="1" applyAlignment="1" applyProtection="1">
      <alignment horizontal="center" vertical="center"/>
      <protection locked="0"/>
    </xf>
    <xf numFmtId="0" fontId="19" fillId="0" borderId="8" xfId="0" applyFont="1" applyBorder="1" applyAlignment="1" applyProtection="1">
      <alignment horizontal="center" vertical="center" wrapText="1"/>
      <protection hidden="1"/>
    </xf>
    <xf numFmtId="0" fontId="19" fillId="0" borderId="9" xfId="0" applyFont="1" applyBorder="1" applyAlignment="1" applyProtection="1">
      <alignment horizontal="center" vertical="center" wrapText="1"/>
      <protection hidden="1"/>
    </xf>
    <xf numFmtId="0" fontId="19" fillId="0" borderId="10" xfId="0" applyFont="1" applyBorder="1" applyAlignment="1" applyProtection="1">
      <alignment horizontal="center" vertical="center" wrapText="1"/>
      <protection hidden="1"/>
    </xf>
    <xf numFmtId="0" fontId="27" fillId="22" borderId="6" xfId="0" applyFont="1" applyFill="1" applyBorder="1" applyAlignment="1" applyProtection="1">
      <alignment horizontal="left" vertical="center"/>
      <protection hidden="1"/>
    </xf>
    <xf numFmtId="0" fontId="18" fillId="22" borderId="28" xfId="0" applyFont="1" applyFill="1" applyBorder="1" applyAlignment="1" applyProtection="1">
      <alignment horizontal="left" vertical="top"/>
      <protection hidden="1"/>
    </xf>
    <xf numFmtId="0" fontId="19" fillId="0" borderId="11" xfId="0" applyFont="1" applyBorder="1" applyAlignment="1" applyProtection="1">
      <alignment horizontal="center" vertical="center" wrapText="1"/>
      <protection hidden="1"/>
    </xf>
    <xf numFmtId="0" fontId="19" fillId="0" borderId="12" xfId="0" applyFont="1" applyBorder="1" applyAlignment="1" applyProtection="1">
      <alignment horizontal="center" vertical="center" wrapText="1"/>
      <protection hidden="1"/>
    </xf>
    <xf numFmtId="0" fontId="19" fillId="0" borderId="13" xfId="0" applyFont="1" applyBorder="1" applyAlignment="1" applyProtection="1">
      <alignment horizontal="center" vertical="center" wrapText="1"/>
      <protection hidden="1"/>
    </xf>
    <xf numFmtId="0" fontId="19" fillId="0" borderId="14" xfId="0" applyFont="1" applyBorder="1" applyAlignment="1" applyProtection="1">
      <alignment horizontal="center" vertical="center" wrapText="1"/>
      <protection hidden="1"/>
    </xf>
    <xf numFmtId="0" fontId="19" fillId="0" borderId="15" xfId="0" applyFont="1" applyBorder="1" applyAlignment="1" applyProtection="1">
      <alignment horizontal="center" vertical="center" wrapText="1"/>
      <protection hidden="1"/>
    </xf>
    <xf numFmtId="0" fontId="19" fillId="0" borderId="16" xfId="0" applyFont="1" applyBorder="1" applyAlignment="1" applyProtection="1">
      <alignment horizontal="center" vertical="center" wrapText="1"/>
      <protection hidden="1"/>
    </xf>
    <xf numFmtId="0" fontId="25" fillId="0" borderId="0" xfId="0" applyFont="1" applyAlignment="1" applyProtection="1">
      <alignment horizontal="center" vertical="center"/>
    </xf>
    <xf numFmtId="0" fontId="25" fillId="0" borderId="15" xfId="0" applyFont="1" applyBorder="1" applyAlignment="1" applyProtection="1">
      <alignment horizontal="center" vertical="center"/>
    </xf>
    <xf numFmtId="0" fontId="19" fillId="17" borderId="31" xfId="0" applyFont="1" applyFill="1" applyBorder="1" applyAlignment="1" applyProtection="1">
      <alignment horizontal="center" vertical="center" wrapText="1"/>
      <protection hidden="1"/>
    </xf>
    <xf numFmtId="0" fontId="19" fillId="17" borderId="32" xfId="0" applyFont="1" applyFill="1" applyBorder="1" applyAlignment="1" applyProtection="1">
      <alignment horizontal="center" vertical="center" wrapText="1"/>
      <protection hidden="1"/>
    </xf>
    <xf numFmtId="0" fontId="24" fillId="0" borderId="6" xfId="0" applyFont="1" applyBorder="1" applyAlignment="1" applyProtection="1">
      <alignment horizontal="center"/>
    </xf>
    <xf numFmtId="0" fontId="24" fillId="0" borderId="0" xfId="0" applyFont="1" applyBorder="1" applyAlignment="1" applyProtection="1">
      <alignment horizontal="center" wrapText="1"/>
    </xf>
    <xf numFmtId="0" fontId="24" fillId="0" borderId="28" xfId="0" applyFont="1" applyBorder="1" applyAlignment="1" applyProtection="1">
      <alignment horizontal="center" wrapText="1"/>
    </xf>
    <xf numFmtId="0" fontId="24" fillId="0" borderId="26" xfId="0" applyFont="1" applyBorder="1" applyAlignment="1" applyProtection="1">
      <alignment horizontal="left" vertical="center"/>
    </xf>
    <xf numFmtId="0" fontId="24" fillId="0" borderId="0" xfId="0" applyFont="1" applyBorder="1" applyAlignment="1" applyProtection="1">
      <alignment horizontal="left" vertical="center"/>
    </xf>
    <xf numFmtId="0" fontId="24" fillId="0" borderId="28" xfId="0" applyFont="1" applyBorder="1" applyAlignment="1" applyProtection="1">
      <alignment horizontal="left" vertical="center"/>
    </xf>
    <xf numFmtId="0" fontId="24" fillId="0" borderId="6" xfId="0" applyFont="1" applyBorder="1" applyAlignment="1" applyProtection="1">
      <alignment horizontal="center" wrapText="1"/>
    </xf>
    <xf numFmtId="0" fontId="24" fillId="0" borderId="26" xfId="0" applyFont="1" applyBorder="1" applyAlignment="1" applyProtection="1">
      <alignment horizontal="center" wrapText="1"/>
    </xf>
    <xf numFmtId="0" fontId="24" fillId="0" borderId="28" xfId="0" applyFont="1" applyBorder="1" applyAlignment="1" applyProtection="1">
      <alignment horizontal="center"/>
    </xf>
    <xf numFmtId="0" fontId="24" fillId="0" borderId="26" xfId="0" applyFont="1" applyBorder="1" applyAlignment="1" applyProtection="1">
      <alignment horizontal="center"/>
    </xf>
    <xf numFmtId="0" fontId="25" fillId="0" borderId="6" xfId="0" applyFont="1" applyBorder="1" applyAlignment="1" applyProtection="1">
      <alignment horizontal="center"/>
    </xf>
    <xf numFmtId="0" fontId="24" fillId="0" borderId="0" xfId="0" applyFont="1" applyBorder="1" applyAlignment="1" applyProtection="1">
      <alignment horizontal="center"/>
    </xf>
    <xf numFmtId="0" fontId="24" fillId="0" borderId="0" xfId="0" applyFont="1" applyAlignment="1" applyProtection="1">
      <alignment horizontal="center"/>
    </xf>
    <xf numFmtId="0" fontId="25" fillId="0" borderId="0" xfId="0" applyFont="1" applyAlignment="1" applyProtection="1">
      <alignment horizontal="center" vertical="center" wrapText="1"/>
    </xf>
    <xf numFmtId="0" fontId="25" fillId="0" borderId="28" xfId="0" applyFont="1" applyBorder="1" applyAlignment="1" applyProtection="1">
      <alignment horizontal="center" vertical="center" wrapText="1"/>
    </xf>
    <xf numFmtId="0" fontId="25" fillId="0" borderId="0" xfId="0" applyFont="1" applyAlignment="1" applyProtection="1">
      <alignment horizontal="center" wrapText="1"/>
    </xf>
    <xf numFmtId="0" fontId="25" fillId="0" borderId="28" xfId="0" applyFont="1" applyBorder="1" applyAlignment="1" applyProtection="1">
      <alignment horizontal="center" wrapText="1"/>
    </xf>
    <xf numFmtId="0" fontId="19" fillId="11" borderId="26" xfId="0" applyFont="1" applyFill="1" applyBorder="1" applyAlignment="1" applyProtection="1">
      <alignment horizontal="center" vertical="center" wrapText="1"/>
    </xf>
    <xf numFmtId="0" fontId="19" fillId="10" borderId="26" xfId="0" applyFont="1" applyFill="1" applyBorder="1" applyAlignment="1" applyProtection="1">
      <alignment horizontal="center" vertical="center" wrapText="1"/>
    </xf>
    <xf numFmtId="0" fontId="19" fillId="10" borderId="0" xfId="0" applyFont="1" applyFill="1" applyBorder="1" applyAlignment="1" applyProtection="1">
      <alignment horizontal="center" vertical="center" wrapText="1"/>
    </xf>
    <xf numFmtId="0" fontId="19" fillId="10" borderId="28" xfId="0" applyFont="1" applyFill="1" applyBorder="1" applyAlignment="1" applyProtection="1">
      <alignment horizontal="center" vertical="center" wrapText="1"/>
    </xf>
    <xf numFmtId="0" fontId="19" fillId="11" borderId="28" xfId="0" applyFont="1" applyFill="1" applyBorder="1" applyAlignment="1" applyProtection="1">
      <alignment horizontal="center" vertical="center" wrapText="1"/>
    </xf>
    <xf numFmtId="0" fontId="18" fillId="2" borderId="2" xfId="0" applyFont="1" applyFill="1" applyBorder="1" applyAlignment="1" applyProtection="1">
      <alignment horizontal="center" vertical="center"/>
      <protection hidden="1"/>
    </xf>
    <xf numFmtId="0" fontId="18" fillId="2" borderId="2" xfId="0" applyFont="1" applyFill="1" applyBorder="1" applyAlignment="1" applyProtection="1">
      <alignment horizontal="center" vertical="center"/>
      <protection locked="0"/>
    </xf>
    <xf numFmtId="0" fontId="19" fillId="3" borderId="0" xfId="0" applyFont="1" applyFill="1" applyBorder="1" applyAlignment="1" applyProtection="1">
      <alignment horizontal="left" vertical="center" indent="5"/>
    </xf>
    <xf numFmtId="0" fontId="19" fillId="3" borderId="5" xfId="0" applyFont="1" applyFill="1" applyBorder="1" applyAlignment="1" applyProtection="1">
      <alignment horizontal="center" vertical="center" wrapText="1"/>
    </xf>
    <xf numFmtId="0" fontId="19" fillId="3" borderId="6" xfId="0" applyFont="1" applyFill="1" applyBorder="1" applyAlignment="1" applyProtection="1">
      <alignment horizontal="center" vertical="center" wrapText="1"/>
    </xf>
    <xf numFmtId="0" fontId="19" fillId="3" borderId="1" xfId="0" applyFont="1" applyFill="1" applyBorder="1" applyAlignment="1" applyProtection="1">
      <alignment horizontal="center" vertical="center" wrapText="1"/>
    </xf>
    <xf numFmtId="0" fontId="18" fillId="3" borderId="19" xfId="0" applyFont="1" applyFill="1" applyBorder="1" applyAlignment="1" applyProtection="1">
      <alignment horizontal="center" vertical="center"/>
    </xf>
    <xf numFmtId="0" fontId="19" fillId="3" borderId="0" xfId="0" applyFont="1" applyFill="1" applyBorder="1" applyAlignment="1" applyProtection="1">
      <alignment horizontal="center" vertical="center"/>
    </xf>
    <xf numFmtId="0" fontId="18" fillId="9" borderId="2" xfId="0" applyFont="1" applyFill="1" applyBorder="1" applyAlignment="1" applyProtection="1">
      <alignment horizontal="center" vertical="center" wrapText="1"/>
    </xf>
    <xf numFmtId="0" fontId="18" fillId="17" borderId="2" xfId="0" applyFont="1" applyFill="1" applyBorder="1" applyAlignment="1" applyProtection="1">
      <alignment horizontal="center" vertical="center"/>
    </xf>
    <xf numFmtId="0" fontId="18" fillId="3" borderId="2" xfId="0" applyFont="1" applyFill="1" applyBorder="1" applyAlignment="1" applyProtection="1">
      <alignment horizontal="center" vertical="center"/>
    </xf>
    <xf numFmtId="0" fontId="19" fillId="17" borderId="2" xfId="0" applyFont="1" applyFill="1" applyBorder="1" applyAlignment="1" applyProtection="1">
      <alignment horizontal="center" vertical="center"/>
    </xf>
    <xf numFmtId="0" fontId="18" fillId="3" borderId="5" xfId="0" applyFont="1" applyFill="1" applyBorder="1" applyAlignment="1" applyProtection="1">
      <alignment horizontal="center" vertical="center"/>
    </xf>
    <xf numFmtId="0" fontId="18" fillId="3" borderId="1" xfId="0" applyFont="1" applyFill="1" applyBorder="1" applyAlignment="1" applyProtection="1">
      <alignment horizontal="center" vertical="center"/>
    </xf>
    <xf numFmtId="0" fontId="18" fillId="3" borderId="2" xfId="0" applyFont="1" applyFill="1" applyBorder="1" applyAlignment="1" applyProtection="1">
      <alignment horizontal="center" vertical="center"/>
      <protection hidden="1"/>
    </xf>
    <xf numFmtId="0" fontId="19" fillId="12" borderId="2" xfId="0" applyFont="1" applyFill="1" applyBorder="1" applyAlignment="1" applyProtection="1">
      <alignment horizontal="center" vertical="center" wrapText="1"/>
    </xf>
    <xf numFmtId="0" fontId="18" fillId="2" borderId="2" xfId="0" applyFont="1" applyFill="1" applyBorder="1" applyAlignment="1" applyProtection="1">
      <alignment horizontal="center" vertical="center"/>
    </xf>
    <xf numFmtId="0" fontId="19" fillId="16" borderId="2" xfId="0" applyFont="1" applyFill="1" applyBorder="1" applyAlignment="1" applyProtection="1">
      <alignment horizontal="center" vertical="center" wrapText="1"/>
    </xf>
    <xf numFmtId="0" fontId="18" fillId="3" borderId="0" xfId="0" applyFont="1" applyFill="1" applyBorder="1" applyAlignment="1" applyProtection="1">
      <alignment horizontal="center" vertical="center" wrapText="1"/>
    </xf>
    <xf numFmtId="0" fontId="19" fillId="12" borderId="2" xfId="0" applyFont="1" applyFill="1" applyBorder="1" applyAlignment="1" applyProtection="1">
      <alignment horizontal="center" vertical="center"/>
    </xf>
    <xf numFmtId="0" fontId="19" fillId="3" borderId="25" xfId="0" applyFont="1" applyFill="1" applyBorder="1" applyAlignment="1" applyProtection="1">
      <alignment horizontal="center" vertical="center"/>
    </xf>
    <xf numFmtId="0" fontId="19" fillId="3" borderId="26" xfId="0" applyFont="1" applyFill="1" applyBorder="1" applyAlignment="1" applyProtection="1">
      <alignment horizontal="center" vertical="center"/>
    </xf>
    <xf numFmtId="0" fontId="19" fillId="3" borderId="7" xfId="0" applyFont="1" applyFill="1" applyBorder="1" applyAlignment="1" applyProtection="1">
      <alignment horizontal="center" vertical="center"/>
    </xf>
    <xf numFmtId="0" fontId="19" fillId="3" borderId="17" xfId="0" applyFont="1" applyFill="1" applyBorder="1" applyAlignment="1" applyProtection="1">
      <alignment horizontal="center" vertical="center"/>
    </xf>
    <xf numFmtId="0" fontId="19" fillId="3" borderId="28" xfId="0" applyFont="1" applyFill="1" applyBorder="1" applyAlignment="1" applyProtection="1">
      <alignment horizontal="center" vertical="center"/>
    </xf>
    <xf numFmtId="0" fontId="19" fillId="3" borderId="18" xfId="0" applyFont="1" applyFill="1" applyBorder="1" applyAlignment="1" applyProtection="1">
      <alignment horizontal="center" vertical="center"/>
    </xf>
    <xf numFmtId="0" fontId="19" fillId="3" borderId="5" xfId="0" applyFont="1" applyFill="1" applyBorder="1" applyAlignment="1" applyProtection="1">
      <alignment horizontal="center" vertical="center"/>
    </xf>
    <xf numFmtId="0" fontId="19" fillId="3" borderId="6" xfId="0" applyFont="1" applyFill="1" applyBorder="1" applyAlignment="1" applyProtection="1">
      <alignment horizontal="center" vertical="center"/>
    </xf>
    <xf numFmtId="0" fontId="19" fillId="3" borderId="1" xfId="0" applyFont="1" applyFill="1" applyBorder="1" applyAlignment="1" applyProtection="1">
      <alignment horizontal="center" vertical="center"/>
    </xf>
    <xf numFmtId="0" fontId="18" fillId="3" borderId="0" xfId="0" applyFont="1" applyFill="1" applyBorder="1" applyAlignment="1" applyProtection="1">
      <alignment vertical="center" wrapText="1"/>
    </xf>
    <xf numFmtId="0" fontId="18" fillId="3" borderId="15" xfId="0" applyFont="1" applyFill="1" applyBorder="1" applyAlignment="1" applyProtection="1">
      <alignment vertical="center" wrapText="1"/>
    </xf>
    <xf numFmtId="0" fontId="19" fillId="2" borderId="8" xfId="0" applyFont="1" applyFill="1" applyBorder="1" applyAlignment="1" applyProtection="1">
      <alignment horizontal="center" vertical="center"/>
    </xf>
    <xf numFmtId="0" fontId="19" fillId="2" borderId="9" xfId="0" applyFont="1" applyFill="1" applyBorder="1" applyAlignment="1" applyProtection="1">
      <alignment horizontal="center" vertical="center"/>
    </xf>
    <xf numFmtId="0" fontId="19" fillId="2" borderId="10" xfId="0" applyFont="1" applyFill="1" applyBorder="1" applyAlignment="1" applyProtection="1">
      <alignment horizontal="center" vertical="center"/>
    </xf>
    <xf numFmtId="0" fontId="18" fillId="2" borderId="17" xfId="0" applyFont="1" applyFill="1" applyBorder="1" applyAlignment="1" applyProtection="1">
      <alignment horizontal="center" vertical="center"/>
      <protection locked="0"/>
    </xf>
    <xf numFmtId="0" fontId="18" fillId="2" borderId="18" xfId="0" applyFont="1" applyFill="1" applyBorder="1" applyAlignment="1" applyProtection="1">
      <alignment horizontal="center" vertical="center"/>
      <protection locked="0"/>
    </xf>
    <xf numFmtId="0" fontId="18" fillId="2" borderId="5" xfId="0" applyFont="1" applyFill="1" applyBorder="1" applyAlignment="1" applyProtection="1">
      <alignment horizontal="center" vertical="center"/>
      <protection locked="0"/>
    </xf>
    <xf numFmtId="0" fontId="18" fillId="2" borderId="1" xfId="0" applyFont="1" applyFill="1" applyBorder="1" applyAlignment="1" applyProtection="1">
      <alignment horizontal="center" vertical="center"/>
      <protection locked="0"/>
    </xf>
    <xf numFmtId="165" fontId="19" fillId="10" borderId="8" xfId="0" applyNumberFormat="1" applyFont="1" applyFill="1" applyBorder="1" applyAlignment="1" applyProtection="1">
      <alignment horizontal="center" vertical="center"/>
    </xf>
    <xf numFmtId="165" fontId="19" fillId="10" borderId="9" xfId="0" applyNumberFormat="1" applyFont="1" applyFill="1" applyBorder="1" applyAlignment="1" applyProtection="1">
      <alignment horizontal="center" vertical="center"/>
    </xf>
    <xf numFmtId="165" fontId="19" fillId="10" borderId="10" xfId="0" applyNumberFormat="1" applyFont="1" applyFill="1" applyBorder="1" applyAlignment="1" applyProtection="1">
      <alignment horizontal="center" vertical="center"/>
    </xf>
    <xf numFmtId="0" fontId="19" fillId="3" borderId="0" xfId="0" applyFont="1" applyFill="1" applyBorder="1" applyAlignment="1" applyProtection="1">
      <alignment horizontal="left" vertical="center" indent="6"/>
    </xf>
    <xf numFmtId="0" fontId="19" fillId="3" borderId="2" xfId="0" applyFont="1" applyFill="1" applyBorder="1" applyAlignment="1" applyProtection="1">
      <alignment horizontal="center" vertical="center"/>
    </xf>
    <xf numFmtId="0" fontId="19" fillId="3" borderId="25" xfId="0" applyFont="1" applyFill="1" applyBorder="1" applyAlignment="1" applyProtection="1">
      <alignment horizontal="left" vertical="center" wrapText="1"/>
    </xf>
    <xf numFmtId="0" fontId="19" fillId="3" borderId="26" xfId="0" applyFont="1" applyFill="1" applyBorder="1" applyAlignment="1" applyProtection="1">
      <alignment horizontal="left" vertical="center" wrapText="1"/>
    </xf>
    <xf numFmtId="0" fontId="19" fillId="3" borderId="7" xfId="0" applyFont="1" applyFill="1" applyBorder="1" applyAlignment="1" applyProtection="1">
      <alignment horizontal="left" vertical="center" wrapText="1"/>
    </xf>
    <xf numFmtId="0" fontId="19" fillId="3" borderId="27" xfId="0" applyFont="1" applyFill="1" applyBorder="1" applyAlignment="1" applyProtection="1">
      <alignment horizontal="left" vertical="center" wrapText="1"/>
    </xf>
    <xf numFmtId="0" fontId="19" fillId="3" borderId="0" xfId="0" applyFont="1" applyFill="1" applyBorder="1" applyAlignment="1" applyProtection="1">
      <alignment horizontal="left" vertical="center" wrapText="1"/>
    </xf>
    <xf numFmtId="0" fontId="19" fillId="3" borderId="19" xfId="0" applyFont="1" applyFill="1" applyBorder="1" applyAlignment="1" applyProtection="1">
      <alignment horizontal="left" vertical="center" wrapText="1"/>
    </xf>
    <xf numFmtId="0" fontId="19" fillId="3" borderId="17" xfId="0" applyFont="1" applyFill="1" applyBorder="1" applyAlignment="1" applyProtection="1">
      <alignment horizontal="left" vertical="center" wrapText="1"/>
    </xf>
    <xf numFmtId="0" fontId="19" fillId="3" borderId="28" xfId="0" applyFont="1" applyFill="1" applyBorder="1" applyAlignment="1" applyProtection="1">
      <alignment horizontal="left" vertical="center" wrapText="1"/>
    </xf>
    <xf numFmtId="0" fontId="19" fillId="3" borderId="18" xfId="0" applyFont="1" applyFill="1" applyBorder="1" applyAlignment="1" applyProtection="1">
      <alignment horizontal="left" vertical="center" wrapText="1"/>
    </xf>
    <xf numFmtId="0" fontId="19" fillId="3" borderId="29" xfId="0" applyFont="1" applyFill="1" applyBorder="1" applyAlignment="1" applyProtection="1">
      <alignment horizontal="center" vertical="center" wrapText="1"/>
    </xf>
    <xf numFmtId="0" fontId="19" fillId="3" borderId="12" xfId="0" applyFont="1" applyFill="1" applyBorder="1" applyAlignment="1" applyProtection="1">
      <alignment horizontal="center" vertical="center" wrapText="1"/>
    </xf>
    <xf numFmtId="0" fontId="19" fillId="3" borderId="30" xfId="0" applyFont="1" applyFill="1" applyBorder="1" applyAlignment="1" applyProtection="1">
      <alignment horizontal="center" vertical="center" wrapText="1"/>
    </xf>
    <xf numFmtId="0" fontId="19" fillId="3" borderId="17" xfId="0" applyFont="1" applyFill="1" applyBorder="1" applyAlignment="1" applyProtection="1">
      <alignment horizontal="center" vertical="center" wrapText="1"/>
    </xf>
    <xf numFmtId="0" fontId="19" fillId="3" borderId="28" xfId="0" applyFont="1" applyFill="1" applyBorder="1" applyAlignment="1" applyProtection="1">
      <alignment horizontal="center" vertical="center" wrapText="1"/>
    </xf>
    <xf numFmtId="0" fontId="19" fillId="3" borderId="18" xfId="0" applyFont="1" applyFill="1" applyBorder="1" applyAlignment="1" applyProtection="1">
      <alignment horizontal="center" vertical="center" wrapText="1"/>
    </xf>
    <xf numFmtId="0" fontId="19" fillId="3" borderId="25" xfId="0" applyFont="1" applyFill="1" applyBorder="1" applyAlignment="1" applyProtection="1">
      <alignment horizontal="center" vertical="center" wrapText="1"/>
    </xf>
    <xf numFmtId="0" fontId="19" fillId="3" borderId="26" xfId="0" applyFont="1" applyFill="1" applyBorder="1" applyAlignment="1" applyProtection="1">
      <alignment horizontal="center" vertical="center" wrapText="1"/>
    </xf>
    <xf numFmtId="0" fontId="19" fillId="3" borderId="7" xfId="0" applyFont="1" applyFill="1" applyBorder="1" applyAlignment="1" applyProtection="1">
      <alignment horizontal="center" vertical="center" wrapText="1"/>
    </xf>
    <xf numFmtId="0" fontId="18" fillId="2" borderId="3" xfId="0" applyFont="1" applyFill="1" applyBorder="1" applyAlignment="1" applyProtection="1">
      <alignment horizontal="center" vertical="center"/>
      <protection hidden="1"/>
    </xf>
    <xf numFmtId="0" fontId="18" fillId="2" borderId="4" xfId="0" applyFont="1" applyFill="1" applyBorder="1" applyAlignment="1" applyProtection="1">
      <alignment horizontal="center" vertical="center"/>
      <protection hidden="1"/>
    </xf>
    <xf numFmtId="0" fontId="18" fillId="3" borderId="3" xfId="0" applyFont="1" applyFill="1" applyBorder="1" applyAlignment="1" applyProtection="1">
      <alignment horizontal="center" vertical="center"/>
    </xf>
    <xf numFmtId="0" fontId="18" fillId="0" borderId="2" xfId="0" applyFont="1" applyBorder="1" applyAlignment="1" applyProtection="1">
      <alignment horizontal="center" vertical="center"/>
    </xf>
    <xf numFmtId="0" fontId="18" fillId="3" borderId="6" xfId="0" applyFont="1" applyFill="1" applyBorder="1" applyAlignment="1" applyProtection="1">
      <alignment horizontal="center" vertical="center"/>
    </xf>
    <xf numFmtId="0" fontId="18" fillId="2" borderId="6" xfId="0" applyFont="1" applyFill="1" applyBorder="1" applyAlignment="1" applyProtection="1">
      <alignment horizontal="center" vertical="center"/>
      <protection locked="0"/>
    </xf>
    <xf numFmtId="0" fontId="18" fillId="3" borderId="0" xfId="0" applyFont="1" applyFill="1" applyBorder="1" applyAlignment="1" applyProtection="1">
      <alignment horizontal="left" vertical="top" wrapText="1"/>
    </xf>
    <xf numFmtId="0" fontId="18" fillId="3" borderId="15" xfId="0" applyFont="1" applyFill="1" applyBorder="1" applyAlignment="1" applyProtection="1">
      <alignment horizontal="left" vertical="top" wrapText="1"/>
    </xf>
    <xf numFmtId="0" fontId="18" fillId="3" borderId="0" xfId="0" applyFont="1" applyFill="1" applyBorder="1" applyAlignment="1" applyProtection="1">
      <alignment horizontal="left" vertical="center"/>
    </xf>
    <xf numFmtId="0" fontId="18" fillId="2" borderId="5" xfId="0" applyFont="1" applyFill="1" applyBorder="1" applyAlignment="1" applyProtection="1">
      <alignment horizontal="center" vertical="center"/>
      <protection hidden="1"/>
    </xf>
    <xf numFmtId="0" fontId="18" fillId="2" borderId="1" xfId="0" applyFont="1" applyFill="1" applyBorder="1" applyAlignment="1" applyProtection="1">
      <alignment horizontal="center" vertical="center"/>
      <protection hidden="1"/>
    </xf>
    <xf numFmtId="0" fontId="18" fillId="3" borderId="2" xfId="0" applyFont="1" applyFill="1" applyBorder="1" applyAlignment="1" applyProtection="1">
      <alignment horizontal="center" vertical="center" wrapText="1"/>
    </xf>
    <xf numFmtId="0" fontId="22" fillId="12" borderId="20" xfId="3" applyFont="1" applyFill="1" applyBorder="1" applyAlignment="1" applyProtection="1">
      <alignment horizontal="center" vertical="center"/>
      <protection locked="0"/>
    </xf>
    <xf numFmtId="0" fontId="18" fillId="3" borderId="0" xfId="0" applyFont="1" applyFill="1" applyBorder="1" applyAlignment="1" applyProtection="1">
      <alignment horizontal="left" vertical="center" wrapText="1"/>
    </xf>
    <xf numFmtId="0" fontId="18" fillId="3" borderId="15" xfId="0" applyFont="1" applyFill="1" applyBorder="1" applyAlignment="1" applyProtection="1">
      <alignment horizontal="left" vertical="center" wrapText="1"/>
    </xf>
    <xf numFmtId="0" fontId="18" fillId="3" borderId="0" xfId="0" applyFont="1" applyFill="1" applyBorder="1" applyAlignment="1" applyProtection="1">
      <alignment vertical="center"/>
    </xf>
    <xf numFmtId="0" fontId="18" fillId="3" borderId="0" xfId="0" applyFont="1" applyFill="1" applyBorder="1" applyAlignment="1" applyProtection="1">
      <alignment vertical="top" wrapText="1"/>
    </xf>
    <xf numFmtId="0" fontId="18" fillId="3" borderId="15" xfId="0" applyFont="1" applyFill="1" applyBorder="1" applyAlignment="1" applyProtection="1">
      <alignment vertical="top" wrapText="1"/>
    </xf>
    <xf numFmtId="0" fontId="19" fillId="11" borderId="5" xfId="0" applyFont="1" applyFill="1" applyBorder="1" applyAlignment="1" applyProtection="1">
      <alignment horizontal="center" vertical="center" wrapText="1"/>
    </xf>
    <xf numFmtId="0" fontId="19" fillId="11" borderId="6" xfId="0" applyFont="1" applyFill="1" applyBorder="1" applyAlignment="1" applyProtection="1">
      <alignment horizontal="center" vertical="center" wrapText="1"/>
    </xf>
    <xf numFmtId="0" fontId="19" fillId="11" borderId="1" xfId="0" applyFont="1" applyFill="1" applyBorder="1" applyAlignment="1" applyProtection="1">
      <alignment horizontal="center" vertical="center" wrapText="1"/>
    </xf>
    <xf numFmtId="0" fontId="19" fillId="9" borderId="5" xfId="0" applyFont="1" applyFill="1" applyBorder="1" applyAlignment="1" applyProtection="1">
      <alignment horizontal="center" vertical="center" wrapText="1"/>
    </xf>
    <xf numFmtId="0" fontId="19" fillId="9" borderId="6" xfId="0" applyFont="1" applyFill="1" applyBorder="1" applyAlignment="1" applyProtection="1">
      <alignment horizontal="center" vertical="center" wrapText="1"/>
    </xf>
    <xf numFmtId="0" fontId="19" fillId="9" borderId="1" xfId="0" applyFont="1" applyFill="1" applyBorder="1" applyAlignment="1" applyProtection="1">
      <alignment horizontal="center" vertical="center" wrapText="1"/>
    </xf>
    <xf numFmtId="0" fontId="19" fillId="16" borderId="5" xfId="0" applyFont="1" applyFill="1" applyBorder="1" applyAlignment="1" applyProtection="1">
      <alignment horizontal="center" vertical="center" wrapText="1"/>
    </xf>
    <xf numFmtId="0" fontId="19" fillId="16" borderId="6" xfId="0" applyFont="1" applyFill="1" applyBorder="1" applyAlignment="1" applyProtection="1">
      <alignment horizontal="center" vertical="center" wrapText="1"/>
    </xf>
    <xf numFmtId="0" fontId="19" fillId="16" borderId="1" xfId="0" applyFont="1" applyFill="1" applyBorder="1" applyAlignment="1" applyProtection="1">
      <alignment horizontal="center" vertical="center" wrapText="1"/>
    </xf>
    <xf numFmtId="0" fontId="41" fillId="6" borderId="2" xfId="0" applyFont="1" applyFill="1" applyBorder="1" applyAlignment="1">
      <alignment horizontal="center" vertical="center" wrapText="1"/>
    </xf>
    <xf numFmtId="0" fontId="19" fillId="12" borderId="2" xfId="0" applyFont="1" applyFill="1" applyBorder="1" applyAlignment="1">
      <alignment horizontal="center" vertical="center" wrapText="1"/>
    </xf>
    <xf numFmtId="0" fontId="41" fillId="9" borderId="2" xfId="0" applyFont="1" applyFill="1" applyBorder="1" applyAlignment="1">
      <alignment horizontal="center" vertical="center" wrapText="1"/>
    </xf>
    <xf numFmtId="0" fontId="18" fillId="3" borderId="2" xfId="0" applyFont="1" applyFill="1" applyBorder="1" applyAlignment="1" applyProtection="1">
      <alignment horizontal="center" vertical="center"/>
      <protection locked="0"/>
    </xf>
    <xf numFmtId="0" fontId="18" fillId="3" borderId="20" xfId="0" applyFont="1" applyFill="1" applyBorder="1" applyAlignment="1" applyProtection="1">
      <alignment horizontal="center" vertical="center" wrapText="1"/>
      <protection locked="0"/>
    </xf>
    <xf numFmtId="0" fontId="18" fillId="3" borderId="0" xfId="0" applyFont="1" applyFill="1" applyBorder="1" applyAlignment="1" applyProtection="1">
      <alignment horizontal="center" vertical="center" wrapText="1"/>
      <protection locked="0"/>
    </xf>
    <xf numFmtId="44" fontId="18" fillId="12" borderId="5" xfId="4" applyFont="1" applyFill="1" applyBorder="1" applyAlignment="1" applyProtection="1">
      <alignment horizontal="center" vertical="center"/>
      <protection locked="0"/>
    </xf>
    <xf numFmtId="44" fontId="18" fillId="12" borderId="1" xfId="4" applyFont="1" applyFill="1" applyBorder="1" applyAlignment="1" applyProtection="1">
      <alignment horizontal="center" vertical="center"/>
      <protection locked="0"/>
    </xf>
    <xf numFmtId="0" fontId="19" fillId="3" borderId="2" xfId="0" applyFont="1" applyFill="1" applyBorder="1" applyAlignment="1">
      <alignment horizontal="center" vertical="center" wrapText="1"/>
    </xf>
    <xf numFmtId="0" fontId="19" fillId="6" borderId="2" xfId="0" applyFont="1" applyFill="1" applyBorder="1" applyAlignment="1">
      <alignment horizontal="center" vertical="center" wrapText="1"/>
    </xf>
    <xf numFmtId="0" fontId="18" fillId="3" borderId="4" xfId="0" applyFont="1" applyFill="1" applyBorder="1" applyAlignment="1" applyProtection="1">
      <alignment horizontal="center" vertical="center"/>
      <protection locked="0"/>
    </xf>
    <xf numFmtId="0" fontId="18" fillId="3" borderId="17" xfId="0" applyFont="1" applyFill="1" applyBorder="1" applyAlignment="1" applyProtection="1">
      <alignment horizontal="center" vertical="center"/>
      <protection locked="0"/>
    </xf>
    <xf numFmtId="0" fontId="18" fillId="3" borderId="19" xfId="0" applyFont="1" applyFill="1" applyBorder="1" applyAlignment="1" applyProtection="1">
      <alignment horizontal="center" vertical="center" wrapText="1"/>
      <protection locked="0"/>
    </xf>
    <xf numFmtId="0" fontId="19" fillId="3" borderId="2" xfId="0" applyFont="1" applyFill="1" applyBorder="1" applyAlignment="1" applyProtection="1">
      <alignment horizontal="center" vertical="center" wrapText="1"/>
      <protection locked="0"/>
    </xf>
    <xf numFmtId="44" fontId="18" fillId="3" borderId="0" xfId="0" applyNumberFormat="1" applyFont="1" applyFill="1" applyAlignment="1" applyProtection="1">
      <alignment horizontal="center" vertical="center"/>
      <protection locked="0"/>
    </xf>
    <xf numFmtId="44" fontId="18" fillId="3" borderId="0" xfId="4" applyFont="1" applyFill="1" applyBorder="1" applyAlignment="1" applyProtection="1">
      <alignment horizontal="center" vertical="center"/>
      <protection locked="0"/>
    </xf>
    <xf numFmtId="0" fontId="19" fillId="9" borderId="2" xfId="0" applyFont="1" applyFill="1" applyBorder="1" applyAlignment="1" applyProtection="1">
      <alignment horizontal="center" vertical="center" wrapText="1"/>
      <protection locked="0"/>
    </xf>
    <xf numFmtId="0" fontId="18" fillId="3" borderId="19" xfId="0" applyFont="1" applyFill="1" applyBorder="1" applyAlignment="1" applyProtection="1">
      <alignment horizontal="center" vertical="center"/>
      <protection locked="0"/>
    </xf>
    <xf numFmtId="0" fontId="18" fillId="3" borderId="0" xfId="0" applyFont="1" applyFill="1" applyBorder="1" applyAlignment="1" applyProtection="1">
      <alignment horizontal="left" vertical="center" wrapText="1" indent="4"/>
      <protection locked="0"/>
    </xf>
    <xf numFmtId="0" fontId="19" fillId="3" borderId="0" xfId="0" applyFont="1" applyFill="1" applyBorder="1" applyAlignment="1" applyProtection="1">
      <alignment horizontal="center" vertical="center"/>
      <protection locked="0"/>
    </xf>
    <xf numFmtId="0" fontId="18" fillId="3" borderId="0" xfId="0" applyFont="1" applyFill="1" applyAlignment="1" applyProtection="1">
      <alignment horizontal="center" vertical="center"/>
      <protection locked="0"/>
    </xf>
    <xf numFmtId="0" fontId="19" fillId="16" borderId="2" xfId="0" applyFont="1" applyFill="1" applyBorder="1" applyAlignment="1" applyProtection="1">
      <alignment horizontal="center" vertical="center" wrapText="1"/>
      <protection locked="0"/>
    </xf>
    <xf numFmtId="0" fontId="19" fillId="3" borderId="5" xfId="0" applyFont="1" applyFill="1" applyBorder="1" applyAlignment="1" applyProtection="1">
      <alignment horizontal="center" vertical="center" wrapText="1"/>
      <protection locked="0"/>
    </xf>
    <xf numFmtId="0" fontId="19" fillId="3" borderId="6" xfId="0" applyFont="1" applyFill="1" applyBorder="1" applyAlignment="1" applyProtection="1">
      <alignment horizontal="center" vertical="center" wrapText="1"/>
      <protection locked="0"/>
    </xf>
    <xf numFmtId="0" fontId="19" fillId="3" borderId="1" xfId="0" applyFont="1" applyFill="1" applyBorder="1" applyAlignment="1" applyProtection="1">
      <alignment horizontal="center" vertical="center" wrapText="1"/>
      <protection locked="0"/>
    </xf>
    <xf numFmtId="0" fontId="19" fillId="12" borderId="2" xfId="0" applyFont="1" applyFill="1" applyBorder="1" applyAlignment="1" applyProtection="1">
      <alignment horizontal="center" vertical="center"/>
      <protection locked="0"/>
    </xf>
    <xf numFmtId="0" fontId="19" fillId="15" borderId="2" xfId="0" applyFont="1" applyFill="1" applyBorder="1" applyAlignment="1" applyProtection="1">
      <alignment horizontal="center" vertical="center" wrapText="1"/>
      <protection locked="0"/>
    </xf>
    <xf numFmtId="0" fontId="19" fillId="6" borderId="2" xfId="0" applyFont="1" applyFill="1" applyBorder="1" applyAlignment="1" applyProtection="1">
      <alignment horizontal="center" vertical="center"/>
      <protection locked="0"/>
    </xf>
    <xf numFmtId="0" fontId="19" fillId="3" borderId="5" xfId="0" applyFont="1" applyFill="1" applyBorder="1" applyAlignment="1" applyProtection="1">
      <alignment horizontal="center" vertical="center"/>
      <protection locked="0"/>
    </xf>
    <xf numFmtId="0" fontId="19" fillId="3" borderId="6" xfId="0" applyFont="1" applyFill="1" applyBorder="1" applyAlignment="1" applyProtection="1">
      <alignment horizontal="center" vertical="center"/>
      <protection locked="0"/>
    </xf>
    <xf numFmtId="0" fontId="19" fillId="3" borderId="1" xfId="0" applyFont="1" applyFill="1" applyBorder="1" applyAlignment="1" applyProtection="1">
      <alignment horizontal="center" vertical="center"/>
      <protection locked="0"/>
    </xf>
    <xf numFmtId="0" fontId="19" fillId="3" borderId="25" xfId="0" applyFont="1" applyFill="1" applyBorder="1" applyAlignment="1" applyProtection="1">
      <alignment horizontal="center" vertical="center"/>
      <protection locked="0"/>
    </xf>
    <xf numFmtId="0" fontId="19" fillId="3" borderId="26" xfId="0" applyFont="1" applyFill="1" applyBorder="1" applyAlignment="1" applyProtection="1">
      <alignment horizontal="center" vertical="center"/>
      <protection locked="0"/>
    </xf>
    <xf numFmtId="0" fontId="19" fillId="3" borderId="7" xfId="0" applyFont="1" applyFill="1" applyBorder="1" applyAlignment="1" applyProtection="1">
      <alignment horizontal="center" vertical="center"/>
      <protection locked="0"/>
    </xf>
    <xf numFmtId="0" fontId="19" fillId="3" borderId="17" xfId="0" applyFont="1" applyFill="1" applyBorder="1" applyAlignment="1" applyProtection="1">
      <alignment horizontal="center" vertical="center"/>
      <protection locked="0"/>
    </xf>
    <xf numFmtId="0" fontId="19" fillId="3" borderId="28" xfId="0" applyFont="1" applyFill="1" applyBorder="1" applyAlignment="1" applyProtection="1">
      <alignment horizontal="center" vertical="center"/>
      <protection locked="0"/>
    </xf>
    <xf numFmtId="0" fontId="19" fillId="3" borderId="18" xfId="0" applyFont="1" applyFill="1" applyBorder="1" applyAlignment="1" applyProtection="1">
      <alignment horizontal="center" vertical="center"/>
      <protection locked="0"/>
    </xf>
    <xf numFmtId="0" fontId="19" fillId="11" borderId="2" xfId="0" applyFont="1" applyFill="1" applyBorder="1" applyAlignment="1" applyProtection="1">
      <alignment horizontal="center" vertical="center" wrapText="1"/>
      <protection locked="0"/>
    </xf>
    <xf numFmtId="0" fontId="19" fillId="10" borderId="2" xfId="0" applyFont="1" applyFill="1" applyBorder="1" applyAlignment="1" applyProtection="1">
      <alignment horizontal="center" vertical="center" wrapText="1"/>
      <protection locked="0"/>
    </xf>
    <xf numFmtId="0" fontId="18" fillId="9" borderId="2" xfId="0" applyFont="1" applyFill="1" applyBorder="1" applyAlignment="1" applyProtection="1">
      <alignment horizontal="center" vertical="center" wrapText="1"/>
      <protection locked="0"/>
    </xf>
    <xf numFmtId="0" fontId="19" fillId="3" borderId="26" xfId="0" applyFont="1" applyFill="1" applyBorder="1" applyAlignment="1" applyProtection="1">
      <alignment horizontal="center" vertical="center" wrapText="1"/>
      <protection locked="0"/>
    </xf>
    <xf numFmtId="0" fontId="19" fillId="3" borderId="28" xfId="0" applyFont="1" applyFill="1" applyBorder="1" applyAlignment="1" applyProtection="1">
      <alignment horizontal="center" vertical="center" wrapText="1"/>
      <protection locked="0"/>
    </xf>
    <xf numFmtId="0" fontId="19" fillId="10" borderId="8" xfId="0" applyFont="1" applyFill="1" applyBorder="1" applyAlignment="1" applyProtection="1">
      <alignment horizontal="center" vertical="center"/>
      <protection locked="0"/>
    </xf>
    <xf numFmtId="0" fontId="19" fillId="10" borderId="9" xfId="0" applyFont="1" applyFill="1" applyBorder="1" applyAlignment="1" applyProtection="1">
      <alignment horizontal="center" vertical="center"/>
      <protection locked="0"/>
    </xf>
    <xf numFmtId="0" fontId="19" fillId="10" borderId="10" xfId="0" applyFont="1" applyFill="1" applyBorder="1" applyAlignment="1" applyProtection="1">
      <alignment horizontal="center" vertical="center"/>
      <protection locked="0"/>
    </xf>
    <xf numFmtId="0" fontId="19" fillId="3" borderId="12" xfId="0" applyFont="1" applyFill="1" applyBorder="1" applyAlignment="1" applyProtection="1">
      <alignment horizontal="center" vertical="center"/>
      <protection locked="0"/>
    </xf>
    <xf numFmtId="0" fontId="19" fillId="3" borderId="12" xfId="0" applyFont="1" applyFill="1" applyBorder="1" applyAlignment="1" applyProtection="1">
      <alignment horizontal="center" vertical="center" wrapText="1"/>
      <protection locked="0"/>
    </xf>
    <xf numFmtId="0" fontId="19" fillId="3" borderId="2" xfId="0" applyFont="1" applyFill="1" applyBorder="1" applyAlignment="1" applyProtection="1">
      <alignment horizontal="center" vertical="center"/>
      <protection locked="0"/>
    </xf>
    <xf numFmtId="0" fontId="18" fillId="3" borderId="3" xfId="0" applyFont="1" applyFill="1" applyBorder="1" applyAlignment="1" applyProtection="1">
      <alignment horizontal="center" vertical="center"/>
      <protection locked="0"/>
    </xf>
    <xf numFmtId="0" fontId="18" fillId="3" borderId="2" xfId="0" applyFont="1" applyFill="1" applyBorder="1" applyAlignment="1" applyProtection="1">
      <alignment horizontal="center" vertical="center" wrapText="1"/>
      <protection locked="0"/>
    </xf>
    <xf numFmtId="0" fontId="40" fillId="3" borderId="2" xfId="0" applyFont="1" applyFill="1" applyBorder="1" applyAlignment="1" applyProtection="1">
      <alignment horizontal="center" vertical="center"/>
      <protection locked="0"/>
    </xf>
    <xf numFmtId="0" fontId="18" fillId="0" borderId="2" xfId="0" applyFont="1" applyBorder="1" applyAlignment="1" applyProtection="1">
      <alignment horizontal="center" vertical="center"/>
      <protection locked="0"/>
    </xf>
    <xf numFmtId="0" fontId="18" fillId="17" borderId="2" xfId="0" applyFont="1" applyFill="1" applyBorder="1" applyAlignment="1" applyProtection="1">
      <alignment horizontal="center" vertical="center"/>
      <protection locked="0"/>
    </xf>
    <xf numFmtId="0" fontId="19" fillId="2" borderId="8" xfId="0" applyFont="1" applyFill="1" applyBorder="1" applyAlignment="1" applyProtection="1">
      <alignment horizontal="center" vertical="center"/>
      <protection locked="0"/>
    </xf>
    <xf numFmtId="0" fontId="19" fillId="2" borderId="9" xfId="0" applyFont="1" applyFill="1" applyBorder="1" applyAlignment="1" applyProtection="1">
      <alignment horizontal="center" vertical="center"/>
      <protection locked="0"/>
    </xf>
    <xf numFmtId="0" fontId="19" fillId="2" borderId="10" xfId="0" applyFont="1" applyFill="1" applyBorder="1" applyAlignment="1" applyProtection="1">
      <alignment horizontal="center" vertical="center"/>
      <protection locked="0"/>
    </xf>
    <xf numFmtId="0" fontId="18" fillId="3" borderId="25" xfId="0" applyFont="1" applyFill="1" applyBorder="1" applyAlignment="1" applyProtection="1">
      <alignment horizontal="center" vertical="center" wrapText="1"/>
    </xf>
    <xf numFmtId="0" fontId="18" fillId="3" borderId="7" xfId="0" applyFont="1" applyFill="1" applyBorder="1" applyAlignment="1" applyProtection="1">
      <alignment horizontal="center" vertical="center" wrapText="1"/>
    </xf>
    <xf numFmtId="0" fontId="18" fillId="3" borderId="17" xfId="0" applyFont="1" applyFill="1" applyBorder="1" applyAlignment="1" applyProtection="1">
      <alignment horizontal="center" vertical="center" wrapText="1"/>
    </xf>
    <xf numFmtId="0" fontId="18" fillId="3" borderId="18" xfId="0" applyFont="1" applyFill="1" applyBorder="1" applyAlignment="1" applyProtection="1">
      <alignment horizontal="center" vertical="center" wrapText="1"/>
    </xf>
    <xf numFmtId="0" fontId="18" fillId="2" borderId="3" xfId="0" applyFont="1" applyFill="1" applyBorder="1" applyAlignment="1" applyProtection="1">
      <alignment horizontal="center" vertical="center"/>
    </xf>
    <xf numFmtId="0" fontId="18" fillId="2" borderId="4" xfId="0" applyFont="1" applyFill="1" applyBorder="1" applyAlignment="1" applyProtection="1">
      <alignment horizontal="center" vertical="center"/>
    </xf>
    <xf numFmtId="0" fontId="18" fillId="2" borderId="40" xfId="0" applyFont="1" applyFill="1" applyBorder="1" applyAlignment="1" applyProtection="1">
      <alignment horizontal="center" vertical="center"/>
    </xf>
    <xf numFmtId="1" fontId="18" fillId="2" borderId="2" xfId="0" applyNumberFormat="1" applyFont="1" applyFill="1" applyBorder="1" applyAlignment="1" applyProtection="1">
      <alignment horizontal="center" vertical="center"/>
      <protection locked="0"/>
    </xf>
    <xf numFmtId="1" fontId="19" fillId="3" borderId="2" xfId="0" applyNumberFormat="1" applyFont="1" applyFill="1" applyBorder="1" applyAlignment="1" applyProtection="1">
      <alignment horizontal="center" vertical="center"/>
    </xf>
    <xf numFmtId="1" fontId="18" fillId="3" borderId="20" xfId="0" applyNumberFormat="1" applyFont="1" applyFill="1" applyBorder="1" applyAlignment="1" applyProtection="1">
      <alignment horizontal="center" vertical="center"/>
    </xf>
    <xf numFmtId="1" fontId="18" fillId="3" borderId="19" xfId="0" applyNumberFormat="1" applyFont="1" applyFill="1" applyBorder="1" applyAlignment="1" applyProtection="1">
      <alignment horizontal="center" vertical="center"/>
    </xf>
    <xf numFmtId="1" fontId="18" fillId="3" borderId="0" xfId="0" applyNumberFormat="1" applyFont="1" applyFill="1" applyBorder="1" applyAlignment="1" applyProtection="1">
      <alignment horizontal="center" vertical="center"/>
    </xf>
    <xf numFmtId="0" fontId="19" fillId="3" borderId="25" xfId="0" applyFont="1" applyFill="1" applyBorder="1" applyAlignment="1" applyProtection="1">
      <alignment horizontal="center" vertical="center" wrapText="1"/>
      <protection locked="0"/>
    </xf>
    <xf numFmtId="0" fontId="19" fillId="3" borderId="7" xfId="0" applyFont="1" applyFill="1" applyBorder="1" applyAlignment="1" applyProtection="1">
      <alignment horizontal="center" vertical="center" wrapText="1"/>
      <protection locked="0"/>
    </xf>
    <xf numFmtId="0" fontId="19" fillId="3" borderId="17" xfId="0" applyFont="1" applyFill="1" applyBorder="1" applyAlignment="1" applyProtection="1">
      <alignment horizontal="center" vertical="center" wrapText="1"/>
      <protection locked="0"/>
    </xf>
    <xf numFmtId="0" fontId="19" fillId="3" borderId="18" xfId="0" applyFont="1" applyFill="1" applyBorder="1" applyAlignment="1" applyProtection="1">
      <alignment horizontal="center" vertical="center" wrapText="1"/>
      <protection locked="0"/>
    </xf>
    <xf numFmtId="0" fontId="18" fillId="26" borderId="11" xfId="0" applyFont="1" applyFill="1" applyBorder="1" applyAlignment="1" applyProtection="1">
      <alignment horizontal="center" vertical="center"/>
    </xf>
    <xf numFmtId="0" fontId="18" fillId="26" borderId="12" xfId="0" applyFont="1" applyFill="1" applyBorder="1" applyAlignment="1" applyProtection="1">
      <alignment horizontal="center" vertical="center"/>
    </xf>
    <xf numFmtId="0" fontId="18" fillId="26" borderId="13" xfId="0" applyFont="1" applyFill="1" applyBorder="1" applyAlignment="1" applyProtection="1">
      <alignment horizontal="center" vertical="center"/>
    </xf>
    <xf numFmtId="0" fontId="18" fillId="26" borderId="20" xfId="0" applyFont="1" applyFill="1" applyBorder="1" applyAlignment="1" applyProtection="1">
      <alignment horizontal="center" vertical="center"/>
    </xf>
    <xf numFmtId="0" fontId="18" fillId="26" borderId="2" xfId="0" applyFont="1" applyFill="1" applyBorder="1" applyAlignment="1" applyProtection="1">
      <alignment horizontal="center" vertical="center" wrapText="1"/>
    </xf>
    <xf numFmtId="0" fontId="18" fillId="26" borderId="2" xfId="0" applyFont="1" applyFill="1" applyBorder="1" applyAlignment="1" applyProtection="1">
      <alignment horizontal="center" vertical="center"/>
    </xf>
    <xf numFmtId="0" fontId="18" fillId="26" borderId="21" xfId="0" applyFont="1" applyFill="1" applyBorder="1" applyAlignment="1" applyProtection="1">
      <alignment horizontal="center" vertical="center"/>
    </xf>
    <xf numFmtId="0" fontId="18" fillId="26" borderId="2" xfId="0" applyFont="1" applyFill="1" applyBorder="1" applyAlignment="1" applyProtection="1">
      <alignment horizontal="center" vertical="center"/>
    </xf>
    <xf numFmtId="0" fontId="18" fillId="26" borderId="0" xfId="0" applyFont="1" applyFill="1" applyBorder="1" applyAlignment="1" applyProtection="1">
      <alignment horizontal="center" vertical="center"/>
    </xf>
    <xf numFmtId="0" fontId="18" fillId="26" borderId="3" xfId="0" applyFont="1" applyFill="1" applyBorder="1" applyAlignment="1" applyProtection="1">
      <alignment horizontal="center" vertical="center"/>
    </xf>
    <xf numFmtId="0" fontId="18" fillId="26" borderId="4" xfId="0" applyFont="1" applyFill="1" applyBorder="1" applyAlignment="1" applyProtection="1">
      <alignment horizontal="center" vertical="center"/>
    </xf>
    <xf numFmtId="0" fontId="18" fillId="26" borderId="14" xfId="0" applyFont="1" applyFill="1" applyBorder="1" applyAlignment="1" applyProtection="1">
      <alignment horizontal="center" vertical="center"/>
    </xf>
    <xf numFmtId="0" fontId="18" fillId="26" borderId="15" xfId="0" applyFont="1" applyFill="1" applyBorder="1" applyAlignment="1" applyProtection="1">
      <alignment horizontal="center" vertical="center"/>
    </xf>
    <xf numFmtId="0" fontId="18" fillId="26" borderId="16" xfId="0" applyFont="1" applyFill="1" applyBorder="1" applyAlignment="1" applyProtection="1">
      <alignment horizontal="center" vertical="center"/>
    </xf>
    <xf numFmtId="0" fontId="18" fillId="3" borderId="12" xfId="0" applyFont="1" applyFill="1" applyBorder="1" applyAlignment="1" applyProtection="1">
      <alignment horizontal="center" vertical="center" wrapText="1"/>
    </xf>
    <xf numFmtId="0" fontId="18" fillId="26" borderId="5" xfId="0" applyFont="1" applyFill="1" applyBorder="1" applyAlignment="1" applyProtection="1">
      <alignment horizontal="center" vertical="center"/>
    </xf>
    <xf numFmtId="0" fontId="18" fillId="26" borderId="6" xfId="0" applyFont="1" applyFill="1" applyBorder="1" applyAlignment="1" applyProtection="1">
      <alignment horizontal="center" vertical="center"/>
    </xf>
    <xf numFmtId="0" fontId="18" fillId="26" borderId="1" xfId="0" applyFont="1" applyFill="1" applyBorder="1" applyAlignment="1" applyProtection="1">
      <alignment horizontal="center" vertical="center"/>
    </xf>
    <xf numFmtId="0" fontId="19" fillId="26" borderId="2" xfId="0" applyFont="1" applyFill="1" applyBorder="1" applyAlignment="1" applyProtection="1">
      <alignment horizontal="center" vertical="center"/>
    </xf>
    <xf numFmtId="0" fontId="19" fillId="26" borderId="2" xfId="0" applyFont="1" applyFill="1" applyBorder="1" applyAlignment="1" applyProtection="1">
      <alignment horizontal="center" vertical="center"/>
    </xf>
    <xf numFmtId="0" fontId="18" fillId="26" borderId="2" xfId="0" applyFont="1" applyFill="1" applyBorder="1" applyAlignment="1" applyProtection="1">
      <alignment vertical="center" wrapText="1"/>
    </xf>
    <xf numFmtId="0" fontId="18" fillId="26" borderId="0" xfId="0" applyFont="1" applyFill="1" applyBorder="1" applyAlignment="1" applyProtection="1">
      <alignment vertical="center"/>
    </xf>
    <xf numFmtId="0" fontId="18" fillId="26" borderId="0" xfId="0" applyFont="1" applyFill="1" applyBorder="1" applyAlignment="1" applyProtection="1">
      <alignment horizontal="center" vertical="center" wrapText="1"/>
    </xf>
    <xf numFmtId="2" fontId="18" fillId="26" borderId="2" xfId="0" applyNumberFormat="1" applyFont="1" applyFill="1" applyBorder="1" applyAlignment="1" applyProtection="1">
      <alignment horizontal="center" vertical="center"/>
    </xf>
    <xf numFmtId="0" fontId="18" fillId="27" borderId="2" xfId="0" applyFont="1" applyFill="1" applyBorder="1" applyAlignment="1" applyProtection="1">
      <alignment horizontal="center" vertical="center" wrapText="1"/>
    </xf>
    <xf numFmtId="0" fontId="19" fillId="27" borderId="2" xfId="0" applyFont="1" applyFill="1" applyBorder="1" applyAlignment="1" applyProtection="1">
      <alignment horizontal="center" vertical="center" wrapText="1"/>
    </xf>
    <xf numFmtId="0" fontId="19" fillId="27" borderId="2" xfId="0" applyFont="1" applyFill="1" applyBorder="1" applyAlignment="1" applyProtection="1">
      <alignment horizontal="center" vertical="center" wrapText="1"/>
    </xf>
    <xf numFmtId="0" fontId="19" fillId="26" borderId="2" xfId="0" applyFont="1" applyFill="1" applyBorder="1" applyAlignment="1" applyProtection="1">
      <alignment horizontal="center" vertical="center" wrapText="1"/>
    </xf>
    <xf numFmtId="0" fontId="18" fillId="28" borderId="2" xfId="0" applyFont="1" applyFill="1" applyBorder="1" applyAlignment="1" applyProtection="1">
      <alignment horizontal="center" vertical="center"/>
    </xf>
    <xf numFmtId="0" fontId="18" fillId="29" borderId="2" xfId="0" applyFont="1" applyFill="1" applyBorder="1" applyAlignment="1" applyProtection="1">
      <alignment horizontal="center" vertical="center"/>
    </xf>
    <xf numFmtId="2" fontId="18" fillId="29" borderId="2" xfId="0" applyNumberFormat="1" applyFont="1" applyFill="1" applyBorder="1" applyAlignment="1" applyProtection="1">
      <alignment horizontal="center" vertical="center"/>
    </xf>
    <xf numFmtId="0" fontId="19" fillId="3" borderId="0" xfId="0" applyFont="1" applyFill="1" applyBorder="1" applyAlignment="1" applyProtection="1">
      <alignment vertical="center"/>
    </xf>
    <xf numFmtId="0" fontId="18" fillId="26" borderId="2" xfId="0" applyFont="1" applyFill="1" applyBorder="1" applyAlignment="1" applyProtection="1">
      <alignment horizontal="center" vertical="center"/>
      <protection hidden="1"/>
    </xf>
    <xf numFmtId="0" fontId="18" fillId="26" borderId="2" xfId="0" applyFont="1" applyFill="1" applyBorder="1" applyAlignment="1" applyProtection="1">
      <alignment horizontal="center" vertical="center"/>
      <protection hidden="1"/>
    </xf>
    <xf numFmtId="0" fontId="18" fillId="26" borderId="3" xfId="0" applyFont="1" applyFill="1" applyBorder="1" applyAlignment="1" applyProtection="1">
      <alignment horizontal="center" vertical="center"/>
      <protection hidden="1"/>
    </xf>
    <xf numFmtId="0" fontId="18" fillId="26" borderId="0" xfId="0" applyFont="1" applyFill="1" applyBorder="1" applyAlignment="1" applyProtection="1">
      <alignment horizontal="center" vertical="center"/>
      <protection hidden="1"/>
    </xf>
    <xf numFmtId="2" fontId="18" fillId="26" borderId="2" xfId="0" applyNumberFormat="1" applyFont="1" applyFill="1" applyBorder="1" applyAlignment="1" applyProtection="1">
      <alignment horizontal="center" vertical="center"/>
      <protection hidden="1"/>
    </xf>
    <xf numFmtId="0" fontId="18" fillId="26" borderId="4" xfId="0" applyFont="1" applyFill="1" applyBorder="1" applyAlignment="1" applyProtection="1">
      <alignment horizontal="center" vertical="center"/>
      <protection hidden="1"/>
    </xf>
    <xf numFmtId="0" fontId="18" fillId="26" borderId="5" xfId="0" applyFont="1" applyFill="1" applyBorder="1" applyAlignment="1" applyProtection="1">
      <alignment horizontal="center" vertical="center"/>
      <protection hidden="1"/>
    </xf>
    <xf numFmtId="0" fontId="18" fillId="26" borderId="1" xfId="0" applyFont="1" applyFill="1" applyBorder="1" applyAlignment="1" applyProtection="1">
      <alignment horizontal="center" vertical="center"/>
      <protection hidden="1"/>
    </xf>
    <xf numFmtId="2" fontId="18" fillId="26" borderId="0" xfId="0" applyNumberFormat="1" applyFont="1" applyFill="1" applyBorder="1" applyAlignment="1" applyProtection="1">
      <alignment horizontal="center" vertical="center"/>
      <protection hidden="1"/>
    </xf>
  </cellXfs>
  <cellStyles count="5">
    <cellStyle name="Hiperlink" xfId="3" builtinId="8"/>
    <cellStyle name="Moeda" xfId="4" builtinId="4"/>
    <cellStyle name="Normal" xfId="0" builtinId="0"/>
    <cellStyle name="Porcentagem" xfId="2" builtinId="5"/>
    <cellStyle name="Vírgula" xfId="1" builtinId="3"/>
  </cellStyles>
  <dxfs count="0"/>
  <tableStyles count="0" defaultTableStyle="TableStyleMedium2" defaultPivotStyle="PivotStyleLight16"/>
  <colors>
    <mruColors>
      <color rgb="FFFF6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2.jpeg"/><Relationship Id="rId7" Type="http://schemas.openxmlformats.org/officeDocument/2006/relationships/image" Target="../media/image7.jpeg"/><Relationship Id="rId2" Type="http://schemas.openxmlformats.org/officeDocument/2006/relationships/image" Target="../media/image1.png"/><Relationship Id="rId1" Type="http://schemas.openxmlformats.org/officeDocument/2006/relationships/image" Target="../media/image3.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9.png"/></Relationships>
</file>

<file path=xl/drawings/_rels/drawing24.xml.rels><?xml version="1.0" encoding="UTF-8" standalone="yes"?>
<Relationships xmlns="http://schemas.openxmlformats.org/package/2006/relationships"><Relationship Id="rId1" Type="http://schemas.openxmlformats.org/officeDocument/2006/relationships/image" Target="../media/image9.png"/></Relationships>
</file>

<file path=xl/drawings/_rels/drawing25.xml.rels><?xml version="1.0" encoding="UTF-8" standalone="yes"?>
<Relationships xmlns="http://schemas.openxmlformats.org/package/2006/relationships"><Relationship Id="rId1" Type="http://schemas.openxmlformats.org/officeDocument/2006/relationships/image" Target="../media/image9.png"/></Relationships>
</file>

<file path=xl/drawings/_rels/drawing26.xml.rels><?xml version="1.0" encoding="UTF-8" standalone="yes"?>
<Relationships xmlns="http://schemas.openxmlformats.org/package/2006/relationships"><Relationship Id="rId1" Type="http://schemas.openxmlformats.org/officeDocument/2006/relationships/image" Target="../media/image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391583</xdr:colOff>
      <xdr:row>0</xdr:row>
      <xdr:rowOff>158749</xdr:rowOff>
    </xdr:from>
    <xdr:to>
      <xdr:col>18</xdr:col>
      <xdr:colOff>292794</xdr:colOff>
      <xdr:row>4</xdr:row>
      <xdr:rowOff>186460</xdr:rowOff>
    </xdr:to>
    <xdr:pic>
      <xdr:nvPicPr>
        <xdr:cNvPr id="5" name="Picture">
          <a:extLst>
            <a:ext uri="{FF2B5EF4-FFF2-40B4-BE49-F238E27FC236}">
              <a16:creationId xmlns="" xmlns:a16="http://schemas.microsoft.com/office/drawing/2014/main" id="{0846F3B4-70EB-4D89-8BB7-F19DAD2770F9}"/>
            </a:ext>
          </a:extLst>
        </xdr:cNvPr>
        <xdr:cNvPicPr/>
      </xdr:nvPicPr>
      <xdr:blipFill>
        <a:blip xmlns:r="http://schemas.openxmlformats.org/officeDocument/2006/relationships" r:embed="rId1"/>
        <a:stretch>
          <a:fillRect/>
        </a:stretch>
      </xdr:blipFill>
      <xdr:spPr bwMode="auto">
        <a:xfrm>
          <a:off x="10572750" y="158749"/>
          <a:ext cx="928852" cy="789711"/>
        </a:xfrm>
        <a:prstGeom prst="rect">
          <a:avLst/>
        </a:prstGeom>
        <a:noFill/>
      </xdr:spPr>
    </xdr:pic>
    <xdr:clientData/>
  </xdr:twoCellAnchor>
  <xdr:twoCellAnchor editAs="oneCell">
    <xdr:from>
      <xdr:col>0</xdr:col>
      <xdr:colOff>257175</xdr:colOff>
      <xdr:row>1</xdr:row>
      <xdr:rowOff>57150</xdr:rowOff>
    </xdr:from>
    <xdr:to>
      <xdr:col>3</xdr:col>
      <xdr:colOff>350668</xdr:colOff>
      <xdr:row>4</xdr:row>
      <xdr:rowOff>2082</xdr:rowOff>
    </xdr:to>
    <xdr:pic>
      <xdr:nvPicPr>
        <xdr:cNvPr id="6" name="Picture">
          <a:extLst>
            <a:ext uri="{FF2B5EF4-FFF2-40B4-BE49-F238E27FC236}">
              <a16:creationId xmlns="" xmlns:a16="http://schemas.microsoft.com/office/drawing/2014/main" id="{E2EF45A2-77BF-43CB-B428-185D74391D90}"/>
            </a:ext>
          </a:extLst>
        </xdr:cNvPr>
        <xdr:cNvPicPr/>
      </xdr:nvPicPr>
      <xdr:blipFill>
        <a:blip xmlns:r="http://schemas.openxmlformats.org/officeDocument/2006/relationships" r:embed="rId2"/>
        <a:stretch>
          <a:fillRect/>
        </a:stretch>
      </xdr:blipFill>
      <xdr:spPr bwMode="auto">
        <a:xfrm>
          <a:off x="257175" y="247650"/>
          <a:ext cx="2084218" cy="516432"/>
        </a:xfrm>
        <a:prstGeom prst="rect">
          <a:avLst/>
        </a:prstGeom>
        <a:noFill/>
      </xdr:spPr>
    </xdr:pic>
    <xdr:clientData/>
  </xdr:twoCellAnchor>
  <xdr:twoCellAnchor>
    <xdr:from>
      <xdr:col>3</xdr:col>
      <xdr:colOff>533399</xdr:colOff>
      <xdr:row>1</xdr:row>
      <xdr:rowOff>0</xdr:rowOff>
    </xdr:from>
    <xdr:to>
      <xdr:col>14</xdr:col>
      <xdr:colOff>466725</xdr:colOff>
      <xdr:row>4</xdr:row>
      <xdr:rowOff>37513</xdr:rowOff>
    </xdr:to>
    <xdr:sp macro="" textlink="">
      <xdr:nvSpPr>
        <xdr:cNvPr id="7" name="CaixaDeTexto 5">
          <a:extLst>
            <a:ext uri="{FF2B5EF4-FFF2-40B4-BE49-F238E27FC236}">
              <a16:creationId xmlns="" xmlns:a16="http://schemas.microsoft.com/office/drawing/2014/main" id="{40F3895B-A37F-44AB-B280-75492E50C1CC}"/>
            </a:ext>
          </a:extLst>
        </xdr:cNvPr>
        <xdr:cNvSpPr txBox="1"/>
      </xdr:nvSpPr>
      <xdr:spPr>
        <a:xfrm>
          <a:off x="2724149" y="190500"/>
          <a:ext cx="6638926" cy="609013"/>
        </a:xfrm>
        <a:prstGeom prst="rect">
          <a:avLst/>
        </a:prstGeom>
        <a:noFill/>
      </xdr:spPr>
      <xdr:txBody>
        <a:bodyPr wrap="square" rtlCol="0">
          <a:spAutoFit/>
        </a:bodyPr>
        <a:lstStyle>
          <a:defPPr>
            <a:defRPr lang="pt-B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pt-BR" sz="1100" b="1"/>
            <a:t>Governo do Distrito Federal - GDF</a:t>
          </a:r>
        </a:p>
        <a:p>
          <a:pPr algn="ctr"/>
          <a:r>
            <a:rPr lang="pt-BR" sz="1100" b="1"/>
            <a:t>Secretaria de Estado da Agricultura, Abastecimento e Desenvolvimento Rural – SEAGRI DF</a:t>
          </a:r>
        </a:p>
        <a:p>
          <a:pPr algn="ctr"/>
          <a:r>
            <a:rPr lang="pt-BR" sz="1100"/>
            <a:t>Empresa de Assistência Técnica e Extensão Rural – EMATER-DF</a:t>
          </a:r>
        </a:p>
      </xdr:txBody>
    </xdr:sp>
    <xdr:clientData/>
  </xdr:twoCellAnchor>
  <xdr:twoCellAnchor>
    <xdr:from>
      <xdr:col>4</xdr:col>
      <xdr:colOff>581025</xdr:colOff>
      <xdr:row>5</xdr:row>
      <xdr:rowOff>85725</xdr:rowOff>
    </xdr:from>
    <xdr:to>
      <xdr:col>11</xdr:col>
      <xdr:colOff>523875</xdr:colOff>
      <xdr:row>8</xdr:row>
      <xdr:rowOff>95250</xdr:rowOff>
    </xdr:to>
    <xdr:sp macro="" textlink="">
      <xdr:nvSpPr>
        <xdr:cNvPr id="14" name="CaixaDeTexto 13"/>
        <xdr:cNvSpPr txBox="1"/>
      </xdr:nvSpPr>
      <xdr:spPr>
        <a:xfrm>
          <a:off x="3381375" y="1038225"/>
          <a:ext cx="421005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b"/>
        <a:lstStyle/>
        <a:p>
          <a:pPr algn="ctr"/>
          <a:r>
            <a:rPr lang="pt-BR" sz="2600" b="1" cap="none" spc="0">
              <a:ln w="10541" cmpd="sng">
                <a:solidFill>
                  <a:schemeClr val="accent3">
                    <a:lumMod val="75000"/>
                  </a:schemeClr>
                </a:solidFill>
                <a:prstDash val="solid"/>
              </a:ln>
              <a:solidFill>
                <a:schemeClr val="tx1"/>
              </a:solidFill>
              <a:effectLst/>
              <a:latin typeface="Algerian" pitchFamily="82" charset="0"/>
            </a:rPr>
            <a:t>SISADUBA - frutas</a:t>
          </a:r>
        </a:p>
        <a:p>
          <a:pPr algn="ctr"/>
          <a:r>
            <a:rPr lang="pt-BR" sz="1600" b="1" cap="none" spc="0">
              <a:ln w="10541" cmpd="sng">
                <a:solidFill>
                  <a:schemeClr val="accent3">
                    <a:lumMod val="75000"/>
                  </a:schemeClr>
                </a:solidFill>
                <a:prstDash val="solid"/>
              </a:ln>
              <a:solidFill>
                <a:schemeClr val="tx1"/>
              </a:solidFill>
              <a:effectLst/>
              <a:latin typeface="Arial" pitchFamily="34" charset="0"/>
              <a:cs typeface="Arial" pitchFamily="34" charset="0"/>
            </a:rPr>
            <a:t>Sistema de Adubação e Correção de Solo</a:t>
          </a:r>
        </a:p>
      </xdr:txBody>
    </xdr:sp>
    <xdr:clientData/>
  </xdr:twoCellAnchor>
  <xdr:twoCellAnchor>
    <xdr:from>
      <xdr:col>13</xdr:col>
      <xdr:colOff>0</xdr:colOff>
      <xdr:row>5</xdr:row>
      <xdr:rowOff>123825</xdr:rowOff>
    </xdr:from>
    <xdr:to>
      <xdr:col>15</xdr:col>
      <xdr:colOff>542925</xdr:colOff>
      <xdr:row>8</xdr:row>
      <xdr:rowOff>85725</xdr:rowOff>
    </xdr:to>
    <xdr:sp macro="" textlink="">
      <xdr:nvSpPr>
        <xdr:cNvPr id="16" name="CaixaDeTexto 15"/>
        <xdr:cNvSpPr txBox="1"/>
      </xdr:nvSpPr>
      <xdr:spPr>
        <a:xfrm>
          <a:off x="8286750" y="1076325"/>
          <a:ext cx="1762125" cy="638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0" i="0"/>
            <a:t>Autores:</a:t>
          </a:r>
        </a:p>
        <a:p>
          <a:pPr algn="ctr"/>
          <a:r>
            <a:rPr lang="pt-BR" sz="1100" b="0" i="0"/>
            <a:t>Juliano de Oliveira e Silva</a:t>
          </a:r>
        </a:p>
        <a:p>
          <a:pPr algn="ctr"/>
          <a:r>
            <a:rPr lang="pt-BR" sz="1100" b="0" i="0"/>
            <a:t>Felipe Carmago</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258941</xdr:colOff>
      <xdr:row>6</xdr:row>
      <xdr:rowOff>59511</xdr:rowOff>
    </xdr:from>
    <xdr:to>
      <xdr:col>7</xdr:col>
      <xdr:colOff>585767</xdr:colOff>
      <xdr:row>20</xdr:row>
      <xdr:rowOff>145236</xdr:rowOff>
    </xdr:to>
    <xdr:pic>
      <xdr:nvPicPr>
        <xdr:cNvPr id="6" name="Imagem 5">
          <a:extLst>
            <a:ext uri="{FF2B5EF4-FFF2-40B4-BE49-F238E27FC236}">
              <a16:creationId xmlns="" xmlns:a16="http://schemas.microsoft.com/office/drawing/2014/main" id="{DC9720E9-47EB-4EE5-AE5C-24C932BB51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2449691" y="1202511"/>
          <a:ext cx="1546026" cy="27527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18</xdr:col>
      <xdr:colOff>391583</xdr:colOff>
      <xdr:row>0</xdr:row>
      <xdr:rowOff>158749</xdr:rowOff>
    </xdr:from>
    <xdr:to>
      <xdr:col>20</xdr:col>
      <xdr:colOff>92769</xdr:colOff>
      <xdr:row>4</xdr:row>
      <xdr:rowOff>176935</xdr:rowOff>
    </xdr:to>
    <xdr:pic>
      <xdr:nvPicPr>
        <xdr:cNvPr id="2" name="Picture">
          <a:extLst>
            <a:ext uri="{FF2B5EF4-FFF2-40B4-BE49-F238E27FC236}">
              <a16:creationId xmlns="" xmlns:a16="http://schemas.microsoft.com/office/drawing/2014/main" id="{0846F3B4-70EB-4D89-8BB7-F19DAD2770F9}"/>
            </a:ext>
          </a:extLst>
        </xdr:cNvPr>
        <xdr:cNvPicPr/>
      </xdr:nvPicPr>
      <xdr:blipFill>
        <a:blip xmlns:r="http://schemas.openxmlformats.org/officeDocument/2006/relationships" r:embed="rId2"/>
        <a:stretch>
          <a:fillRect/>
        </a:stretch>
      </xdr:blipFill>
      <xdr:spPr bwMode="auto">
        <a:xfrm>
          <a:off x="10507133" y="158749"/>
          <a:ext cx="920386" cy="789711"/>
        </a:xfrm>
        <a:prstGeom prst="rect">
          <a:avLst/>
        </a:prstGeom>
        <a:noFill/>
      </xdr:spPr>
    </xdr:pic>
    <xdr:clientData/>
  </xdr:twoCellAnchor>
  <xdr:twoCellAnchor editAs="oneCell">
    <xdr:from>
      <xdr:col>2</xdr:col>
      <xdr:colOff>133350</xdr:colOff>
      <xdr:row>0</xdr:row>
      <xdr:rowOff>171450</xdr:rowOff>
    </xdr:from>
    <xdr:to>
      <xdr:col>3</xdr:col>
      <xdr:colOff>493543</xdr:colOff>
      <xdr:row>3</xdr:row>
      <xdr:rowOff>116382</xdr:rowOff>
    </xdr:to>
    <xdr:pic>
      <xdr:nvPicPr>
        <xdr:cNvPr id="3" name="Picture">
          <a:extLst>
            <a:ext uri="{FF2B5EF4-FFF2-40B4-BE49-F238E27FC236}">
              <a16:creationId xmlns="" xmlns:a16="http://schemas.microsoft.com/office/drawing/2014/main" id="{E2EF45A2-77BF-43CB-B428-185D74391D90}"/>
            </a:ext>
          </a:extLst>
        </xdr:cNvPr>
        <xdr:cNvPicPr/>
      </xdr:nvPicPr>
      <xdr:blipFill>
        <a:blip xmlns:r="http://schemas.openxmlformats.org/officeDocument/2006/relationships" r:embed="rId3"/>
        <a:stretch>
          <a:fillRect/>
        </a:stretch>
      </xdr:blipFill>
      <xdr:spPr bwMode="auto">
        <a:xfrm>
          <a:off x="1352550" y="171450"/>
          <a:ext cx="2084218" cy="516432"/>
        </a:xfrm>
        <a:prstGeom prst="rect">
          <a:avLst/>
        </a:prstGeom>
        <a:noFill/>
      </xdr:spPr>
    </xdr:pic>
    <xdr:clientData/>
  </xdr:twoCellAnchor>
  <xdr:twoCellAnchor>
    <xdr:from>
      <xdr:col>5</xdr:col>
      <xdr:colOff>533399</xdr:colOff>
      <xdr:row>1</xdr:row>
      <xdr:rowOff>0</xdr:rowOff>
    </xdr:from>
    <xdr:to>
      <xdr:col>16</xdr:col>
      <xdr:colOff>466725</xdr:colOff>
      <xdr:row>4</xdr:row>
      <xdr:rowOff>37513</xdr:rowOff>
    </xdr:to>
    <xdr:sp macro="" textlink="">
      <xdr:nvSpPr>
        <xdr:cNvPr id="4" name="CaixaDeTexto 5">
          <a:extLst>
            <a:ext uri="{FF2B5EF4-FFF2-40B4-BE49-F238E27FC236}">
              <a16:creationId xmlns="" xmlns:a16="http://schemas.microsoft.com/office/drawing/2014/main" id="{40F3895B-A37F-44AB-B280-75492E50C1CC}"/>
            </a:ext>
          </a:extLst>
        </xdr:cNvPr>
        <xdr:cNvSpPr txBox="1"/>
      </xdr:nvSpPr>
      <xdr:spPr>
        <a:xfrm>
          <a:off x="2724149" y="190500"/>
          <a:ext cx="6638926" cy="609013"/>
        </a:xfrm>
        <a:prstGeom prst="rect">
          <a:avLst/>
        </a:prstGeom>
        <a:noFill/>
      </xdr:spPr>
      <xdr:txBody>
        <a:bodyPr wrap="square" rtlCol="0">
          <a:spAutoFit/>
        </a:bodyPr>
        <a:lstStyle>
          <a:defPPr>
            <a:defRPr lang="pt-B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pt-BR" sz="1100" b="1"/>
            <a:t>Governo do Distrito Federal - GDF</a:t>
          </a:r>
        </a:p>
        <a:p>
          <a:pPr algn="ctr"/>
          <a:r>
            <a:rPr lang="pt-BR" sz="1100" b="1"/>
            <a:t>Secretaria de Estado da Agricultura, Abastecimento e Desenvolvimento Rural – SEAGRI DF</a:t>
          </a:r>
        </a:p>
        <a:p>
          <a:pPr algn="ctr"/>
          <a:r>
            <a:rPr lang="pt-BR" sz="1100"/>
            <a:t>Empresa de Assistência Técnica e Extensão Rural – EMATER-DF</a:t>
          </a:r>
        </a:p>
      </xdr:txBody>
    </xdr:sp>
    <xdr:clientData/>
  </xdr:twoCellAnchor>
  <xdr:twoCellAnchor editAs="oneCell">
    <xdr:from>
      <xdr:col>9</xdr:col>
      <xdr:colOff>595312</xdr:colOff>
      <xdr:row>5</xdr:row>
      <xdr:rowOff>114001</xdr:rowOff>
    </xdr:from>
    <xdr:to>
      <xdr:col>15</xdr:col>
      <xdr:colOff>600075</xdr:colOff>
      <xdr:row>16</xdr:row>
      <xdr:rowOff>78580</xdr:rowOff>
    </xdr:to>
    <xdr:pic>
      <xdr:nvPicPr>
        <xdr:cNvPr id="5" name="Imagem 4">
          <a:extLst>
            <a:ext uri="{FF2B5EF4-FFF2-40B4-BE49-F238E27FC236}">
              <a16:creationId xmlns="" xmlns:a16="http://schemas.microsoft.com/office/drawing/2014/main" id="{1AFB40CB-F28C-4861-AAE0-FE307F5C9BF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5976937" y="1066501"/>
          <a:ext cx="3662363" cy="2060079"/>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8</xdr:col>
      <xdr:colOff>37466</xdr:colOff>
      <xdr:row>19</xdr:row>
      <xdr:rowOff>49967</xdr:rowOff>
    </xdr:from>
    <xdr:to>
      <xdr:col>11</xdr:col>
      <xdr:colOff>23812</xdr:colOff>
      <xdr:row>36</xdr:row>
      <xdr:rowOff>35608</xdr:rowOff>
    </xdr:to>
    <xdr:pic>
      <xdr:nvPicPr>
        <xdr:cNvPr id="7" name="Imagem 6">
          <a:extLst>
            <a:ext uri="{FF2B5EF4-FFF2-40B4-BE49-F238E27FC236}">
              <a16:creationId xmlns="" xmlns:a16="http://schemas.microsoft.com/office/drawing/2014/main" id="{C32404CA-3819-4C3A-BF3F-8CF9D6A5014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4809491" y="3355142"/>
          <a:ext cx="1815146" cy="3224141"/>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11</xdr:col>
      <xdr:colOff>200025</xdr:colOff>
      <xdr:row>19</xdr:row>
      <xdr:rowOff>68350</xdr:rowOff>
    </xdr:from>
    <xdr:to>
      <xdr:col>14</xdr:col>
      <xdr:colOff>228600</xdr:colOff>
      <xdr:row>36</xdr:row>
      <xdr:rowOff>95250</xdr:rowOff>
    </xdr:to>
    <xdr:pic>
      <xdr:nvPicPr>
        <xdr:cNvPr id="8" name="Imagem 7">
          <a:extLst>
            <a:ext uri="{FF2B5EF4-FFF2-40B4-BE49-F238E27FC236}">
              <a16:creationId xmlns="" xmlns:a16="http://schemas.microsoft.com/office/drawing/2014/main" id="{7224EFD8-639B-4157-B0D9-1BA01A382F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a:ext>
          </a:extLst>
        </a:blip>
        <a:stretch>
          <a:fillRect/>
        </a:stretch>
      </xdr:blipFill>
      <xdr:spPr>
        <a:xfrm>
          <a:off x="6800850" y="3373525"/>
          <a:ext cx="1857375" cy="326540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18</xdr:col>
      <xdr:colOff>1710</xdr:colOff>
      <xdr:row>5</xdr:row>
      <xdr:rowOff>147561</xdr:rowOff>
    </xdr:from>
    <xdr:to>
      <xdr:col>20</xdr:col>
      <xdr:colOff>342900</xdr:colOff>
      <xdr:row>20</xdr:row>
      <xdr:rowOff>57150</xdr:rowOff>
    </xdr:to>
    <xdr:pic>
      <xdr:nvPicPr>
        <xdr:cNvPr id="9" name="Imagem 8">
          <a:extLst>
            <a:ext uri="{FF2B5EF4-FFF2-40B4-BE49-F238E27FC236}">
              <a16:creationId xmlns="" xmlns:a16="http://schemas.microsoft.com/office/drawing/2014/main" id="{F0C08039-7EB5-4A9D-894B-68E29071DBC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a:ext>
          </a:extLst>
        </a:blip>
        <a:stretch>
          <a:fillRect/>
        </a:stretch>
      </xdr:blipFill>
      <xdr:spPr>
        <a:xfrm>
          <a:off x="10869735" y="1100061"/>
          <a:ext cx="1560390" cy="2767089"/>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14</xdr:col>
      <xdr:colOff>459581</xdr:colOff>
      <xdr:row>19</xdr:row>
      <xdr:rowOff>76200</xdr:rowOff>
    </xdr:from>
    <xdr:to>
      <xdr:col>17</xdr:col>
      <xdr:colOff>476250</xdr:colOff>
      <xdr:row>36</xdr:row>
      <xdr:rowOff>85725</xdr:rowOff>
    </xdr:to>
    <xdr:pic>
      <xdr:nvPicPr>
        <xdr:cNvPr id="10" name="Imagem 9">
          <a:extLst>
            <a:ext uri="{FF2B5EF4-FFF2-40B4-BE49-F238E27FC236}">
              <a16:creationId xmlns="" xmlns:a16="http://schemas.microsoft.com/office/drawing/2014/main" id="{42B9EECF-CE20-4A0B-A202-9CF237AEC8F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a:ext>
          </a:extLst>
        </a:blip>
        <a:stretch>
          <a:fillRect/>
        </a:stretch>
      </xdr:blipFill>
      <xdr:spPr>
        <a:xfrm>
          <a:off x="8889206" y="3381375"/>
          <a:ext cx="1845469" cy="32480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5229C75E-C871-4342-866B-161FD77E97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857250</xdr:colOff>
      <xdr:row>20</xdr:row>
      <xdr:rowOff>71238</xdr:rowOff>
    </xdr:from>
    <xdr:to>
      <xdr:col>6</xdr:col>
      <xdr:colOff>0</xdr:colOff>
      <xdr:row>35</xdr:row>
      <xdr:rowOff>0</xdr:rowOff>
    </xdr:to>
    <xdr:pic>
      <xdr:nvPicPr>
        <xdr:cNvPr id="9" name="Imagem 8">
          <a:extLst>
            <a:ext uri="{FF2B5EF4-FFF2-40B4-BE49-F238E27FC236}">
              <a16:creationId xmlns="" xmlns:a16="http://schemas.microsoft.com/office/drawing/2014/main" id="{931DC7B6-7285-4105-9F6B-11B20A0ADD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10643" y="5241952"/>
          <a:ext cx="4463143" cy="3806798"/>
        </a:xfrm>
        <a:prstGeom prst="rect">
          <a:avLst/>
        </a:prstGeom>
      </xdr:spPr>
    </xdr:pic>
    <xdr:clientData/>
  </xdr:twoCellAnchor>
  <xdr:twoCellAnchor editAs="oneCell">
    <xdr:from>
      <xdr:col>2</xdr:col>
      <xdr:colOff>467293</xdr:colOff>
      <xdr:row>41</xdr:row>
      <xdr:rowOff>242453</xdr:rowOff>
    </xdr:from>
    <xdr:to>
      <xdr:col>5</xdr:col>
      <xdr:colOff>1021773</xdr:colOff>
      <xdr:row>56</xdr:row>
      <xdr:rowOff>125395</xdr:rowOff>
    </xdr:to>
    <xdr:pic>
      <xdr:nvPicPr>
        <xdr:cNvPr id="13" name="Imagem 12">
          <a:extLst>
            <a:ext uri="{FF2B5EF4-FFF2-40B4-BE49-F238E27FC236}">
              <a16:creationId xmlns="" xmlns:a16="http://schemas.microsoft.com/office/drawing/2014/main" id="{B4E7F5EE-AB63-453E-8FC3-CBE0FFDD67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16975" y="10893135"/>
          <a:ext cx="4745480" cy="37795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68036</xdr:colOff>
      <xdr:row>0</xdr:row>
      <xdr:rowOff>176891</xdr:rowOff>
    </xdr:from>
    <xdr:to>
      <xdr:col>8</xdr:col>
      <xdr:colOff>1016000</xdr:colOff>
      <xdr:row>7</xdr:row>
      <xdr:rowOff>127000</xdr:rowOff>
    </xdr:to>
    <xdr:pic>
      <xdr:nvPicPr>
        <xdr:cNvPr id="2" name="Imagem 1">
          <a:extLst>
            <a:ext uri="{FF2B5EF4-FFF2-40B4-BE49-F238E27FC236}">
              <a16:creationId xmlns="" xmlns:a16="http://schemas.microsoft.com/office/drawing/2014/main" id="{18E3B4C5-E630-49E6-A7D6-359C66BA9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6786" y="176891"/>
          <a:ext cx="10330089" cy="172810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3" name="Imagem 2">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176890"/>
          <a:ext cx="11061700" cy="1690691"/>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4" name="Imagem 3">
          <a:extLst>
            <a:ext uri="{FF2B5EF4-FFF2-40B4-BE49-F238E27FC236}">
              <a16:creationId xmlns=""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103429" cy="171450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 xmlns:a16="http://schemas.microsoft.com/office/drawing/2014/main" id="{1BDDD8A2-761E-4869-8D19-E43D1800F9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66AD0219-A3E6-4B7B-BF92-6BA1251EF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 xmlns:a16="http://schemas.microsoft.com/office/drawing/2014/main" id="{BA235B0F-5F51-47B5-AEAC-5CA347E02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33F7AA78-0E5C-4592-AD76-6385CAA28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33F7AA78-0E5C-4592-AD76-6385CAA28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41B86D2A-4186-44DC-BE5E-D558F9BAA0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 xmlns:a16="http://schemas.microsoft.com/office/drawing/2014/main" id="{1C1ADCB9-ECE3-4DD7-9E3F-59E454B62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EDCC8C80-5664-4356-B980-91ABC97AAA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 xmlns:a16="http://schemas.microsoft.com/office/drawing/2014/main" id="{1C1ADCB9-ECE3-4DD7-9E3F-59E454B62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2F789B0F-CFA6-4FDC-9FFF-0A4D357F73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 xmlns:a16="http://schemas.microsoft.com/office/drawing/2014/main" id="{1C1ADCB9-ECE3-4DD7-9E3F-59E454B62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33F7AA78-0E5C-4592-AD76-6385CAA28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33F7AA78-0E5C-4592-AD76-6385CAA28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33F7AA78-0E5C-4592-AD76-6385CAA28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443DC1A6-169C-4C5D-8F2B-F3B52AA03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 xmlns:a16="http://schemas.microsoft.com/office/drawing/2014/main" id="{3A35EEFB-5D06-4BA7-9FC6-6C83C05B5A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33F7AA78-0E5C-4592-AD76-6385CAA28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33F7AA78-0E5C-4592-AD76-6385CAA28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12652F48-9932-4D5A-965C-089E24CA37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108858</xdr:rowOff>
    </xdr:from>
    <xdr:to>
      <xdr:col>8</xdr:col>
      <xdr:colOff>1061358</xdr:colOff>
      <xdr:row>7</xdr:row>
      <xdr:rowOff>108861</xdr:rowOff>
    </xdr:to>
    <xdr:pic>
      <xdr:nvPicPr>
        <xdr:cNvPr id="2" name="Imagem 1">
          <a:extLst>
            <a:ext uri="{FF2B5EF4-FFF2-40B4-BE49-F238E27FC236}">
              <a16:creationId xmlns="" xmlns:a16="http://schemas.microsoft.com/office/drawing/2014/main" id="{37AC8C75-FA92-45B5-8209-664DA32C8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08858"/>
          <a:ext cx="11091183" cy="17335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EB046B2D-8F3E-4F08-8B20-9C9A18AF3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reinamentos/EMATER-DF/Solos%20e%20Hidroponia/SISFrutas%202020/Frutas_Aduba&#231;&#227;o_descomplicada_fraz&#227;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esentação"/>
      <sheetName val="Adubos e corretivos"/>
      <sheetName val="Análise de solo"/>
      <sheetName val="Análise foliar"/>
      <sheetName val="Conversão de unidades"/>
      <sheetName val="Espaçamentos"/>
      <sheetName val="Abacate formação"/>
      <sheetName val="Abacate produção"/>
      <sheetName val="Abacaxi produção"/>
      <sheetName val="Acerola formação"/>
      <sheetName val="Acerola produção"/>
      <sheetName val="Banana formação"/>
      <sheetName val="Banana produção"/>
      <sheetName val="Goiaba formação"/>
      <sheetName val="Goiaba produção"/>
      <sheetName val="Graviola formação"/>
      <sheetName val="Graviola produção"/>
      <sheetName val="Laranja industria formação"/>
      <sheetName val="Laranja industria produção"/>
      <sheetName val="Laranja Tangerina mesa formação"/>
      <sheetName val="Laranja Tangerina mesa produção"/>
      <sheetName val="Limão e Lima formação"/>
      <sheetName val="Limão e Lima produção"/>
      <sheetName val="Mamão produção"/>
      <sheetName val="Manga formação"/>
      <sheetName val="Manga produção"/>
      <sheetName val="Maracujá formação"/>
      <sheetName val="Maracujá produção"/>
      <sheetName val="Pitaya formação"/>
      <sheetName val="Pitaya produção"/>
      <sheetName val="Banana produção (2)"/>
    </sheetNames>
    <sheetDataSet>
      <sheetData sheetId="0"/>
      <sheetData sheetId="1">
        <row r="3">
          <cell r="C3" t="str">
            <v>Uréia</v>
          </cell>
          <cell r="D3">
            <v>2.8</v>
          </cell>
          <cell r="E3">
            <v>45</v>
          </cell>
          <cell r="F3"/>
          <cell r="G3"/>
          <cell r="H3"/>
          <cell r="I3"/>
          <cell r="J3"/>
          <cell r="K3"/>
          <cell r="L3"/>
          <cell r="M3"/>
          <cell r="N3"/>
          <cell r="O3"/>
          <cell r="P3"/>
          <cell r="Q3"/>
          <cell r="R3"/>
          <cell r="S3"/>
          <cell r="T3">
            <v>45</v>
          </cell>
          <cell r="U3">
            <v>0</v>
          </cell>
          <cell r="V3"/>
        </row>
        <row r="4">
          <cell r="C4" t="str">
            <v>Sulfato de amônio</v>
          </cell>
          <cell r="D4">
            <v>1.72</v>
          </cell>
          <cell r="E4">
            <v>20</v>
          </cell>
          <cell r="F4"/>
          <cell r="G4"/>
          <cell r="H4"/>
          <cell r="I4"/>
          <cell r="J4"/>
          <cell r="K4"/>
          <cell r="L4">
            <v>24</v>
          </cell>
          <cell r="M4"/>
          <cell r="N4"/>
          <cell r="O4"/>
          <cell r="P4"/>
          <cell r="Q4"/>
          <cell r="R4"/>
          <cell r="S4"/>
          <cell r="T4">
            <v>20</v>
          </cell>
          <cell r="U4">
            <v>0</v>
          </cell>
          <cell r="V4"/>
        </row>
        <row r="5">
          <cell r="C5" t="str">
            <v>Nitrato de Amônio</v>
          </cell>
          <cell r="D5"/>
          <cell r="E5">
            <v>29</v>
          </cell>
          <cell r="F5"/>
          <cell r="G5"/>
          <cell r="H5"/>
          <cell r="I5"/>
          <cell r="J5"/>
          <cell r="K5">
            <v>1</v>
          </cell>
          <cell r="L5">
            <v>1</v>
          </cell>
          <cell r="M5"/>
          <cell r="N5"/>
          <cell r="O5">
            <v>1</v>
          </cell>
          <cell r="P5"/>
          <cell r="Q5"/>
          <cell r="R5"/>
          <cell r="S5"/>
          <cell r="T5">
            <v>14.5</v>
          </cell>
          <cell r="U5">
            <v>14.5</v>
          </cell>
          <cell r="V5">
            <v>1.5</v>
          </cell>
        </row>
        <row r="6">
          <cell r="C6" t="str">
            <v>Nitrato de cálcio</v>
          </cell>
          <cell r="D6">
            <v>2.56</v>
          </cell>
          <cell r="E6">
            <v>15</v>
          </cell>
          <cell r="F6"/>
          <cell r="G6"/>
          <cell r="H6"/>
          <cell r="I6"/>
          <cell r="J6">
            <v>19</v>
          </cell>
          <cell r="K6"/>
          <cell r="L6"/>
          <cell r="M6"/>
          <cell r="N6"/>
          <cell r="O6"/>
          <cell r="P6"/>
          <cell r="Q6"/>
          <cell r="R6"/>
          <cell r="S6"/>
          <cell r="T6">
            <v>1</v>
          </cell>
          <cell r="U6">
            <v>14</v>
          </cell>
          <cell r="V6">
            <v>1.18</v>
          </cell>
        </row>
        <row r="7">
          <cell r="C7" t="str">
            <v>Nitrato de magnésio</v>
          </cell>
          <cell r="D7">
            <v>4.5999999999999996</v>
          </cell>
          <cell r="E7">
            <v>11</v>
          </cell>
          <cell r="F7"/>
          <cell r="G7"/>
          <cell r="H7"/>
          <cell r="I7"/>
          <cell r="J7"/>
          <cell r="K7">
            <v>9.5</v>
          </cell>
          <cell r="L7"/>
          <cell r="M7"/>
          <cell r="N7"/>
          <cell r="O7"/>
          <cell r="P7"/>
          <cell r="Q7"/>
          <cell r="R7"/>
          <cell r="S7"/>
          <cell r="T7">
            <v>0</v>
          </cell>
          <cell r="U7">
            <v>11</v>
          </cell>
          <cell r="V7">
            <v>0.9</v>
          </cell>
        </row>
        <row r="8">
          <cell r="C8" t="str">
            <v>Nitrato de potássio</v>
          </cell>
          <cell r="D8">
            <v>5.92</v>
          </cell>
          <cell r="E8">
            <v>12</v>
          </cell>
          <cell r="F8"/>
          <cell r="G8"/>
          <cell r="H8">
            <v>38</v>
          </cell>
          <cell r="I8"/>
          <cell r="J8"/>
          <cell r="K8"/>
          <cell r="L8"/>
          <cell r="M8"/>
          <cell r="N8"/>
          <cell r="O8"/>
          <cell r="P8"/>
          <cell r="Q8"/>
          <cell r="R8"/>
          <cell r="S8"/>
          <cell r="T8">
            <v>0</v>
          </cell>
          <cell r="U8">
            <v>12</v>
          </cell>
          <cell r="V8">
            <v>1.28</v>
          </cell>
        </row>
        <row r="9">
          <cell r="C9" t="str">
            <v>Superfosfato simples</v>
          </cell>
          <cell r="D9">
            <v>1.68</v>
          </cell>
          <cell r="E9"/>
          <cell r="F9">
            <v>7.86</v>
          </cell>
          <cell r="G9">
            <v>18</v>
          </cell>
          <cell r="H9"/>
          <cell r="I9"/>
          <cell r="J9"/>
          <cell r="K9"/>
          <cell r="L9"/>
          <cell r="M9"/>
          <cell r="N9"/>
          <cell r="O9"/>
          <cell r="P9"/>
          <cell r="Q9"/>
          <cell r="R9"/>
          <cell r="S9"/>
          <cell r="T9"/>
          <cell r="U9"/>
          <cell r="V9"/>
        </row>
        <row r="10">
          <cell r="C10" t="str">
            <v>Superfosfato triplo</v>
          </cell>
          <cell r="D10">
            <v>3.8</v>
          </cell>
          <cell r="E10"/>
          <cell r="F10">
            <v>17.91</v>
          </cell>
          <cell r="G10">
            <v>41</v>
          </cell>
          <cell r="H10"/>
          <cell r="I10"/>
          <cell r="J10"/>
          <cell r="K10"/>
          <cell r="L10"/>
          <cell r="M10"/>
          <cell r="N10"/>
          <cell r="O10"/>
          <cell r="P10"/>
          <cell r="Q10"/>
          <cell r="R10"/>
          <cell r="S10"/>
          <cell r="T10"/>
          <cell r="U10"/>
          <cell r="V10"/>
        </row>
        <row r="11">
          <cell r="C11" t="str">
            <v>Cloreto de potássio</v>
          </cell>
          <cell r="D11">
            <v>3.48</v>
          </cell>
          <cell r="E11"/>
          <cell r="F11"/>
          <cell r="G11"/>
          <cell r="H11">
            <v>50</v>
          </cell>
          <cell r="I11">
            <v>60</v>
          </cell>
          <cell r="J11"/>
          <cell r="K11"/>
          <cell r="L11"/>
          <cell r="M11"/>
          <cell r="N11"/>
          <cell r="O11"/>
          <cell r="P11"/>
          <cell r="Q11"/>
          <cell r="R11"/>
          <cell r="S11"/>
          <cell r="T11">
            <v>0</v>
          </cell>
          <cell r="U11">
            <v>0</v>
          </cell>
          <cell r="V11">
            <v>1.7</v>
          </cell>
        </row>
        <row r="12">
          <cell r="C12" t="str">
            <v>Sulfato de potássio</v>
          </cell>
          <cell r="D12">
            <v>5.32</v>
          </cell>
          <cell r="E12"/>
          <cell r="F12"/>
          <cell r="G12"/>
          <cell r="H12">
            <v>43</v>
          </cell>
          <cell r="I12">
            <v>52</v>
          </cell>
          <cell r="J12"/>
          <cell r="K12"/>
          <cell r="L12">
            <v>17</v>
          </cell>
          <cell r="M12"/>
          <cell r="N12"/>
          <cell r="O12"/>
          <cell r="P12"/>
          <cell r="Q12"/>
          <cell r="R12"/>
          <cell r="S12"/>
          <cell r="T12">
            <v>0</v>
          </cell>
          <cell r="U12">
            <v>0</v>
          </cell>
          <cell r="V12">
            <v>1.2</v>
          </cell>
        </row>
        <row r="13">
          <cell r="C13" t="str">
            <v>DRIPSOL Alface</v>
          </cell>
          <cell r="D13">
            <v>9</v>
          </cell>
          <cell r="E13"/>
          <cell r="F13"/>
          <cell r="G13"/>
          <cell r="H13">
            <v>43</v>
          </cell>
          <cell r="I13">
            <v>52</v>
          </cell>
          <cell r="J13"/>
          <cell r="K13"/>
          <cell r="L13"/>
          <cell r="M13"/>
          <cell r="N13"/>
          <cell r="O13"/>
          <cell r="P13"/>
          <cell r="Q13"/>
          <cell r="R13"/>
          <cell r="S13"/>
          <cell r="T13">
            <v>0</v>
          </cell>
          <cell r="U13">
            <v>0</v>
          </cell>
          <cell r="V13"/>
        </row>
        <row r="14">
          <cell r="C14" t="str">
            <v>MAP</v>
          </cell>
          <cell r="D14">
            <v>5.52</v>
          </cell>
          <cell r="E14">
            <v>12</v>
          </cell>
          <cell r="F14">
            <v>27</v>
          </cell>
          <cell r="G14">
            <v>62</v>
          </cell>
          <cell r="H14"/>
          <cell r="I14"/>
          <cell r="J14"/>
          <cell r="K14"/>
          <cell r="L14"/>
          <cell r="M14"/>
          <cell r="N14"/>
          <cell r="O14"/>
          <cell r="P14"/>
          <cell r="Q14"/>
          <cell r="R14"/>
          <cell r="S14"/>
          <cell r="T14">
            <v>12</v>
          </cell>
          <cell r="U14">
            <v>0</v>
          </cell>
          <cell r="V14">
            <v>0.95</v>
          </cell>
        </row>
        <row r="15">
          <cell r="C15" t="str">
            <v>MKP</v>
          </cell>
          <cell r="D15">
            <v>8.92</v>
          </cell>
          <cell r="E15"/>
          <cell r="F15">
            <v>23</v>
          </cell>
          <cell r="G15">
            <v>53</v>
          </cell>
          <cell r="H15">
            <v>28</v>
          </cell>
          <cell r="I15">
            <v>34</v>
          </cell>
          <cell r="J15"/>
          <cell r="K15"/>
          <cell r="L15"/>
          <cell r="M15"/>
          <cell r="N15"/>
          <cell r="O15"/>
          <cell r="P15"/>
          <cell r="Q15"/>
          <cell r="R15"/>
          <cell r="S15"/>
          <cell r="T15">
            <v>0</v>
          </cell>
          <cell r="U15">
            <v>0</v>
          </cell>
          <cell r="V15">
            <v>0.7</v>
          </cell>
        </row>
        <row r="16">
          <cell r="C16"/>
          <cell r="D16"/>
          <cell r="E16"/>
          <cell r="F16"/>
          <cell r="G16"/>
          <cell r="H16"/>
          <cell r="I16"/>
          <cell r="J16"/>
          <cell r="K16"/>
          <cell r="L16"/>
          <cell r="M16"/>
          <cell r="N16"/>
          <cell r="O16"/>
          <cell r="P16"/>
          <cell r="Q16"/>
          <cell r="R16"/>
          <cell r="S16"/>
          <cell r="T16"/>
          <cell r="U16"/>
          <cell r="V16"/>
        </row>
        <row r="17">
          <cell r="C17"/>
          <cell r="D17"/>
          <cell r="E17"/>
          <cell r="F17"/>
          <cell r="G17"/>
          <cell r="H17"/>
          <cell r="I17"/>
          <cell r="J17"/>
          <cell r="K17"/>
          <cell r="L17"/>
          <cell r="M17"/>
          <cell r="N17"/>
          <cell r="O17"/>
          <cell r="P17"/>
          <cell r="Q17"/>
          <cell r="R17"/>
          <cell r="S17"/>
          <cell r="T17"/>
          <cell r="U17"/>
          <cell r="V17"/>
        </row>
        <row r="18">
          <cell r="C18" t="str">
            <v>Formulado 03-18-05</v>
          </cell>
          <cell r="D18">
            <v>1.88</v>
          </cell>
          <cell r="E18">
            <v>3</v>
          </cell>
          <cell r="F18">
            <v>7.87</v>
          </cell>
          <cell r="G18">
            <v>18</v>
          </cell>
          <cell r="H18">
            <v>4.2</v>
          </cell>
          <cell r="I18">
            <v>5</v>
          </cell>
          <cell r="J18"/>
          <cell r="K18"/>
          <cell r="L18"/>
          <cell r="M18"/>
          <cell r="N18"/>
          <cell r="O18"/>
          <cell r="P18"/>
          <cell r="Q18"/>
          <cell r="R18"/>
          <cell r="S18"/>
          <cell r="T18"/>
          <cell r="U18"/>
          <cell r="V18"/>
        </row>
        <row r="19">
          <cell r="C19" t="str">
            <v>Formulado 04-14-08</v>
          </cell>
          <cell r="D19">
            <v>1.86</v>
          </cell>
          <cell r="E19">
            <v>4</v>
          </cell>
          <cell r="F19">
            <v>6.15</v>
          </cell>
          <cell r="G19">
            <v>14</v>
          </cell>
          <cell r="H19">
            <v>6.65</v>
          </cell>
          <cell r="I19">
            <v>8</v>
          </cell>
          <cell r="J19"/>
          <cell r="K19"/>
          <cell r="L19"/>
          <cell r="M19"/>
          <cell r="N19"/>
          <cell r="O19"/>
          <cell r="P19"/>
          <cell r="Q19"/>
          <cell r="R19"/>
          <cell r="S19"/>
          <cell r="T19"/>
          <cell r="U19"/>
          <cell r="V19"/>
        </row>
        <row r="20">
          <cell r="C20" t="str">
            <v>Formulado 04-30-16</v>
          </cell>
          <cell r="D20">
            <v>2.52</v>
          </cell>
          <cell r="E20">
            <v>4</v>
          </cell>
          <cell r="F20">
            <v>13.1</v>
          </cell>
          <cell r="G20">
            <v>30</v>
          </cell>
          <cell r="H20">
            <v>13.3</v>
          </cell>
          <cell r="I20">
            <v>16</v>
          </cell>
          <cell r="J20"/>
          <cell r="K20"/>
          <cell r="L20"/>
          <cell r="M20"/>
          <cell r="N20"/>
          <cell r="O20"/>
          <cell r="P20"/>
          <cell r="Q20"/>
          <cell r="R20"/>
          <cell r="S20"/>
          <cell r="T20"/>
          <cell r="U20"/>
          <cell r="V20"/>
        </row>
        <row r="21">
          <cell r="C21" t="str">
            <v>Formulado 05-25-15</v>
          </cell>
          <cell r="D21">
            <v>2</v>
          </cell>
          <cell r="E21">
            <v>5</v>
          </cell>
          <cell r="F21">
            <v>10.95</v>
          </cell>
          <cell r="G21">
            <v>25</v>
          </cell>
          <cell r="H21">
            <v>12.45</v>
          </cell>
          <cell r="I21">
            <v>15</v>
          </cell>
          <cell r="J21"/>
          <cell r="K21"/>
          <cell r="L21"/>
          <cell r="M21"/>
          <cell r="N21"/>
          <cell r="O21"/>
          <cell r="P21"/>
          <cell r="Q21"/>
          <cell r="R21"/>
          <cell r="S21"/>
          <cell r="T21"/>
          <cell r="U21"/>
          <cell r="V21"/>
        </row>
        <row r="22">
          <cell r="C22" t="str">
            <v>Formulado 04-30-10</v>
          </cell>
          <cell r="D22">
            <v>2.44</v>
          </cell>
          <cell r="E22">
            <v>4</v>
          </cell>
          <cell r="F22">
            <v>13.1</v>
          </cell>
          <cell r="G22">
            <v>30</v>
          </cell>
          <cell r="H22">
            <v>8.3000000000000007</v>
          </cell>
          <cell r="I22">
            <v>10</v>
          </cell>
          <cell r="J22"/>
          <cell r="K22"/>
          <cell r="L22"/>
          <cell r="M22"/>
          <cell r="N22"/>
          <cell r="O22"/>
          <cell r="P22"/>
          <cell r="Q22"/>
          <cell r="R22"/>
          <cell r="S22"/>
          <cell r="T22"/>
          <cell r="U22"/>
          <cell r="V22"/>
        </row>
        <row r="23">
          <cell r="C23" t="str">
            <v>Formulado 00-18-00</v>
          </cell>
          <cell r="D23"/>
          <cell r="E23"/>
          <cell r="F23">
            <v>7.87</v>
          </cell>
          <cell r="G23">
            <v>18</v>
          </cell>
          <cell r="H23"/>
          <cell r="I23"/>
          <cell r="J23"/>
          <cell r="K23"/>
          <cell r="L23"/>
          <cell r="M23"/>
          <cell r="N23"/>
          <cell r="O23"/>
          <cell r="P23"/>
          <cell r="Q23"/>
          <cell r="R23"/>
          <cell r="S23"/>
          <cell r="T23"/>
          <cell r="U23"/>
          <cell r="V23"/>
        </row>
        <row r="24">
          <cell r="C24" t="str">
            <v>Formulado 08-24-08</v>
          </cell>
          <cell r="D24">
            <v>4.2</v>
          </cell>
          <cell r="E24">
            <v>8</v>
          </cell>
          <cell r="F24">
            <v>10.5</v>
          </cell>
          <cell r="G24">
            <v>24</v>
          </cell>
          <cell r="H24">
            <v>6.65</v>
          </cell>
          <cell r="I24">
            <v>8</v>
          </cell>
          <cell r="J24"/>
          <cell r="K24"/>
          <cell r="L24"/>
          <cell r="M24"/>
          <cell r="N24"/>
          <cell r="O24"/>
          <cell r="P24"/>
          <cell r="Q24"/>
          <cell r="R24"/>
          <cell r="S24"/>
          <cell r="T24"/>
          <cell r="U24"/>
          <cell r="V24"/>
        </row>
        <row r="25">
          <cell r="C25" t="str">
            <v>Formulado 04-26-10</v>
          </cell>
          <cell r="D25">
            <v>2.52</v>
          </cell>
          <cell r="E25">
            <v>4</v>
          </cell>
          <cell r="F25">
            <v>11.35</v>
          </cell>
          <cell r="G25">
            <v>26</v>
          </cell>
          <cell r="H25">
            <v>8.3000000000000007</v>
          </cell>
          <cell r="I25">
            <v>10</v>
          </cell>
          <cell r="J25"/>
          <cell r="K25"/>
          <cell r="L25"/>
          <cell r="M25"/>
          <cell r="N25"/>
          <cell r="O25"/>
          <cell r="P25"/>
          <cell r="Q25"/>
          <cell r="R25"/>
          <cell r="S25"/>
          <cell r="T25"/>
          <cell r="U25"/>
          <cell r="V25"/>
        </row>
        <row r="26">
          <cell r="C26" t="str">
            <v>Formulado 12-03-24</v>
          </cell>
          <cell r="D26">
            <v>2.72</v>
          </cell>
          <cell r="E26">
            <v>12</v>
          </cell>
          <cell r="F26">
            <v>1.31</v>
          </cell>
          <cell r="G26">
            <v>3</v>
          </cell>
          <cell r="H26">
            <v>20</v>
          </cell>
          <cell r="I26">
            <v>24</v>
          </cell>
          <cell r="J26"/>
          <cell r="K26"/>
          <cell r="L26"/>
          <cell r="M26"/>
          <cell r="N26"/>
          <cell r="O26"/>
          <cell r="P26"/>
          <cell r="Q26"/>
          <cell r="R26"/>
          <cell r="S26"/>
          <cell r="T26"/>
          <cell r="U26"/>
          <cell r="V26"/>
        </row>
        <row r="27">
          <cell r="C27" t="str">
            <v>Formulado 13-3-25</v>
          </cell>
          <cell r="D27">
            <v>2.2799999999999998</v>
          </cell>
          <cell r="E27">
            <v>13</v>
          </cell>
          <cell r="F27">
            <v>1.31</v>
          </cell>
          <cell r="G27">
            <v>3</v>
          </cell>
          <cell r="H27">
            <v>20.8</v>
          </cell>
          <cell r="I27">
            <v>25</v>
          </cell>
          <cell r="J27"/>
          <cell r="K27"/>
          <cell r="L27"/>
          <cell r="M27"/>
          <cell r="N27"/>
          <cell r="O27"/>
          <cell r="P27"/>
          <cell r="Q27"/>
          <cell r="R27"/>
          <cell r="S27"/>
          <cell r="T27"/>
          <cell r="U27"/>
          <cell r="V27"/>
        </row>
        <row r="28">
          <cell r="C28" t="str">
            <v>Formulado 10-10-10</v>
          </cell>
          <cell r="D28">
            <v>2</v>
          </cell>
          <cell r="E28">
            <v>10</v>
          </cell>
          <cell r="F28">
            <v>4.4000000000000004</v>
          </cell>
          <cell r="G28">
            <v>10</v>
          </cell>
          <cell r="H28">
            <v>8.3000000000000007</v>
          </cell>
          <cell r="I28">
            <v>10</v>
          </cell>
          <cell r="J28"/>
          <cell r="K28"/>
          <cell r="L28"/>
          <cell r="M28"/>
          <cell r="N28"/>
          <cell r="O28"/>
          <cell r="P28"/>
          <cell r="Q28"/>
          <cell r="R28"/>
          <cell r="S28"/>
          <cell r="T28"/>
          <cell r="U28"/>
          <cell r="V28"/>
        </row>
        <row r="29">
          <cell r="C29" t="str">
            <v>Formulado 20-00-20</v>
          </cell>
          <cell r="D29">
            <v>2.2799999999999998</v>
          </cell>
          <cell r="E29">
            <v>20</v>
          </cell>
          <cell r="F29"/>
          <cell r="G29"/>
          <cell r="H29">
            <v>16.600000000000001</v>
          </cell>
          <cell r="I29">
            <v>20</v>
          </cell>
          <cell r="J29"/>
          <cell r="K29"/>
          <cell r="L29"/>
          <cell r="M29"/>
          <cell r="N29"/>
          <cell r="O29"/>
          <cell r="P29"/>
          <cell r="Q29"/>
          <cell r="R29"/>
          <cell r="S29"/>
          <cell r="T29"/>
          <cell r="U29"/>
          <cell r="V29"/>
        </row>
        <row r="30">
          <cell r="C30" t="str">
            <v>Formulado 07-00-30 + 12% Calcio</v>
          </cell>
          <cell r="D30">
            <v>3.36</v>
          </cell>
          <cell r="E30">
            <v>7</v>
          </cell>
          <cell r="F30"/>
          <cell r="G30"/>
          <cell r="H30">
            <v>24.89</v>
          </cell>
          <cell r="I30">
            <v>30</v>
          </cell>
          <cell r="J30">
            <v>12</v>
          </cell>
          <cell r="K30"/>
          <cell r="L30"/>
          <cell r="M30"/>
          <cell r="N30"/>
          <cell r="O30"/>
          <cell r="P30"/>
          <cell r="Q30"/>
          <cell r="R30"/>
          <cell r="S30"/>
          <cell r="T30"/>
          <cell r="U30"/>
          <cell r="V30"/>
        </row>
        <row r="31">
          <cell r="C31"/>
          <cell r="D31"/>
          <cell r="E31"/>
          <cell r="F31"/>
          <cell r="G31"/>
          <cell r="H31"/>
          <cell r="I31"/>
          <cell r="J31"/>
          <cell r="K31"/>
          <cell r="L31"/>
          <cell r="M31"/>
          <cell r="N31"/>
          <cell r="O31"/>
          <cell r="P31"/>
          <cell r="Q31"/>
          <cell r="R31"/>
          <cell r="S31"/>
          <cell r="T31"/>
          <cell r="U31"/>
          <cell r="V31"/>
        </row>
        <row r="32">
          <cell r="C32"/>
          <cell r="D32"/>
          <cell r="E32"/>
          <cell r="F32"/>
          <cell r="G32"/>
          <cell r="H32"/>
          <cell r="I32"/>
          <cell r="J32"/>
          <cell r="K32"/>
          <cell r="L32"/>
          <cell r="M32"/>
          <cell r="N32"/>
          <cell r="O32"/>
          <cell r="P32"/>
          <cell r="Q32"/>
          <cell r="R32"/>
          <cell r="S32"/>
          <cell r="T32"/>
          <cell r="U32"/>
          <cell r="V32"/>
        </row>
        <row r="33">
          <cell r="C33"/>
          <cell r="D33"/>
          <cell r="E33"/>
          <cell r="F33"/>
          <cell r="G33"/>
          <cell r="H33"/>
          <cell r="I33"/>
          <cell r="J33"/>
          <cell r="K33"/>
          <cell r="L33"/>
          <cell r="M33"/>
          <cell r="N33"/>
          <cell r="O33"/>
          <cell r="P33"/>
          <cell r="Q33"/>
          <cell r="R33"/>
          <cell r="S33"/>
          <cell r="T33"/>
          <cell r="U33"/>
          <cell r="V33"/>
        </row>
        <row r="34">
          <cell r="C34" t="str">
            <v>Esterco de galinha</v>
          </cell>
          <cell r="D34">
            <v>0.25</v>
          </cell>
          <cell r="E34">
            <v>3</v>
          </cell>
          <cell r="F34">
            <v>1.31</v>
          </cell>
          <cell r="G34">
            <v>3</v>
          </cell>
          <cell r="H34">
            <v>1.665</v>
          </cell>
          <cell r="I34">
            <v>2</v>
          </cell>
          <cell r="J34"/>
          <cell r="K34"/>
          <cell r="L34"/>
          <cell r="M34"/>
          <cell r="N34"/>
          <cell r="O34"/>
          <cell r="P34"/>
          <cell r="Q34"/>
          <cell r="R34"/>
          <cell r="S34"/>
          <cell r="T34"/>
          <cell r="U34"/>
          <cell r="V34"/>
        </row>
        <row r="35">
          <cell r="C35" t="str">
            <v>Esterco de gado</v>
          </cell>
          <cell r="D35">
            <v>0.25</v>
          </cell>
          <cell r="E35">
            <v>1</v>
          </cell>
          <cell r="F35">
            <v>0.4366666666666667</v>
          </cell>
          <cell r="G35">
            <v>1</v>
          </cell>
          <cell r="H35">
            <v>0.55500000000000005</v>
          </cell>
          <cell r="I35">
            <v>0.7</v>
          </cell>
          <cell r="J35"/>
          <cell r="K35"/>
          <cell r="L35"/>
          <cell r="M35"/>
          <cell r="N35"/>
          <cell r="O35"/>
          <cell r="P35"/>
          <cell r="Q35"/>
          <cell r="R35"/>
          <cell r="S35"/>
          <cell r="T35"/>
          <cell r="U35"/>
          <cell r="V35"/>
        </row>
        <row r="36">
          <cell r="C36" t="str">
            <v>Minhofertil</v>
          </cell>
          <cell r="D36"/>
          <cell r="E36">
            <v>1</v>
          </cell>
          <cell r="F36"/>
          <cell r="G36"/>
          <cell r="H36"/>
          <cell r="I36"/>
          <cell r="J36"/>
          <cell r="K36"/>
          <cell r="L36"/>
          <cell r="M36"/>
          <cell r="N36"/>
          <cell r="O36"/>
          <cell r="P36"/>
          <cell r="Q36"/>
          <cell r="R36"/>
          <cell r="S36"/>
          <cell r="T36"/>
          <cell r="U36"/>
          <cell r="V36"/>
        </row>
        <row r="37">
          <cell r="C37" t="str">
            <v>Torta de mamona Super thorg</v>
          </cell>
          <cell r="D37"/>
          <cell r="E37">
            <v>9.1</v>
          </cell>
          <cell r="F37"/>
          <cell r="G37"/>
          <cell r="H37"/>
          <cell r="I37"/>
          <cell r="J37"/>
          <cell r="K37"/>
          <cell r="L37"/>
          <cell r="M37"/>
          <cell r="N37"/>
          <cell r="O37"/>
          <cell r="P37"/>
          <cell r="Q37"/>
          <cell r="R37"/>
          <cell r="S37"/>
          <cell r="T37"/>
          <cell r="U37"/>
          <cell r="V37"/>
        </row>
        <row r="38">
          <cell r="C38" t="str">
            <v>Torta de mamona Nutrisafra</v>
          </cell>
          <cell r="D38"/>
          <cell r="E38">
            <v>5</v>
          </cell>
          <cell r="F38"/>
          <cell r="G38"/>
          <cell r="H38"/>
          <cell r="I38"/>
          <cell r="J38"/>
          <cell r="K38"/>
          <cell r="L38"/>
          <cell r="M38"/>
          <cell r="N38"/>
          <cell r="O38"/>
          <cell r="P38"/>
          <cell r="Q38"/>
          <cell r="R38"/>
          <cell r="S38"/>
          <cell r="T38"/>
          <cell r="U38"/>
          <cell r="V38"/>
        </row>
        <row r="39">
          <cell r="C39" t="str">
            <v>Torta de mamona Vitaplan</v>
          </cell>
          <cell r="D39"/>
          <cell r="E39">
            <v>8.5</v>
          </cell>
          <cell r="F39"/>
          <cell r="G39"/>
          <cell r="H39"/>
          <cell r="I39"/>
          <cell r="J39"/>
          <cell r="K39"/>
          <cell r="L39"/>
          <cell r="M39"/>
          <cell r="N39"/>
          <cell r="O39"/>
          <cell r="P39"/>
          <cell r="Q39"/>
          <cell r="R39"/>
          <cell r="S39"/>
          <cell r="T39"/>
          <cell r="U39"/>
          <cell r="V39"/>
        </row>
        <row r="40">
          <cell r="C40" t="str">
            <v>Farinha de osso</v>
          </cell>
          <cell r="D40"/>
          <cell r="E40">
            <v>0</v>
          </cell>
          <cell r="F40">
            <v>18.2</v>
          </cell>
          <cell r="G40">
            <v>42</v>
          </cell>
          <cell r="H40"/>
          <cell r="I40"/>
          <cell r="J40">
            <v>39.5</v>
          </cell>
          <cell r="K40"/>
          <cell r="L40"/>
          <cell r="M40"/>
          <cell r="N40"/>
          <cell r="O40"/>
          <cell r="P40"/>
          <cell r="Q40"/>
          <cell r="R40"/>
          <cell r="S40"/>
          <cell r="T40">
            <v>7.5</v>
          </cell>
          <cell r="U40"/>
          <cell r="V40"/>
        </row>
        <row r="41">
          <cell r="C41" t="str">
            <v>Termofosfato YOORIN</v>
          </cell>
          <cell r="D41">
            <v>2.3250000000000002</v>
          </cell>
          <cell r="E41"/>
          <cell r="F41">
            <v>7.6440000000000001</v>
          </cell>
          <cell r="G41">
            <v>17.5</v>
          </cell>
          <cell r="H41"/>
          <cell r="I41"/>
          <cell r="J41">
            <v>18</v>
          </cell>
          <cell r="K41">
            <v>7</v>
          </cell>
          <cell r="L41"/>
          <cell r="M41">
            <v>0.1</v>
          </cell>
          <cell r="N41">
            <v>0.3</v>
          </cell>
          <cell r="O41">
            <v>5.5</v>
          </cell>
          <cell r="P41">
            <v>0.5</v>
          </cell>
          <cell r="Q41"/>
          <cell r="R41"/>
          <cell r="S41">
            <v>10</v>
          </cell>
          <cell r="T41"/>
          <cell r="U41"/>
          <cell r="V41"/>
        </row>
        <row r="42">
          <cell r="C42" t="str">
            <v>Kmag</v>
          </cell>
          <cell r="D42">
            <v>2.9</v>
          </cell>
          <cell r="E42"/>
          <cell r="F42"/>
          <cell r="G42"/>
          <cell r="H42">
            <v>17.45</v>
          </cell>
          <cell r="I42">
            <v>21</v>
          </cell>
          <cell r="J42">
            <v>10</v>
          </cell>
          <cell r="K42">
            <v>21</v>
          </cell>
          <cell r="L42"/>
          <cell r="M42"/>
          <cell r="N42"/>
          <cell r="O42"/>
          <cell r="P42"/>
          <cell r="Q42"/>
          <cell r="R42"/>
          <cell r="S42"/>
          <cell r="T42"/>
          <cell r="U42"/>
          <cell r="V42"/>
        </row>
        <row r="43">
          <cell r="C43" t="str">
            <v>Algas marinhas Algen</v>
          </cell>
          <cell r="D43">
            <v>1.96</v>
          </cell>
          <cell r="E43"/>
          <cell r="F43">
            <v>0</v>
          </cell>
          <cell r="G43"/>
          <cell r="H43"/>
          <cell r="I43"/>
          <cell r="J43">
            <v>32</v>
          </cell>
          <cell r="K43">
            <v>2</v>
          </cell>
          <cell r="L43"/>
          <cell r="M43"/>
          <cell r="N43"/>
          <cell r="O43"/>
          <cell r="P43"/>
          <cell r="Q43"/>
          <cell r="R43"/>
          <cell r="S43"/>
          <cell r="T43"/>
          <cell r="U43"/>
          <cell r="V43"/>
        </row>
        <row r="44">
          <cell r="C44" t="str">
            <v>Sulfato de magnésio</v>
          </cell>
          <cell r="D44">
            <v>1.6</v>
          </cell>
          <cell r="E44"/>
          <cell r="F44"/>
          <cell r="G44"/>
          <cell r="H44"/>
          <cell r="I44"/>
          <cell r="J44"/>
          <cell r="K44">
            <v>9.5</v>
          </cell>
          <cell r="L44">
            <v>12</v>
          </cell>
          <cell r="M44"/>
          <cell r="N44"/>
          <cell r="O44"/>
          <cell r="P44"/>
          <cell r="Q44"/>
          <cell r="R44"/>
          <cell r="S44"/>
          <cell r="T44"/>
          <cell r="U44"/>
          <cell r="V44"/>
        </row>
        <row r="45">
          <cell r="C45"/>
          <cell r="D45"/>
          <cell r="E45"/>
          <cell r="F45"/>
          <cell r="G45"/>
          <cell r="H45"/>
          <cell r="I45"/>
          <cell r="J45"/>
          <cell r="K45"/>
          <cell r="L45"/>
          <cell r="M45"/>
          <cell r="N45"/>
          <cell r="O45"/>
          <cell r="P45"/>
          <cell r="Q45"/>
          <cell r="R45"/>
          <cell r="S45"/>
          <cell r="T45"/>
          <cell r="U45"/>
          <cell r="V45"/>
        </row>
        <row r="46">
          <cell r="C46"/>
          <cell r="D46"/>
          <cell r="E46"/>
          <cell r="F46"/>
          <cell r="G46"/>
          <cell r="H46"/>
          <cell r="I46"/>
          <cell r="J46"/>
          <cell r="K46"/>
          <cell r="L46"/>
          <cell r="M46"/>
          <cell r="N46"/>
          <cell r="O46"/>
          <cell r="P46"/>
          <cell r="Q46"/>
          <cell r="R46"/>
          <cell r="S46"/>
          <cell r="T46"/>
          <cell r="U46"/>
          <cell r="V46"/>
        </row>
        <row r="47">
          <cell r="C47"/>
          <cell r="D47"/>
          <cell r="E47"/>
          <cell r="F47"/>
          <cell r="G47"/>
          <cell r="H47"/>
          <cell r="I47"/>
          <cell r="J47"/>
          <cell r="K47"/>
          <cell r="L47"/>
          <cell r="M47"/>
          <cell r="N47"/>
          <cell r="O47"/>
          <cell r="P47"/>
          <cell r="Q47"/>
          <cell r="R47"/>
          <cell r="S47"/>
          <cell r="T47"/>
          <cell r="U47"/>
          <cell r="V47"/>
        </row>
        <row r="48">
          <cell r="C48"/>
          <cell r="D48"/>
          <cell r="E48"/>
          <cell r="F48"/>
          <cell r="G48"/>
          <cell r="H48"/>
          <cell r="I48"/>
          <cell r="J48"/>
          <cell r="K48"/>
          <cell r="L48"/>
          <cell r="M48"/>
          <cell r="N48"/>
          <cell r="O48"/>
          <cell r="P48"/>
          <cell r="Q48"/>
          <cell r="R48"/>
          <cell r="S48"/>
          <cell r="T48"/>
          <cell r="U48"/>
          <cell r="V48"/>
        </row>
        <row r="49">
          <cell r="C49"/>
          <cell r="D49"/>
          <cell r="E49"/>
          <cell r="F49"/>
          <cell r="G49"/>
          <cell r="H49"/>
          <cell r="I49"/>
          <cell r="J49"/>
          <cell r="K49"/>
          <cell r="L49"/>
          <cell r="M49"/>
          <cell r="N49"/>
          <cell r="O49"/>
          <cell r="P49"/>
          <cell r="Q49"/>
          <cell r="R49"/>
          <cell r="S49"/>
          <cell r="T49"/>
          <cell r="U49"/>
          <cell r="V49"/>
        </row>
        <row r="50">
          <cell r="C50"/>
          <cell r="D50"/>
          <cell r="E50"/>
          <cell r="F50"/>
          <cell r="G50"/>
          <cell r="H50"/>
          <cell r="I50"/>
          <cell r="J50"/>
          <cell r="K50"/>
          <cell r="L50"/>
          <cell r="M50"/>
          <cell r="N50"/>
          <cell r="O50"/>
          <cell r="P50"/>
          <cell r="Q50"/>
          <cell r="R50"/>
          <cell r="S50"/>
          <cell r="T50"/>
          <cell r="U50"/>
          <cell r="V50"/>
        </row>
        <row r="51">
          <cell r="C51"/>
          <cell r="D51"/>
          <cell r="E51"/>
          <cell r="F51"/>
          <cell r="G51"/>
          <cell r="H51"/>
          <cell r="I51"/>
          <cell r="J51"/>
          <cell r="K51"/>
          <cell r="L51"/>
          <cell r="M51"/>
          <cell r="N51"/>
          <cell r="O51"/>
          <cell r="P51"/>
          <cell r="Q51"/>
          <cell r="R51"/>
          <cell r="S51"/>
          <cell r="T51"/>
          <cell r="U51"/>
          <cell r="V51"/>
        </row>
        <row r="52">
          <cell r="C52"/>
          <cell r="D52"/>
          <cell r="E52"/>
          <cell r="F52"/>
          <cell r="G52"/>
          <cell r="H52"/>
          <cell r="I52"/>
          <cell r="J52"/>
          <cell r="K52"/>
          <cell r="L52"/>
          <cell r="M52"/>
          <cell r="N52"/>
          <cell r="O52"/>
          <cell r="P52"/>
          <cell r="Q52"/>
          <cell r="R52"/>
          <cell r="S52"/>
          <cell r="T52"/>
          <cell r="U52"/>
          <cell r="V52"/>
        </row>
        <row r="53">
          <cell r="C53"/>
          <cell r="D53"/>
          <cell r="E53"/>
          <cell r="F53"/>
          <cell r="G53"/>
          <cell r="H53"/>
          <cell r="I53"/>
          <cell r="J53"/>
          <cell r="K53"/>
          <cell r="L53"/>
          <cell r="M53"/>
          <cell r="N53"/>
          <cell r="O53"/>
          <cell r="P53"/>
          <cell r="Q53"/>
          <cell r="R53"/>
          <cell r="S53"/>
          <cell r="T53"/>
          <cell r="U53"/>
          <cell r="V53"/>
        </row>
        <row r="54">
          <cell r="C54" t="str">
            <v>EkoSil</v>
          </cell>
          <cell r="D54"/>
          <cell r="E54"/>
          <cell r="F54"/>
          <cell r="G54"/>
          <cell r="H54">
            <v>6.65</v>
          </cell>
          <cell r="I54">
            <v>8</v>
          </cell>
          <cell r="J54">
            <v>1.5</v>
          </cell>
          <cell r="K54">
            <v>0.2</v>
          </cell>
          <cell r="L54"/>
          <cell r="M54">
            <v>6.4999999999999994E-5</v>
          </cell>
          <cell r="N54">
            <v>6.4999999999999994E-5</v>
          </cell>
          <cell r="O54">
            <v>1.25E-4</v>
          </cell>
          <cell r="P54">
            <v>1.4E-5</v>
          </cell>
          <cell r="Q54">
            <v>7.9999999999999996E-6</v>
          </cell>
          <cell r="R54"/>
          <cell r="S54">
            <v>54</v>
          </cell>
          <cell r="T54"/>
          <cell r="U54"/>
          <cell r="V54"/>
        </row>
        <row r="55">
          <cell r="C55" t="str">
            <v>FNR Fertipar</v>
          </cell>
          <cell r="D55"/>
          <cell r="E55"/>
          <cell r="F55">
            <v>12.67</v>
          </cell>
          <cell r="G55">
            <v>29</v>
          </cell>
          <cell r="H55"/>
          <cell r="I55"/>
          <cell r="J55"/>
          <cell r="K55"/>
          <cell r="L55"/>
          <cell r="M55"/>
          <cell r="N55"/>
          <cell r="O55"/>
          <cell r="P55"/>
          <cell r="Q55"/>
          <cell r="R55"/>
          <cell r="S55"/>
          <cell r="T55"/>
          <cell r="U55"/>
          <cell r="V55"/>
        </row>
        <row r="56">
          <cell r="C56" t="str">
            <v>FNR Heringer</v>
          </cell>
          <cell r="D56"/>
          <cell r="E56"/>
          <cell r="F56">
            <v>13.11</v>
          </cell>
          <cell r="G56">
            <v>30</v>
          </cell>
          <cell r="H56"/>
          <cell r="I56"/>
          <cell r="J56"/>
          <cell r="K56"/>
          <cell r="L56"/>
          <cell r="M56"/>
          <cell r="N56"/>
          <cell r="O56"/>
          <cell r="P56"/>
          <cell r="Q56"/>
          <cell r="R56"/>
          <cell r="S56"/>
          <cell r="T56"/>
          <cell r="U56"/>
          <cell r="V56"/>
        </row>
        <row r="57">
          <cell r="C57" t="str">
            <v>FNR Paulivida</v>
          </cell>
          <cell r="D57"/>
          <cell r="E57"/>
          <cell r="F57">
            <v>11.8</v>
          </cell>
          <cell r="G57">
            <v>27</v>
          </cell>
          <cell r="H57"/>
          <cell r="I57"/>
          <cell r="J57"/>
          <cell r="K57"/>
          <cell r="L57"/>
          <cell r="M57"/>
          <cell r="N57"/>
          <cell r="O57"/>
          <cell r="P57"/>
          <cell r="Q57"/>
          <cell r="R57"/>
          <cell r="S57"/>
          <cell r="T57"/>
          <cell r="U57"/>
          <cell r="V57"/>
        </row>
        <row r="58">
          <cell r="C58" t="str">
            <v>Agroffos Agronelli</v>
          </cell>
          <cell r="D58"/>
          <cell r="E58"/>
          <cell r="F58">
            <v>6.1150000000000002</v>
          </cell>
          <cell r="G58">
            <v>14</v>
          </cell>
          <cell r="H58"/>
          <cell r="I58"/>
          <cell r="J58"/>
          <cell r="K58"/>
          <cell r="L58"/>
          <cell r="M58"/>
          <cell r="N58"/>
          <cell r="O58"/>
          <cell r="P58"/>
          <cell r="Q58"/>
          <cell r="R58"/>
          <cell r="S58"/>
          <cell r="T58"/>
          <cell r="U58"/>
          <cell r="V58"/>
        </row>
        <row r="59">
          <cell r="C59" t="str">
            <v>Suphaphos</v>
          </cell>
          <cell r="D59"/>
          <cell r="E59"/>
          <cell r="F59">
            <v>6.1150000000000002</v>
          </cell>
          <cell r="G59">
            <v>14</v>
          </cell>
          <cell r="H59"/>
          <cell r="I59"/>
          <cell r="J59">
            <v>12</v>
          </cell>
          <cell r="K59"/>
          <cell r="L59"/>
          <cell r="M59"/>
          <cell r="N59"/>
          <cell r="O59"/>
          <cell r="P59"/>
          <cell r="Q59"/>
          <cell r="R59"/>
          <cell r="S59"/>
          <cell r="T59"/>
          <cell r="U59"/>
          <cell r="V59"/>
        </row>
        <row r="60">
          <cell r="C60" t="str">
            <v>Potomag Nutrisafra</v>
          </cell>
          <cell r="D60"/>
          <cell r="E60"/>
          <cell r="F60"/>
          <cell r="G60"/>
          <cell r="H60">
            <v>18.27</v>
          </cell>
          <cell r="I60">
            <v>22</v>
          </cell>
          <cell r="J60"/>
          <cell r="K60">
            <v>11</v>
          </cell>
          <cell r="L60">
            <v>22</v>
          </cell>
          <cell r="M60"/>
          <cell r="N60"/>
          <cell r="O60"/>
          <cell r="P60"/>
          <cell r="Q60"/>
          <cell r="R60"/>
          <cell r="S60"/>
          <cell r="T60"/>
          <cell r="U60"/>
          <cell r="V60"/>
        </row>
        <row r="61">
          <cell r="C61"/>
          <cell r="D61"/>
          <cell r="E61"/>
          <cell r="F61"/>
          <cell r="G61"/>
          <cell r="H61"/>
          <cell r="I61"/>
          <cell r="J61"/>
          <cell r="K61"/>
          <cell r="L61"/>
          <cell r="M61"/>
          <cell r="N61"/>
          <cell r="O61"/>
          <cell r="P61"/>
          <cell r="Q61"/>
          <cell r="R61"/>
          <cell r="S61"/>
          <cell r="T61"/>
          <cell r="U61"/>
          <cell r="V61"/>
        </row>
        <row r="62">
          <cell r="C62"/>
          <cell r="D62"/>
          <cell r="E62"/>
          <cell r="F62"/>
          <cell r="G62"/>
          <cell r="H62"/>
          <cell r="I62"/>
          <cell r="J62"/>
          <cell r="K62"/>
          <cell r="L62"/>
          <cell r="M62"/>
          <cell r="N62"/>
          <cell r="O62"/>
          <cell r="P62"/>
          <cell r="Q62"/>
          <cell r="R62"/>
          <cell r="S62"/>
          <cell r="T62"/>
          <cell r="U62"/>
          <cell r="V62"/>
        </row>
        <row r="63">
          <cell r="C63" t="str">
            <v>Micaxisto</v>
          </cell>
          <cell r="D63">
            <v>0.12</v>
          </cell>
          <cell r="E63"/>
          <cell r="F63">
            <v>4.4999999999999998E-2</v>
          </cell>
          <cell r="G63">
            <v>0.1</v>
          </cell>
          <cell r="H63">
            <v>4.32</v>
          </cell>
          <cell r="I63">
            <v>5.2</v>
          </cell>
          <cell r="J63">
            <v>1.2587412587412588</v>
          </cell>
          <cell r="K63">
            <v>1.1627906976744187</v>
          </cell>
          <cell r="L63"/>
          <cell r="M63"/>
          <cell r="N63"/>
          <cell r="O63"/>
          <cell r="P63"/>
          <cell r="Q63"/>
          <cell r="R63"/>
          <cell r="S63"/>
          <cell r="T63"/>
          <cell r="U63"/>
          <cell r="V63"/>
        </row>
        <row r="64">
          <cell r="C64" t="str">
            <v xml:space="preserve"> Remax Mistel</v>
          </cell>
          <cell r="D64"/>
          <cell r="E64"/>
          <cell r="F64">
            <v>4.4999999999999998E-2</v>
          </cell>
          <cell r="G64">
            <v>0.1</v>
          </cell>
          <cell r="H64">
            <v>2.1949999999999998</v>
          </cell>
          <cell r="I64">
            <v>2.6</v>
          </cell>
          <cell r="J64">
            <v>18.741258741258743</v>
          </cell>
          <cell r="K64">
            <v>12.44186046511628</v>
          </cell>
          <cell r="L64"/>
          <cell r="M64"/>
          <cell r="N64"/>
          <cell r="O64"/>
          <cell r="P64"/>
          <cell r="Q64"/>
          <cell r="R64"/>
          <cell r="S64">
            <v>43.8</v>
          </cell>
          <cell r="T64"/>
          <cell r="U64"/>
          <cell r="V64"/>
        </row>
        <row r="65">
          <cell r="C65" t="str">
            <v>Pó de brita Fmx</v>
          </cell>
          <cell r="D65"/>
          <cell r="E65"/>
          <cell r="F65"/>
          <cell r="G65"/>
          <cell r="H65">
            <v>4.99</v>
          </cell>
          <cell r="I65">
            <v>6</v>
          </cell>
          <cell r="J65">
            <v>4.1958041958041958</v>
          </cell>
          <cell r="K65">
            <v>0.83056478405315615</v>
          </cell>
          <cell r="L65"/>
          <cell r="M65"/>
          <cell r="N65"/>
          <cell r="O65"/>
          <cell r="P65"/>
          <cell r="Q65"/>
          <cell r="R65"/>
          <cell r="S65"/>
          <cell r="T65"/>
          <cell r="U65"/>
          <cell r="V65"/>
        </row>
        <row r="66">
          <cell r="C66" t="str">
            <v>Biotita Xisto</v>
          </cell>
          <cell r="D66"/>
          <cell r="E66"/>
          <cell r="F66">
            <v>8.7999999999999995E-2</v>
          </cell>
          <cell r="G66">
            <v>0.2</v>
          </cell>
          <cell r="H66">
            <v>2.83</v>
          </cell>
          <cell r="I66">
            <v>3.4</v>
          </cell>
          <cell r="J66">
            <v>2.5174825174825175</v>
          </cell>
          <cell r="K66">
            <v>7.6411960132890364</v>
          </cell>
          <cell r="L66"/>
          <cell r="M66"/>
          <cell r="N66"/>
          <cell r="O66"/>
          <cell r="P66"/>
          <cell r="Q66"/>
          <cell r="R66"/>
          <cell r="S66">
            <v>57.8</v>
          </cell>
          <cell r="T66"/>
          <cell r="U66"/>
          <cell r="V66"/>
        </row>
        <row r="67">
          <cell r="C67" t="str">
            <v>Kamafugito</v>
          </cell>
          <cell r="D67"/>
          <cell r="E67"/>
          <cell r="F67">
            <v>1.5069999999999999</v>
          </cell>
          <cell r="G67">
            <v>3.5</v>
          </cell>
          <cell r="H67">
            <v>3.3250000000000002</v>
          </cell>
          <cell r="I67">
            <v>4</v>
          </cell>
          <cell r="J67">
            <v>2.86</v>
          </cell>
          <cell r="K67"/>
          <cell r="L67"/>
          <cell r="M67"/>
          <cell r="N67"/>
          <cell r="O67"/>
          <cell r="P67"/>
          <cell r="Q67"/>
          <cell r="R67"/>
          <cell r="S67"/>
          <cell r="T67"/>
          <cell r="U67"/>
          <cell r="V67"/>
        </row>
        <row r="68">
          <cell r="C68"/>
          <cell r="D68"/>
          <cell r="E68"/>
          <cell r="F68"/>
          <cell r="G68"/>
          <cell r="H68"/>
          <cell r="I68"/>
          <cell r="J68"/>
          <cell r="K68"/>
          <cell r="L68"/>
          <cell r="M68"/>
          <cell r="N68"/>
          <cell r="O68"/>
          <cell r="P68"/>
          <cell r="Q68"/>
          <cell r="R68"/>
          <cell r="S68"/>
          <cell r="T68"/>
          <cell r="U68"/>
          <cell r="V68"/>
        </row>
        <row r="69">
          <cell r="C69"/>
          <cell r="D69"/>
          <cell r="E69"/>
          <cell r="F69"/>
          <cell r="G69"/>
          <cell r="H69"/>
          <cell r="I69"/>
          <cell r="J69"/>
          <cell r="K69"/>
          <cell r="L69"/>
          <cell r="M69"/>
          <cell r="N69"/>
          <cell r="O69"/>
          <cell r="P69"/>
          <cell r="Q69"/>
          <cell r="R69"/>
          <cell r="S69"/>
          <cell r="T69"/>
          <cell r="U69"/>
          <cell r="V69"/>
        </row>
        <row r="70">
          <cell r="C70"/>
          <cell r="D70"/>
          <cell r="E70"/>
          <cell r="F70"/>
          <cell r="G70"/>
          <cell r="H70"/>
          <cell r="I70"/>
          <cell r="J70"/>
          <cell r="K70"/>
          <cell r="L70"/>
          <cell r="M70"/>
          <cell r="N70"/>
          <cell r="O70"/>
          <cell r="P70"/>
          <cell r="Q70"/>
          <cell r="R70"/>
          <cell r="S70"/>
          <cell r="T70"/>
          <cell r="U70"/>
          <cell r="V70"/>
        </row>
        <row r="71">
          <cell r="C71"/>
          <cell r="D71"/>
          <cell r="E71"/>
          <cell r="F71"/>
          <cell r="G71"/>
          <cell r="H71"/>
          <cell r="I71"/>
          <cell r="J71"/>
          <cell r="K71"/>
          <cell r="L71"/>
          <cell r="M71"/>
          <cell r="N71"/>
          <cell r="O71"/>
          <cell r="P71"/>
          <cell r="Q71"/>
          <cell r="R71"/>
          <cell r="S71"/>
          <cell r="T71"/>
          <cell r="U71"/>
          <cell r="V71"/>
        </row>
        <row r="72">
          <cell r="C72"/>
          <cell r="D72"/>
          <cell r="E72"/>
          <cell r="F72"/>
          <cell r="G72"/>
          <cell r="H72"/>
          <cell r="I72"/>
          <cell r="J72"/>
          <cell r="K72"/>
          <cell r="L72"/>
          <cell r="M72"/>
          <cell r="N72"/>
          <cell r="O72"/>
          <cell r="P72"/>
          <cell r="Q72"/>
          <cell r="R72"/>
          <cell r="S72"/>
          <cell r="T72"/>
          <cell r="U72"/>
          <cell r="V72"/>
        </row>
        <row r="73">
          <cell r="C73" t="str">
            <v>Ácido Bórico</v>
          </cell>
          <cell r="D73">
            <v>5.52</v>
          </cell>
          <cell r="E73">
            <v>0</v>
          </cell>
          <cell r="F73">
            <v>0</v>
          </cell>
          <cell r="G73">
            <v>0</v>
          </cell>
          <cell r="H73">
            <v>0</v>
          </cell>
          <cell r="I73">
            <v>0</v>
          </cell>
          <cell r="J73">
            <v>0</v>
          </cell>
          <cell r="K73">
            <v>0</v>
          </cell>
          <cell r="L73">
            <v>0</v>
          </cell>
          <cell r="M73">
            <v>17.5</v>
          </cell>
          <cell r="N73">
            <v>0</v>
          </cell>
          <cell r="O73">
            <v>0</v>
          </cell>
          <cell r="P73">
            <v>0</v>
          </cell>
          <cell r="Q73">
            <v>0</v>
          </cell>
          <cell r="R73">
            <v>0</v>
          </cell>
          <cell r="S73"/>
          <cell r="T73"/>
          <cell r="U73"/>
          <cell r="V73"/>
        </row>
        <row r="74">
          <cell r="C74" t="str">
            <v>Boráx</v>
          </cell>
          <cell r="D74">
            <v>3.84</v>
          </cell>
          <cell r="E74"/>
          <cell r="F74"/>
          <cell r="G74"/>
          <cell r="H74"/>
          <cell r="I74"/>
          <cell r="J74"/>
          <cell r="K74"/>
          <cell r="L74"/>
          <cell r="M74">
            <v>10.5</v>
          </cell>
          <cell r="N74"/>
          <cell r="O74"/>
          <cell r="P74"/>
          <cell r="Q74"/>
          <cell r="R74"/>
          <cell r="S74"/>
          <cell r="T74"/>
          <cell r="U74"/>
          <cell r="V74"/>
        </row>
        <row r="75">
          <cell r="C75" t="str">
            <v>Brexil Top</v>
          </cell>
          <cell r="D75">
            <v>40</v>
          </cell>
          <cell r="E75"/>
          <cell r="F75"/>
          <cell r="G75"/>
          <cell r="H75"/>
          <cell r="I75"/>
          <cell r="J75"/>
          <cell r="K75">
            <v>1.5</v>
          </cell>
          <cell r="L75">
            <v>10</v>
          </cell>
          <cell r="M75">
            <v>2</v>
          </cell>
          <cell r="N75">
            <v>5</v>
          </cell>
          <cell r="O75">
            <v>6</v>
          </cell>
          <cell r="P75"/>
          <cell r="Q75">
            <v>0.5</v>
          </cell>
          <cell r="R75"/>
          <cell r="S75"/>
          <cell r="T75"/>
          <cell r="U75"/>
          <cell r="V75"/>
        </row>
        <row r="76">
          <cell r="C76" t="str">
            <v>Molibdato de sódio</v>
          </cell>
          <cell r="D76">
            <v>154</v>
          </cell>
          <cell r="E76"/>
          <cell r="F76"/>
          <cell r="G76"/>
          <cell r="H76"/>
          <cell r="I76"/>
          <cell r="J76"/>
          <cell r="K76"/>
          <cell r="L76"/>
          <cell r="M76"/>
          <cell r="N76"/>
          <cell r="O76"/>
          <cell r="P76"/>
          <cell r="Q76">
            <v>39</v>
          </cell>
          <cell r="R76"/>
          <cell r="S76"/>
          <cell r="T76"/>
          <cell r="U76"/>
          <cell r="V76"/>
        </row>
        <row r="77">
          <cell r="C77" t="str">
            <v>Sulfato de cobre</v>
          </cell>
          <cell r="D77">
            <v>11.04</v>
          </cell>
          <cell r="E77"/>
          <cell r="F77"/>
          <cell r="G77"/>
          <cell r="H77"/>
          <cell r="I77"/>
          <cell r="J77"/>
          <cell r="K77"/>
          <cell r="L77">
            <v>12</v>
          </cell>
          <cell r="M77"/>
          <cell r="N77"/>
          <cell r="O77"/>
          <cell r="P77">
            <v>25</v>
          </cell>
          <cell r="Q77"/>
          <cell r="R77"/>
          <cell r="S77"/>
          <cell r="T77"/>
          <cell r="U77"/>
          <cell r="V77"/>
        </row>
        <row r="78">
          <cell r="C78" t="str">
            <v>Sulfato de manganês</v>
          </cell>
          <cell r="D78">
            <v>6.72</v>
          </cell>
          <cell r="E78"/>
          <cell r="F78"/>
          <cell r="G78"/>
          <cell r="H78"/>
          <cell r="I78"/>
          <cell r="J78"/>
          <cell r="K78"/>
          <cell r="L78">
            <v>21</v>
          </cell>
          <cell r="M78"/>
          <cell r="N78">
            <v>26</v>
          </cell>
          <cell r="O78"/>
          <cell r="P78"/>
          <cell r="Q78"/>
          <cell r="R78"/>
          <cell r="S78"/>
          <cell r="T78"/>
          <cell r="U78"/>
          <cell r="V78"/>
        </row>
        <row r="79">
          <cell r="C79" t="str">
            <v>Sulfato de zinco</v>
          </cell>
          <cell r="D79">
            <v>6.16</v>
          </cell>
          <cell r="E79"/>
          <cell r="F79"/>
          <cell r="G79"/>
          <cell r="H79"/>
          <cell r="I79"/>
          <cell r="J79"/>
          <cell r="K79"/>
          <cell r="L79">
            <v>17</v>
          </cell>
          <cell r="M79"/>
          <cell r="N79"/>
          <cell r="O79">
            <v>35</v>
          </cell>
          <cell r="P79"/>
          <cell r="Q79"/>
          <cell r="R79"/>
          <cell r="S79"/>
          <cell r="T79"/>
          <cell r="U79"/>
          <cell r="V79"/>
        </row>
        <row r="80">
          <cell r="C80" t="str">
            <v>Ferrelene</v>
          </cell>
          <cell r="D80">
            <v>78</v>
          </cell>
          <cell r="E80"/>
          <cell r="F80"/>
          <cell r="G80"/>
          <cell r="H80"/>
          <cell r="I80"/>
          <cell r="J80"/>
          <cell r="K80"/>
          <cell r="L80"/>
          <cell r="M80"/>
          <cell r="N80"/>
          <cell r="O80"/>
          <cell r="P80"/>
          <cell r="Q80"/>
          <cell r="R80">
            <v>6</v>
          </cell>
          <cell r="S80"/>
          <cell r="T80"/>
          <cell r="U80"/>
          <cell r="V80"/>
        </row>
        <row r="81">
          <cell r="C81" t="str">
            <v>FTE BR 12</v>
          </cell>
          <cell r="D81"/>
          <cell r="E81"/>
          <cell r="F81"/>
          <cell r="G81"/>
          <cell r="H81"/>
          <cell r="I81"/>
          <cell r="J81"/>
          <cell r="K81"/>
          <cell r="L81">
            <v>3.9</v>
          </cell>
          <cell r="M81">
            <v>1.8</v>
          </cell>
          <cell r="N81">
            <v>2</v>
          </cell>
          <cell r="O81">
            <v>9</v>
          </cell>
          <cell r="P81">
            <v>0.85</v>
          </cell>
          <cell r="Q81"/>
          <cell r="R81"/>
          <cell r="S81"/>
          <cell r="T81"/>
          <cell r="U81"/>
          <cell r="V81"/>
        </row>
        <row r="82">
          <cell r="C82" t="str">
            <v>Gran 12</v>
          </cell>
          <cell r="D82">
            <v>2.72</v>
          </cell>
          <cell r="E82"/>
          <cell r="F82"/>
          <cell r="G82"/>
          <cell r="H82"/>
          <cell r="I82"/>
          <cell r="J82">
            <v>1.5</v>
          </cell>
          <cell r="K82"/>
          <cell r="L82">
            <v>3.2</v>
          </cell>
          <cell r="M82">
            <v>1.8</v>
          </cell>
          <cell r="N82">
            <v>2.1</v>
          </cell>
          <cell r="O82">
            <v>9</v>
          </cell>
          <cell r="P82">
            <v>0.85</v>
          </cell>
          <cell r="Q82">
            <v>0.1</v>
          </cell>
          <cell r="R82"/>
          <cell r="S82"/>
          <cell r="T82"/>
          <cell r="U82"/>
          <cell r="V82"/>
        </row>
        <row r="87">
          <cell r="C87" t="str">
            <v>AGROSILICIO</v>
          </cell>
          <cell r="D87">
            <v>0.56000000000000005</v>
          </cell>
          <cell r="E87">
            <v>36</v>
          </cell>
          <cell r="F87">
            <v>9</v>
          </cell>
          <cell r="G87">
            <v>64.599999999999994</v>
          </cell>
          <cell r="H87">
            <v>45</v>
          </cell>
        </row>
        <row r="88">
          <cell r="C88" t="str">
            <v>BRITACAL Dolomítico</v>
          </cell>
          <cell r="D88"/>
          <cell r="E88">
            <v>28</v>
          </cell>
          <cell r="F88">
            <v>15</v>
          </cell>
          <cell r="G88">
            <v>80</v>
          </cell>
          <cell r="H88">
            <v>43</v>
          </cell>
        </row>
        <row r="89">
          <cell r="C89" t="str">
            <v>BRITACAL Filler</v>
          </cell>
          <cell r="D89"/>
          <cell r="E89">
            <v>32</v>
          </cell>
          <cell r="F89">
            <v>15</v>
          </cell>
          <cell r="G89">
            <v>94</v>
          </cell>
          <cell r="H89">
            <v>47</v>
          </cell>
        </row>
        <row r="90">
          <cell r="C90"/>
          <cell r="D90"/>
          <cell r="E90"/>
          <cell r="F90"/>
          <cell r="G90"/>
          <cell r="H90"/>
        </row>
        <row r="91">
          <cell r="C91"/>
          <cell r="D91"/>
          <cell r="E91"/>
          <cell r="F91"/>
          <cell r="G91"/>
          <cell r="H91"/>
        </row>
        <row r="92">
          <cell r="C92"/>
          <cell r="D92"/>
          <cell r="E92"/>
          <cell r="F92"/>
          <cell r="G92"/>
          <cell r="H92"/>
        </row>
        <row r="93">
          <cell r="C93"/>
          <cell r="D93"/>
          <cell r="E93"/>
          <cell r="F93"/>
          <cell r="G93"/>
          <cell r="H93"/>
        </row>
        <row r="94">
          <cell r="C94"/>
          <cell r="D94"/>
          <cell r="E94"/>
          <cell r="F94"/>
          <cell r="G94"/>
          <cell r="H94"/>
        </row>
        <row r="95">
          <cell r="C95"/>
          <cell r="D95"/>
          <cell r="E95"/>
          <cell r="F95"/>
          <cell r="G95"/>
          <cell r="H95"/>
        </row>
        <row r="96">
          <cell r="C96"/>
          <cell r="D96"/>
          <cell r="E96"/>
          <cell r="F96"/>
          <cell r="G96"/>
          <cell r="H96"/>
        </row>
        <row r="97">
          <cell r="C97"/>
          <cell r="D97"/>
          <cell r="E97"/>
          <cell r="F97"/>
          <cell r="G97"/>
          <cell r="H97"/>
        </row>
        <row r="98">
          <cell r="C98"/>
          <cell r="D98"/>
          <cell r="E98"/>
          <cell r="F98"/>
          <cell r="G98"/>
          <cell r="H98"/>
        </row>
        <row r="99">
          <cell r="C99"/>
          <cell r="D99"/>
          <cell r="E99"/>
          <cell r="F99"/>
          <cell r="G99"/>
          <cell r="H99"/>
        </row>
        <row r="104">
          <cell r="C104" t="str">
            <v>Gesso Agronelli</v>
          </cell>
          <cell r="D104">
            <v>0.76</v>
          </cell>
          <cell r="E104">
            <v>14</v>
          </cell>
          <cell r="F104"/>
          <cell r="G104">
            <v>17</v>
          </cell>
        </row>
        <row r="105">
          <cell r="C105" t="str">
            <v>Siligesso Agronelli</v>
          </cell>
          <cell r="D105"/>
          <cell r="E105">
            <v>9.9</v>
          </cell>
          <cell r="F105"/>
          <cell r="G105">
            <v>20.3</v>
          </cell>
        </row>
        <row r="106">
          <cell r="C106"/>
          <cell r="D106"/>
          <cell r="E106"/>
          <cell r="F106"/>
          <cell r="G106"/>
        </row>
        <row r="107">
          <cell r="C107"/>
          <cell r="D107"/>
          <cell r="E107"/>
          <cell r="F107"/>
          <cell r="G107"/>
        </row>
        <row r="108">
          <cell r="C108"/>
          <cell r="D108"/>
          <cell r="E108"/>
          <cell r="F108"/>
          <cell r="G108"/>
        </row>
        <row r="109">
          <cell r="C109"/>
          <cell r="D109"/>
          <cell r="E109"/>
          <cell r="F109"/>
          <cell r="G109"/>
        </row>
        <row r="110">
          <cell r="C110"/>
          <cell r="D110"/>
          <cell r="E110"/>
          <cell r="F110"/>
          <cell r="G110"/>
        </row>
        <row r="111">
          <cell r="C111"/>
          <cell r="D111"/>
          <cell r="E111"/>
          <cell r="F111"/>
          <cell r="G111"/>
        </row>
        <row r="112">
          <cell r="C112"/>
          <cell r="D112"/>
          <cell r="E112"/>
          <cell r="F112"/>
          <cell r="G112"/>
        </row>
        <row r="113">
          <cell r="C113"/>
          <cell r="D113"/>
          <cell r="E113"/>
          <cell r="F113"/>
          <cell r="G113"/>
        </row>
        <row r="120">
          <cell r="E120" t="str">
            <v>Composto de lixo (COL)</v>
          </cell>
          <cell r="F120">
            <v>0.15</v>
          </cell>
        </row>
        <row r="121">
          <cell r="E121" t="str">
            <v>Cama de frango corte</v>
          </cell>
          <cell r="F121">
            <v>0.25</v>
          </cell>
        </row>
        <row r="122">
          <cell r="C122">
            <v>70</v>
          </cell>
          <cell r="E122" t="str">
            <v>Esterco de galinha</v>
          </cell>
          <cell r="F122">
            <v>0.25</v>
          </cell>
        </row>
        <row r="123">
          <cell r="E123" t="str">
            <v>Esterco Bovino curtido</v>
          </cell>
          <cell r="F123">
            <v>0.25</v>
          </cell>
        </row>
        <row r="124">
          <cell r="E124" t="str">
            <v>Esterco de equino</v>
          </cell>
          <cell r="F124">
            <v>0.12</v>
          </cell>
        </row>
        <row r="125">
          <cell r="E125" t="str">
            <v>Esterco de suínos</v>
          </cell>
          <cell r="F125">
            <v>0.04</v>
          </cell>
        </row>
        <row r="126">
          <cell r="C126">
            <v>80</v>
          </cell>
          <cell r="E126" t="str">
            <v>Esterco de ovinos</v>
          </cell>
          <cell r="F126">
            <v>0.04</v>
          </cell>
        </row>
        <row r="127">
          <cell r="E127" t="str">
            <v>Lodo de esgosto</v>
          </cell>
          <cell r="F127">
            <v>0.1</v>
          </cell>
        </row>
        <row r="128">
          <cell r="E128" t="str">
            <v>Compostos orgânicos</v>
          </cell>
          <cell r="F128">
            <v>0.7</v>
          </cell>
        </row>
      </sheetData>
      <sheetData sheetId="2"/>
      <sheetData sheetId="3"/>
      <sheetData sheetId="4"/>
      <sheetData sheetId="5"/>
      <sheetData sheetId="6">
        <row r="30">
          <cell r="AD30">
            <v>1</v>
          </cell>
        </row>
        <row r="31">
          <cell r="AD31">
            <v>1</v>
          </cell>
        </row>
        <row r="32">
          <cell r="AD32">
            <v>1</v>
          </cell>
        </row>
      </sheetData>
      <sheetData sheetId="7">
        <row r="30">
          <cell r="AD30">
            <v>1</v>
          </cell>
        </row>
        <row r="31">
          <cell r="AD31">
            <v>1</v>
          </cell>
        </row>
        <row r="32">
          <cell r="AD32">
            <v>1</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10.bin"/><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4.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printerSettings" Target="../printerSettings/printerSettings17.bin"/><Relationship Id="rId4" Type="http://schemas.openxmlformats.org/officeDocument/2006/relationships/comments" Target="../comments10.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3.xml"/><Relationship Id="rId1" Type="http://schemas.openxmlformats.org/officeDocument/2006/relationships/printerSettings" Target="../printerSettings/printerSettings18.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2.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3.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6.xml"/><Relationship Id="rId1" Type="http://schemas.openxmlformats.org/officeDocument/2006/relationships/printerSettings" Target="../printerSettings/printerSettings21.bin"/><Relationship Id="rId4" Type="http://schemas.openxmlformats.org/officeDocument/2006/relationships/comments" Target="../comments14.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7.xml"/><Relationship Id="rId1" Type="http://schemas.openxmlformats.org/officeDocument/2006/relationships/printerSettings" Target="../printerSettings/printerSettings22.bin"/><Relationship Id="rId4" Type="http://schemas.openxmlformats.org/officeDocument/2006/relationships/comments" Target="../comments15.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8.xml"/><Relationship Id="rId1" Type="http://schemas.openxmlformats.org/officeDocument/2006/relationships/printerSettings" Target="../printerSettings/printerSettings24.bin"/><Relationship Id="rId4" Type="http://schemas.openxmlformats.org/officeDocument/2006/relationships/comments" Target="../comments17.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9.xml"/><Relationship Id="rId1" Type="http://schemas.openxmlformats.org/officeDocument/2006/relationships/printerSettings" Target="../printerSettings/printerSettings25.bin"/><Relationship Id="rId4" Type="http://schemas.openxmlformats.org/officeDocument/2006/relationships/comments" Target="../comments18.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0.xml"/><Relationship Id="rId1" Type="http://schemas.openxmlformats.org/officeDocument/2006/relationships/printerSettings" Target="../printerSettings/printerSettings26.bin"/><Relationship Id="rId4" Type="http://schemas.openxmlformats.org/officeDocument/2006/relationships/comments" Target="../comments19.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1.xml"/><Relationship Id="rId1" Type="http://schemas.openxmlformats.org/officeDocument/2006/relationships/printerSettings" Target="../printerSettings/printerSettings27.bin"/><Relationship Id="rId4" Type="http://schemas.openxmlformats.org/officeDocument/2006/relationships/comments" Target="../comments20.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2.xml"/><Relationship Id="rId1" Type="http://schemas.openxmlformats.org/officeDocument/2006/relationships/printerSettings" Target="../printerSettings/printerSettings28.bin"/><Relationship Id="rId4" Type="http://schemas.openxmlformats.org/officeDocument/2006/relationships/comments" Target="../comments21.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3.xml"/><Relationship Id="rId1" Type="http://schemas.openxmlformats.org/officeDocument/2006/relationships/printerSettings" Target="../printerSettings/printerSettings29.bin"/><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4.xml"/><Relationship Id="rId1" Type="http://schemas.openxmlformats.org/officeDocument/2006/relationships/printerSettings" Target="../printerSettings/printerSettings30.bin"/><Relationship Id="rId4" Type="http://schemas.openxmlformats.org/officeDocument/2006/relationships/comments" Target="../comments23.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5.xml"/><Relationship Id="rId1" Type="http://schemas.openxmlformats.org/officeDocument/2006/relationships/printerSettings" Target="../printerSettings/printerSettings31.bin"/><Relationship Id="rId4" Type="http://schemas.openxmlformats.org/officeDocument/2006/relationships/comments" Target="../comments24.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6.xml"/><Relationship Id="rId1" Type="http://schemas.openxmlformats.org/officeDocument/2006/relationships/printerSettings" Target="../printerSettings/printerSettings32.bin"/><Relationship Id="rId4" Type="http://schemas.openxmlformats.org/officeDocument/2006/relationships/comments" Target="../comments25.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7.xml"/><Relationship Id="rId1" Type="http://schemas.openxmlformats.org/officeDocument/2006/relationships/printerSettings" Target="../printerSettings/printerSettings33.bin"/><Relationship Id="rId4" Type="http://schemas.openxmlformats.org/officeDocument/2006/relationships/comments" Target="../comments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5"/>
  <sheetViews>
    <sheetView zoomScaleNormal="100" workbookViewId="0">
      <selection activeCell="V18" sqref="V18:W18"/>
    </sheetView>
  </sheetViews>
  <sheetFormatPr defaultRowHeight="15" x14ac:dyDescent="0.2"/>
  <cols>
    <col min="1" max="1" width="6.140625" style="2" customWidth="1"/>
    <col min="2" max="2" width="14.5703125" style="2" customWidth="1"/>
    <col min="3" max="17" width="9.140625" style="2"/>
    <col min="18" max="18" width="6.140625" style="2" customWidth="1"/>
    <col min="19" max="16384" width="9.140625" style="2"/>
  </cols>
  <sheetData>
    <row r="1" spans="1:26" x14ac:dyDescent="0.2">
      <c r="A1" s="3"/>
    </row>
    <row r="7" spans="1:26" ht="20.25" x14ac:dyDescent="0.3">
      <c r="A7" s="1"/>
      <c r="B7" s="1"/>
      <c r="V7" s="322"/>
      <c r="W7" s="322"/>
      <c r="Y7" s="324"/>
      <c r="Z7" s="324"/>
    </row>
    <row r="8" spans="1:26" ht="18" x14ac:dyDescent="0.25">
      <c r="V8" s="322"/>
      <c r="W8" s="322"/>
      <c r="Y8" s="321"/>
      <c r="Z8" s="321"/>
    </row>
    <row r="9" spans="1:26" ht="18" x14ac:dyDescent="0.25">
      <c r="V9" s="322"/>
      <c r="W9" s="322"/>
      <c r="Y9" s="321"/>
      <c r="Z9" s="321"/>
    </row>
    <row r="10" spans="1:26" ht="18.75" thickBot="1" x14ac:dyDescent="0.3">
      <c r="V10" s="5"/>
      <c r="W10" s="5"/>
      <c r="Y10" s="4"/>
      <c r="Z10" s="4"/>
    </row>
    <row r="11" spans="1:26" ht="18" x14ac:dyDescent="0.25">
      <c r="B11" s="133"/>
      <c r="C11" s="134"/>
      <c r="D11" s="134"/>
      <c r="E11" s="134"/>
      <c r="F11" s="134"/>
      <c r="G11" s="134"/>
      <c r="H11" s="134"/>
      <c r="I11" s="134"/>
      <c r="J11" s="134"/>
      <c r="K11" s="134"/>
      <c r="L11" s="134"/>
      <c r="M11" s="134"/>
      <c r="N11" s="134"/>
      <c r="O11" s="134"/>
      <c r="P11" s="134"/>
      <c r="Q11" s="134"/>
      <c r="R11" s="135"/>
      <c r="V11" s="5"/>
      <c r="W11" s="5"/>
      <c r="Y11" s="4"/>
      <c r="Z11" s="4"/>
    </row>
    <row r="12" spans="1:26" ht="18" x14ac:dyDescent="0.25">
      <c r="B12" s="327" t="s">
        <v>537</v>
      </c>
      <c r="C12" s="328"/>
      <c r="D12" s="328"/>
      <c r="E12" s="328"/>
      <c r="F12" s="328"/>
      <c r="G12" s="328"/>
      <c r="H12" s="328"/>
      <c r="I12" s="328"/>
      <c r="J12" s="328"/>
      <c r="K12" s="328"/>
      <c r="L12" s="328"/>
      <c r="M12" s="328"/>
      <c r="N12" s="328"/>
      <c r="O12" s="328"/>
      <c r="P12" s="328"/>
      <c r="Q12" s="328"/>
      <c r="R12" s="130"/>
      <c r="V12" s="322"/>
      <c r="W12" s="322"/>
      <c r="Y12" s="321"/>
      <c r="Z12" s="321"/>
    </row>
    <row r="13" spans="1:26" ht="18" customHeight="1" x14ac:dyDescent="0.25">
      <c r="B13" s="327"/>
      <c r="C13" s="328"/>
      <c r="D13" s="328"/>
      <c r="E13" s="328"/>
      <c r="F13" s="328"/>
      <c r="G13" s="328"/>
      <c r="H13" s="328"/>
      <c r="I13" s="328"/>
      <c r="J13" s="328"/>
      <c r="K13" s="328"/>
      <c r="L13" s="328"/>
      <c r="M13" s="328"/>
      <c r="N13" s="328"/>
      <c r="O13" s="328"/>
      <c r="P13" s="328"/>
      <c r="Q13" s="328"/>
      <c r="R13" s="130"/>
      <c r="V13" s="322"/>
      <c r="W13" s="322"/>
      <c r="Y13" s="321"/>
      <c r="Z13" s="321"/>
    </row>
    <row r="14" spans="1:26" ht="18" x14ac:dyDescent="0.25">
      <c r="B14" s="325"/>
      <c r="C14" s="326"/>
      <c r="D14" s="326"/>
      <c r="E14" s="326"/>
      <c r="F14" s="326"/>
      <c r="G14" s="326"/>
      <c r="H14" s="326"/>
      <c r="I14" s="326"/>
      <c r="J14" s="326"/>
      <c r="K14" s="326"/>
      <c r="L14" s="326"/>
      <c r="M14" s="326"/>
      <c r="N14" s="326"/>
      <c r="O14" s="326"/>
      <c r="P14" s="326"/>
      <c r="Q14" s="326"/>
      <c r="R14" s="130"/>
      <c r="V14" s="323"/>
      <c r="W14" s="323"/>
      <c r="Y14" s="321"/>
      <c r="Z14" s="321"/>
    </row>
    <row r="15" spans="1:26" ht="15" customHeight="1" x14ac:dyDescent="0.25">
      <c r="B15" s="327" t="s">
        <v>538</v>
      </c>
      <c r="C15" s="328"/>
      <c r="D15" s="328"/>
      <c r="E15" s="328"/>
      <c r="F15" s="328"/>
      <c r="G15" s="328"/>
      <c r="H15" s="328"/>
      <c r="I15" s="328"/>
      <c r="J15" s="328"/>
      <c r="K15" s="328"/>
      <c r="L15" s="328"/>
      <c r="M15" s="328"/>
      <c r="N15" s="328"/>
      <c r="O15" s="328"/>
      <c r="P15" s="328"/>
      <c r="Q15" s="328"/>
      <c r="R15" s="130"/>
      <c r="V15" s="323"/>
      <c r="W15" s="323"/>
      <c r="Y15" s="321"/>
      <c r="Z15" s="321"/>
    </row>
    <row r="16" spans="1:26" ht="15" customHeight="1" x14ac:dyDescent="0.25">
      <c r="B16" s="327"/>
      <c r="C16" s="328"/>
      <c r="D16" s="328"/>
      <c r="E16" s="328"/>
      <c r="F16" s="328"/>
      <c r="G16" s="328"/>
      <c r="H16" s="328"/>
      <c r="I16" s="328"/>
      <c r="J16" s="328"/>
      <c r="K16" s="328"/>
      <c r="L16" s="328"/>
      <c r="M16" s="328"/>
      <c r="N16" s="328"/>
      <c r="O16" s="328"/>
      <c r="P16" s="328"/>
      <c r="Q16" s="328"/>
      <c r="R16" s="130"/>
      <c r="V16" s="323"/>
      <c r="W16" s="323"/>
      <c r="Y16" s="321"/>
      <c r="Z16" s="321"/>
    </row>
    <row r="17" spans="1:26" ht="18" x14ac:dyDescent="0.25">
      <c r="B17" s="332"/>
      <c r="C17" s="333"/>
      <c r="D17" s="333"/>
      <c r="E17" s="333"/>
      <c r="F17" s="333"/>
      <c r="G17" s="333"/>
      <c r="H17" s="333"/>
      <c r="I17" s="333"/>
      <c r="J17" s="333"/>
      <c r="K17" s="333"/>
      <c r="L17" s="333"/>
      <c r="M17" s="333"/>
      <c r="N17" s="333"/>
      <c r="O17" s="333"/>
      <c r="P17" s="333"/>
      <c r="Q17" s="333"/>
      <c r="R17" s="130"/>
      <c r="V17" s="323"/>
      <c r="W17" s="323"/>
      <c r="Y17" s="321"/>
      <c r="Z17" s="321"/>
    </row>
    <row r="18" spans="1:26" ht="18" x14ac:dyDescent="0.25">
      <c r="B18" s="327" t="s">
        <v>539</v>
      </c>
      <c r="C18" s="328"/>
      <c r="D18" s="328"/>
      <c r="E18" s="328"/>
      <c r="F18" s="328"/>
      <c r="G18" s="328"/>
      <c r="H18" s="328"/>
      <c r="I18" s="328"/>
      <c r="J18" s="328"/>
      <c r="K18" s="328"/>
      <c r="L18" s="328"/>
      <c r="M18" s="328"/>
      <c r="N18" s="328"/>
      <c r="O18" s="328"/>
      <c r="P18" s="328"/>
      <c r="Q18" s="328"/>
      <c r="R18" s="130"/>
      <c r="V18" s="329"/>
      <c r="W18" s="329"/>
      <c r="Y18" s="321"/>
      <c r="Z18" s="321"/>
    </row>
    <row r="19" spans="1:26" ht="18" x14ac:dyDescent="0.25">
      <c r="B19" s="327"/>
      <c r="C19" s="328"/>
      <c r="D19" s="328"/>
      <c r="E19" s="328"/>
      <c r="F19" s="328"/>
      <c r="G19" s="328"/>
      <c r="H19" s="328"/>
      <c r="I19" s="328"/>
      <c r="J19" s="328"/>
      <c r="K19" s="328"/>
      <c r="L19" s="328"/>
      <c r="M19" s="328"/>
      <c r="N19" s="328"/>
      <c r="O19" s="328"/>
      <c r="P19" s="328"/>
      <c r="Q19" s="328"/>
      <c r="R19" s="130"/>
      <c r="Y19" s="321"/>
      <c r="Z19" s="321"/>
    </row>
    <row r="20" spans="1:26" ht="18" x14ac:dyDescent="0.25">
      <c r="A20" s="126"/>
      <c r="B20" s="334"/>
      <c r="C20" s="335"/>
      <c r="D20" s="335"/>
      <c r="E20" s="335"/>
      <c r="F20" s="335"/>
      <c r="G20" s="335"/>
      <c r="H20" s="335"/>
      <c r="I20" s="335"/>
      <c r="J20" s="335"/>
      <c r="K20" s="335"/>
      <c r="L20" s="335"/>
      <c r="M20" s="335"/>
      <c r="N20" s="335"/>
      <c r="O20" s="335"/>
      <c r="P20" s="335"/>
      <c r="Q20" s="335"/>
      <c r="R20" s="130"/>
      <c r="Y20" s="321"/>
      <c r="Z20" s="321"/>
    </row>
    <row r="21" spans="1:26" ht="18" x14ac:dyDescent="0.25">
      <c r="A21" s="126"/>
      <c r="B21" s="327" t="s">
        <v>540</v>
      </c>
      <c r="C21" s="328"/>
      <c r="D21" s="328"/>
      <c r="E21" s="328"/>
      <c r="F21" s="328"/>
      <c r="G21" s="328"/>
      <c r="H21" s="328"/>
      <c r="I21" s="328"/>
      <c r="J21" s="328"/>
      <c r="K21" s="328"/>
      <c r="L21" s="328"/>
      <c r="M21" s="328"/>
      <c r="N21" s="328"/>
      <c r="O21" s="328"/>
      <c r="P21" s="328"/>
      <c r="Q21" s="328"/>
      <c r="R21" s="130"/>
      <c r="Y21" s="321"/>
      <c r="Z21" s="321"/>
    </row>
    <row r="22" spans="1:26" ht="18" x14ac:dyDescent="0.25">
      <c r="A22" s="1"/>
      <c r="B22" s="327"/>
      <c r="C22" s="328"/>
      <c r="D22" s="328"/>
      <c r="E22" s="328"/>
      <c r="F22" s="328"/>
      <c r="G22" s="328"/>
      <c r="H22" s="328"/>
      <c r="I22" s="328"/>
      <c r="J22" s="328"/>
      <c r="K22" s="328"/>
      <c r="L22" s="328"/>
      <c r="M22" s="328"/>
      <c r="N22" s="328"/>
      <c r="O22" s="328"/>
      <c r="P22" s="328"/>
      <c r="Q22" s="328"/>
      <c r="R22" s="130"/>
      <c r="Y22" s="321"/>
      <c r="Z22" s="321"/>
    </row>
    <row r="23" spans="1:26" ht="18" x14ac:dyDescent="0.25">
      <c r="A23" s="1"/>
      <c r="B23" s="128"/>
      <c r="C23" s="129"/>
      <c r="D23" s="129"/>
      <c r="E23" s="129"/>
      <c r="F23" s="129"/>
      <c r="G23" s="129"/>
      <c r="H23" s="129"/>
      <c r="I23" s="129"/>
      <c r="J23" s="129"/>
      <c r="K23" s="129"/>
      <c r="L23" s="129"/>
      <c r="M23" s="129"/>
      <c r="N23" s="129"/>
      <c r="O23" s="129"/>
      <c r="P23" s="129"/>
      <c r="Q23" s="129"/>
      <c r="R23" s="130"/>
      <c r="Y23" s="321"/>
      <c r="Z23" s="321"/>
    </row>
    <row r="24" spans="1:26" ht="18" x14ac:dyDescent="0.25">
      <c r="A24" s="1"/>
      <c r="B24" s="327" t="s">
        <v>541</v>
      </c>
      <c r="C24" s="328"/>
      <c r="D24" s="328"/>
      <c r="E24" s="328"/>
      <c r="F24" s="328"/>
      <c r="G24" s="328"/>
      <c r="H24" s="328"/>
      <c r="I24" s="328"/>
      <c r="J24" s="328"/>
      <c r="K24" s="328"/>
      <c r="L24" s="328"/>
      <c r="M24" s="328"/>
      <c r="N24" s="328"/>
      <c r="O24" s="328"/>
      <c r="P24" s="328"/>
      <c r="Q24" s="328"/>
      <c r="R24" s="130"/>
      <c r="Y24" s="321"/>
      <c r="Z24" s="321"/>
    </row>
    <row r="25" spans="1:26" ht="18" x14ac:dyDescent="0.25">
      <c r="A25" s="1"/>
      <c r="B25" s="327"/>
      <c r="C25" s="328"/>
      <c r="D25" s="328"/>
      <c r="E25" s="328"/>
      <c r="F25" s="328"/>
      <c r="G25" s="328"/>
      <c r="H25" s="328"/>
      <c r="I25" s="328"/>
      <c r="J25" s="328"/>
      <c r="K25" s="328"/>
      <c r="L25" s="328"/>
      <c r="M25" s="328"/>
      <c r="N25" s="328"/>
      <c r="O25" s="328"/>
      <c r="P25" s="328"/>
      <c r="Q25" s="328"/>
      <c r="R25" s="130"/>
      <c r="Y25" s="321"/>
      <c r="Z25" s="321"/>
    </row>
    <row r="26" spans="1:26" ht="18" x14ac:dyDescent="0.25">
      <c r="B26" s="128"/>
      <c r="C26" s="129"/>
      <c r="D26" s="129"/>
      <c r="E26" s="129"/>
      <c r="F26" s="129"/>
      <c r="G26" s="129"/>
      <c r="H26" s="129"/>
      <c r="I26" s="129"/>
      <c r="J26" s="129"/>
      <c r="K26" s="129"/>
      <c r="L26" s="129"/>
      <c r="M26" s="129"/>
      <c r="N26" s="129"/>
      <c r="O26" s="129"/>
      <c r="P26" s="129"/>
      <c r="Q26" s="129"/>
      <c r="R26" s="130"/>
      <c r="Y26" s="321"/>
      <c r="Z26" s="321"/>
    </row>
    <row r="27" spans="1:26" ht="18" x14ac:dyDescent="0.25">
      <c r="B27" s="327" t="s">
        <v>542</v>
      </c>
      <c r="C27" s="328"/>
      <c r="D27" s="328"/>
      <c r="E27" s="328"/>
      <c r="F27" s="328"/>
      <c r="G27" s="328"/>
      <c r="H27" s="328"/>
      <c r="I27" s="328"/>
      <c r="J27" s="328"/>
      <c r="K27" s="328"/>
      <c r="L27" s="328"/>
      <c r="M27" s="328"/>
      <c r="N27" s="328"/>
      <c r="O27" s="328"/>
      <c r="P27" s="328"/>
      <c r="Q27" s="328"/>
      <c r="R27" s="130"/>
      <c r="Y27" s="321"/>
      <c r="Z27" s="321"/>
    </row>
    <row r="28" spans="1:26" ht="18" x14ac:dyDescent="0.25">
      <c r="B28" s="327"/>
      <c r="C28" s="328"/>
      <c r="D28" s="328"/>
      <c r="E28" s="328"/>
      <c r="F28" s="328"/>
      <c r="G28" s="328"/>
      <c r="H28" s="328"/>
      <c r="I28" s="328"/>
      <c r="J28" s="328"/>
      <c r="K28" s="328"/>
      <c r="L28" s="328"/>
      <c r="M28" s="328"/>
      <c r="N28" s="328"/>
      <c r="O28" s="328"/>
      <c r="P28" s="328"/>
      <c r="Q28" s="328"/>
      <c r="R28" s="130"/>
      <c r="Y28" s="321"/>
      <c r="Z28" s="321"/>
    </row>
    <row r="29" spans="1:26" ht="18" x14ac:dyDescent="0.25">
      <c r="B29" s="131"/>
      <c r="C29" s="132"/>
      <c r="D29" s="132"/>
      <c r="E29" s="132"/>
      <c r="F29" s="132"/>
      <c r="G29" s="132"/>
      <c r="H29" s="132"/>
      <c r="I29" s="132"/>
      <c r="J29" s="132"/>
      <c r="K29" s="132"/>
      <c r="L29" s="132"/>
      <c r="M29" s="132"/>
      <c r="N29" s="132"/>
      <c r="O29" s="132"/>
      <c r="P29" s="132"/>
      <c r="Q29" s="132"/>
      <c r="R29" s="130"/>
      <c r="Y29" s="321"/>
      <c r="Z29" s="321"/>
    </row>
    <row r="30" spans="1:26" ht="18" customHeight="1" x14ac:dyDescent="0.25">
      <c r="B30" s="330" t="s">
        <v>543</v>
      </c>
      <c r="C30" s="331"/>
      <c r="D30" s="331"/>
      <c r="E30" s="331"/>
      <c r="F30" s="331"/>
      <c r="G30" s="331"/>
      <c r="H30" s="331"/>
      <c r="I30" s="331"/>
      <c r="J30" s="331"/>
      <c r="K30" s="331"/>
      <c r="L30" s="331"/>
      <c r="M30" s="331"/>
      <c r="N30" s="331"/>
      <c r="O30" s="331"/>
      <c r="P30" s="331"/>
      <c r="Q30" s="331"/>
      <c r="R30" s="130"/>
      <c r="Y30" s="321"/>
      <c r="Z30" s="321"/>
    </row>
    <row r="31" spans="1:26" x14ac:dyDescent="0.2">
      <c r="B31" s="330"/>
      <c r="C31" s="331"/>
      <c r="D31" s="331"/>
      <c r="E31" s="331"/>
      <c r="F31" s="331"/>
      <c r="G31" s="331"/>
      <c r="H31" s="331"/>
      <c r="I31" s="331"/>
      <c r="J31" s="331"/>
      <c r="K31" s="331"/>
      <c r="L31" s="331"/>
      <c r="M31" s="331"/>
      <c r="N31" s="331"/>
      <c r="O31" s="331"/>
      <c r="P31" s="331"/>
      <c r="Q31" s="331"/>
      <c r="R31" s="130"/>
    </row>
    <row r="32" spans="1:26" ht="15" customHeight="1" thickBot="1" x14ac:dyDescent="0.25">
      <c r="B32" s="136"/>
      <c r="C32" s="137"/>
      <c r="D32" s="137"/>
      <c r="E32" s="137"/>
      <c r="F32" s="137"/>
      <c r="G32" s="137"/>
      <c r="H32" s="137"/>
      <c r="I32" s="137"/>
      <c r="J32" s="137"/>
      <c r="K32" s="137"/>
      <c r="L32" s="137"/>
      <c r="M32" s="137"/>
      <c r="N32" s="137"/>
      <c r="O32" s="137"/>
      <c r="P32" s="137"/>
      <c r="Q32" s="137"/>
      <c r="R32" s="138"/>
    </row>
    <row r="33" spans="2:17" x14ac:dyDescent="0.2">
      <c r="B33" s="127"/>
      <c r="C33" s="127"/>
      <c r="D33" s="127"/>
      <c r="E33" s="127"/>
      <c r="F33" s="127"/>
      <c r="G33" s="127"/>
      <c r="H33" s="127"/>
      <c r="I33" s="127"/>
      <c r="J33" s="127"/>
      <c r="K33" s="127"/>
      <c r="L33" s="127"/>
      <c r="M33" s="127"/>
      <c r="N33" s="127"/>
      <c r="O33" s="127"/>
      <c r="P33" s="127"/>
      <c r="Q33" s="127"/>
    </row>
    <row r="34" spans="2:17" x14ac:dyDescent="0.2">
      <c r="B34" s="127"/>
      <c r="C34" s="127"/>
      <c r="D34" s="127"/>
      <c r="E34" s="127"/>
      <c r="F34" s="127"/>
      <c r="G34" s="127"/>
      <c r="H34" s="127"/>
      <c r="I34" s="127"/>
      <c r="J34" s="127"/>
      <c r="K34" s="127"/>
      <c r="L34" s="127"/>
      <c r="M34" s="127"/>
      <c r="N34" s="127"/>
      <c r="O34" s="127"/>
      <c r="P34" s="127"/>
      <c r="Q34" s="127"/>
    </row>
    <row r="35" spans="2:17" x14ac:dyDescent="0.2">
      <c r="B35" s="127"/>
      <c r="C35" s="127"/>
      <c r="D35" s="127"/>
      <c r="E35" s="127"/>
      <c r="F35" s="127"/>
      <c r="G35" s="127"/>
      <c r="H35" s="127"/>
      <c r="I35" s="127"/>
      <c r="J35" s="127"/>
      <c r="K35" s="127"/>
      <c r="L35" s="127"/>
      <c r="M35" s="127"/>
      <c r="N35" s="127"/>
      <c r="O35" s="127"/>
      <c r="P35" s="127"/>
      <c r="Q35" s="127"/>
    </row>
  </sheetData>
  <sheetProtection selectLockedCells="1"/>
  <mergeCells count="40">
    <mergeCell ref="B30:Q31"/>
    <mergeCell ref="B17:Q17"/>
    <mergeCell ref="B20:Q20"/>
    <mergeCell ref="B18:Q19"/>
    <mergeCell ref="B21:Q22"/>
    <mergeCell ref="B14:Q14"/>
    <mergeCell ref="B12:Q13"/>
    <mergeCell ref="B15:Q16"/>
    <mergeCell ref="Y28:Z28"/>
    <mergeCell ref="Y29:Z29"/>
    <mergeCell ref="V16:W17"/>
    <mergeCell ref="V18:W18"/>
    <mergeCell ref="B24:Q25"/>
    <mergeCell ref="B27:Q28"/>
    <mergeCell ref="Y30:Z30"/>
    <mergeCell ref="Y7:Z7"/>
    <mergeCell ref="Y22:Z22"/>
    <mergeCell ref="Y23:Z23"/>
    <mergeCell ref="Y24:Z24"/>
    <mergeCell ref="Y25:Z25"/>
    <mergeCell ref="Y26:Z26"/>
    <mergeCell ref="Y27:Z27"/>
    <mergeCell ref="Y16:Z16"/>
    <mergeCell ref="Y17:Z17"/>
    <mergeCell ref="Y18:Z18"/>
    <mergeCell ref="Y19:Z19"/>
    <mergeCell ref="Y20:Z20"/>
    <mergeCell ref="Y21:Z21"/>
    <mergeCell ref="Y15:Z15"/>
    <mergeCell ref="Y8:Z8"/>
    <mergeCell ref="Y9:Z9"/>
    <mergeCell ref="Y12:Z12"/>
    <mergeCell ref="Y13:Z13"/>
    <mergeCell ref="Y14:Z14"/>
    <mergeCell ref="V7:W7"/>
    <mergeCell ref="V12:W12"/>
    <mergeCell ref="V13:W13"/>
    <mergeCell ref="V8:W8"/>
    <mergeCell ref="V9:W9"/>
    <mergeCell ref="V14:W15"/>
  </mergeCells>
  <pageMargins left="0.511811024" right="0.511811024" top="0.78740157499999996" bottom="0.78740157499999996" header="0.31496062000000002" footer="0.31496062000000002"/>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1"/>
  <sheetViews>
    <sheetView topLeftCell="A19" zoomScaleNormal="100" workbookViewId="0">
      <selection activeCell="C42" sqref="C42:C50"/>
    </sheetView>
  </sheetViews>
  <sheetFormatPr defaultRowHeight="15" x14ac:dyDescent="0.2"/>
  <cols>
    <col min="1" max="2" width="9.140625" style="7"/>
    <col min="3" max="3" width="25.85546875" style="7" customWidth="1"/>
    <col min="4" max="16384" width="9.140625" style="7"/>
  </cols>
  <sheetData>
    <row r="1" spans="2:28" x14ac:dyDescent="0.2">
      <c r="B1" s="6"/>
    </row>
    <row r="4" spans="2:28" ht="15.75" thickBot="1" x14ac:dyDescent="0.25"/>
    <row r="5" spans="2:28" x14ac:dyDescent="0.2">
      <c r="B5" s="139"/>
      <c r="C5" s="140"/>
      <c r="D5" s="140"/>
      <c r="E5" s="141"/>
    </row>
    <row r="6" spans="2:28" x14ac:dyDescent="0.2">
      <c r="B6" s="142"/>
      <c r="C6" s="336" t="s">
        <v>370</v>
      </c>
      <c r="D6" s="336"/>
      <c r="E6" s="143"/>
    </row>
    <row r="7" spans="2:28" x14ac:dyDescent="0.2">
      <c r="B7" s="142"/>
      <c r="C7" s="336" t="s">
        <v>371</v>
      </c>
      <c r="D7" s="336"/>
      <c r="E7" s="143"/>
      <c r="X7" s="337"/>
      <c r="Y7" s="337"/>
      <c r="AA7" s="338"/>
      <c r="AB7" s="338"/>
    </row>
    <row r="8" spans="2:28" x14ac:dyDescent="0.2">
      <c r="B8" s="142"/>
      <c r="C8" s="336" t="s">
        <v>335</v>
      </c>
      <c r="D8" s="336"/>
      <c r="E8" s="143"/>
    </row>
    <row r="9" spans="2:28" x14ac:dyDescent="0.2">
      <c r="B9" s="142"/>
      <c r="C9" s="336" t="s">
        <v>336</v>
      </c>
      <c r="D9" s="336"/>
      <c r="E9" s="143"/>
    </row>
    <row r="10" spans="2:28" x14ac:dyDescent="0.2">
      <c r="B10" s="142"/>
      <c r="C10" s="336" t="s">
        <v>372</v>
      </c>
      <c r="D10" s="336"/>
      <c r="E10" s="143"/>
    </row>
    <row r="11" spans="2:28" x14ac:dyDescent="0.2">
      <c r="B11" s="142"/>
      <c r="C11" s="336" t="s">
        <v>430</v>
      </c>
      <c r="D11" s="336"/>
      <c r="E11" s="143"/>
      <c r="F11" s="8"/>
    </row>
    <row r="12" spans="2:28" ht="15" customHeight="1" thickBot="1" x14ac:dyDescent="0.25">
      <c r="B12" s="144"/>
      <c r="C12" s="145"/>
      <c r="D12" s="146"/>
      <c r="E12" s="147"/>
    </row>
    <row r="13" spans="2:28" ht="15" customHeight="1" thickBot="1" x14ac:dyDescent="0.25">
      <c r="B13" s="148"/>
      <c r="C13" s="148"/>
      <c r="D13" s="149"/>
      <c r="E13" s="149"/>
    </row>
    <row r="14" spans="2:28" ht="15" customHeight="1" x14ac:dyDescent="0.2">
      <c r="B14" s="139"/>
      <c r="C14" s="140"/>
      <c r="D14" s="150"/>
      <c r="E14" s="151"/>
    </row>
    <row r="15" spans="2:28" ht="15" customHeight="1" x14ac:dyDescent="0.2">
      <c r="B15" s="142"/>
      <c r="C15" s="336" t="s">
        <v>337</v>
      </c>
      <c r="D15" s="336"/>
      <c r="E15" s="143"/>
    </row>
    <row r="16" spans="2:28" ht="15" customHeight="1" x14ac:dyDescent="0.2">
      <c r="B16" s="142"/>
      <c r="C16" s="336" t="s">
        <v>338</v>
      </c>
      <c r="D16" s="336"/>
      <c r="E16" s="143"/>
    </row>
    <row r="17" spans="2:5" x14ac:dyDescent="0.2">
      <c r="B17" s="142"/>
      <c r="C17" s="336" t="s">
        <v>339</v>
      </c>
      <c r="D17" s="336"/>
      <c r="E17" s="143"/>
    </row>
    <row r="18" spans="2:5" x14ac:dyDescent="0.2">
      <c r="B18" s="142"/>
      <c r="C18" s="336" t="s">
        <v>340</v>
      </c>
      <c r="D18" s="336"/>
      <c r="E18" s="143"/>
    </row>
    <row r="19" spans="2:5" ht="15" customHeight="1" x14ac:dyDescent="0.2">
      <c r="B19" s="142"/>
      <c r="C19" s="336" t="s">
        <v>341</v>
      </c>
      <c r="D19" s="336"/>
      <c r="E19" s="143"/>
    </row>
    <row r="20" spans="2:5" ht="15" customHeight="1" x14ac:dyDescent="0.2">
      <c r="B20" s="152"/>
      <c r="C20" s="336" t="s">
        <v>342</v>
      </c>
      <c r="D20" s="336"/>
      <c r="E20" s="143"/>
    </row>
    <row r="21" spans="2:5" ht="15" customHeight="1" x14ac:dyDescent="0.2">
      <c r="B21" s="152"/>
      <c r="C21" s="336" t="s">
        <v>343</v>
      </c>
      <c r="D21" s="336"/>
      <c r="E21" s="143"/>
    </row>
    <row r="22" spans="2:5" ht="15" customHeight="1" x14ac:dyDescent="0.2">
      <c r="B22" s="142"/>
      <c r="C22" s="336" t="s">
        <v>344</v>
      </c>
      <c r="D22" s="336"/>
      <c r="E22" s="143"/>
    </row>
    <row r="23" spans="2:5" ht="15" customHeight="1" x14ac:dyDescent="0.2">
      <c r="B23" s="142"/>
      <c r="C23" s="336" t="s">
        <v>345</v>
      </c>
      <c r="D23" s="336"/>
      <c r="E23" s="143"/>
    </row>
    <row r="24" spans="2:5" ht="15" customHeight="1" x14ac:dyDescent="0.2">
      <c r="B24" s="142"/>
      <c r="C24" s="336" t="s">
        <v>346</v>
      </c>
      <c r="D24" s="336"/>
      <c r="E24" s="143"/>
    </row>
    <row r="25" spans="2:5" ht="15" customHeight="1" x14ac:dyDescent="0.2">
      <c r="B25" s="142"/>
      <c r="C25" s="336" t="s">
        <v>347</v>
      </c>
      <c r="D25" s="336"/>
      <c r="E25" s="143"/>
    </row>
    <row r="26" spans="2:5" ht="15" customHeight="1" x14ac:dyDescent="0.2">
      <c r="B26" s="142"/>
      <c r="C26" s="336" t="s">
        <v>348</v>
      </c>
      <c r="D26" s="336"/>
      <c r="E26" s="143"/>
    </row>
    <row r="27" spans="2:5" ht="15" customHeight="1" x14ac:dyDescent="0.2">
      <c r="B27" s="142"/>
      <c r="C27" s="336" t="s">
        <v>349</v>
      </c>
      <c r="D27" s="336"/>
      <c r="E27" s="143"/>
    </row>
    <row r="28" spans="2:5" ht="15" customHeight="1" x14ac:dyDescent="0.2">
      <c r="B28" s="142"/>
      <c r="C28" s="336" t="s">
        <v>350</v>
      </c>
      <c r="D28" s="336"/>
      <c r="E28" s="143"/>
    </row>
    <row r="29" spans="2:5" ht="15" customHeight="1" x14ac:dyDescent="0.2">
      <c r="B29" s="142"/>
      <c r="C29" s="336" t="s">
        <v>351</v>
      </c>
      <c r="D29" s="336"/>
      <c r="E29" s="143"/>
    </row>
    <row r="30" spans="2:5" ht="15" customHeight="1" x14ac:dyDescent="0.2">
      <c r="B30" s="142"/>
      <c r="C30" s="336" t="s">
        <v>352</v>
      </c>
      <c r="D30" s="336"/>
      <c r="E30" s="143"/>
    </row>
    <row r="31" spans="2:5" ht="15" customHeight="1" x14ac:dyDescent="0.2">
      <c r="B31" s="142"/>
      <c r="C31" s="336" t="s">
        <v>353</v>
      </c>
      <c r="D31" s="336"/>
      <c r="E31" s="143"/>
    </row>
    <row r="32" spans="2:5" ht="15" customHeight="1" x14ac:dyDescent="0.2">
      <c r="B32" s="142"/>
      <c r="C32" s="336" t="s">
        <v>354</v>
      </c>
      <c r="D32" s="336"/>
      <c r="E32" s="143"/>
    </row>
    <row r="33" spans="2:5" ht="15" customHeight="1" x14ac:dyDescent="0.2">
      <c r="B33" s="142"/>
      <c r="C33" s="336" t="s">
        <v>355</v>
      </c>
      <c r="D33" s="336"/>
      <c r="E33" s="143"/>
    </row>
    <row r="34" spans="2:5" ht="15" customHeight="1" x14ac:dyDescent="0.2">
      <c r="B34" s="142"/>
      <c r="C34" s="336" t="s">
        <v>356</v>
      </c>
      <c r="D34" s="336"/>
      <c r="E34" s="143"/>
    </row>
    <row r="35" spans="2:5" ht="15" customHeight="1" thickBot="1" x14ac:dyDescent="0.25">
      <c r="B35" s="144"/>
      <c r="C35" s="339"/>
      <c r="D35" s="339"/>
      <c r="E35" s="153"/>
    </row>
    <row r="36" spans="2:5" ht="15" customHeight="1" x14ac:dyDescent="0.2"/>
    <row r="37" spans="2:5" ht="15" customHeight="1" x14ac:dyDescent="0.2"/>
    <row r="38" spans="2:5" ht="15" customHeight="1" x14ac:dyDescent="0.2"/>
    <row r="39" spans="2:5" ht="15" customHeight="1" x14ac:dyDescent="0.2"/>
    <row r="42" spans="2:5" x14ac:dyDescent="0.2">
      <c r="C42" s="257"/>
    </row>
    <row r="43" spans="2:5" x14ac:dyDescent="0.2">
      <c r="C43" s="257" t="s">
        <v>430</v>
      </c>
    </row>
    <row r="44" spans="2:5" x14ac:dyDescent="0.2">
      <c r="C44" s="257"/>
    </row>
    <row r="45" spans="2:5" x14ac:dyDescent="0.2">
      <c r="C45" s="258" t="s">
        <v>578</v>
      </c>
    </row>
    <row r="46" spans="2:5" x14ac:dyDescent="0.2">
      <c r="C46" s="258" t="s">
        <v>581</v>
      </c>
    </row>
    <row r="47" spans="2:5" x14ac:dyDescent="0.2">
      <c r="C47" s="258" t="s">
        <v>583</v>
      </c>
    </row>
    <row r="48" spans="2:5" x14ac:dyDescent="0.2">
      <c r="C48" s="258" t="s">
        <v>584</v>
      </c>
    </row>
    <row r="49" spans="3:3" x14ac:dyDescent="0.2">
      <c r="C49" s="258" t="s">
        <v>593</v>
      </c>
    </row>
    <row r="50" spans="3:3" x14ac:dyDescent="0.2">
      <c r="C50" s="258" t="s">
        <v>594</v>
      </c>
    </row>
    <row r="51" spans="3:3" ht="20.25" x14ac:dyDescent="0.2">
      <c r="C51" s="254"/>
    </row>
  </sheetData>
  <sheetProtection selectLockedCells="1"/>
  <mergeCells count="29">
    <mergeCell ref="C35:D35"/>
    <mergeCell ref="C29:D29"/>
    <mergeCell ref="C30:D30"/>
    <mergeCell ref="C31:D31"/>
    <mergeCell ref="C32:D32"/>
    <mergeCell ref="C33:D33"/>
    <mergeCell ref="C34:D34"/>
    <mergeCell ref="C25:D25"/>
    <mergeCell ref="C26:D26"/>
    <mergeCell ref="C27:D27"/>
    <mergeCell ref="C28:D28"/>
    <mergeCell ref="C21:D21"/>
    <mergeCell ref="C22:D22"/>
    <mergeCell ref="C23:D23"/>
    <mergeCell ref="C24:D24"/>
    <mergeCell ref="C20:D20"/>
    <mergeCell ref="C10:D10"/>
    <mergeCell ref="X7:Y7"/>
    <mergeCell ref="AA7:AB7"/>
    <mergeCell ref="C11:D11"/>
    <mergeCell ref="C8:D8"/>
    <mergeCell ref="C17:D17"/>
    <mergeCell ref="C9:D9"/>
    <mergeCell ref="C18:D18"/>
    <mergeCell ref="C6:D6"/>
    <mergeCell ref="C15:D15"/>
    <mergeCell ref="C7:D7"/>
    <mergeCell ref="C16:D16"/>
    <mergeCell ref="C19:D19"/>
  </mergeCells>
  <hyperlinks>
    <hyperlink ref="C34:D34" location="'Pupunha formação e produção'!A1" display="Pupunha - formação e produção"/>
    <hyperlink ref="C33:D33" location="'Pitaya produção'!A1" display="Pitaya - produção"/>
    <hyperlink ref="C32:D32" location="'Pitaya formação'!A1" display="Pitaya - formação"/>
    <hyperlink ref="C31:D31" location="'Maracujá produção'!A1" display="Maracujá - produção"/>
    <hyperlink ref="C30:D30" location="'Manga produção'!A1" display="Manga - produção"/>
    <hyperlink ref="C29:D29" location="'Manga formação'!A1" display="Manga - formação"/>
    <hyperlink ref="C28:D28" location="'Mamão produção'!A1" display="Mamão - produção"/>
    <hyperlink ref="C27:D27" location="'Graviola produção'!A1" display="Graviola -produção"/>
    <hyperlink ref="C26:D26" location="'Graviola formação'!A1" display="Graviola - formação"/>
    <hyperlink ref="C25:D25" location="'Graviola produção'!A1" display="Goiaba - produção"/>
    <hyperlink ref="C24:D24" location="'Goiaba formação'!A1" display="Goiaba - formação"/>
    <hyperlink ref="C23:D23" location="'Citros produção'!A1" display="Citros - produção"/>
    <hyperlink ref="C22:D22" location="'Citros formação'!A1" display="Citros - formação"/>
    <hyperlink ref="C21:D21" location="'Banana produção'!A1" display="Banana - produção"/>
    <hyperlink ref="C20:D20" location="'Banana formação'!A1" display="Banana - formação"/>
    <hyperlink ref="C19:D19" location="'Acerola produção'!A1" display="Acerola - produção"/>
    <hyperlink ref="C18:D18" location="'Acerola formação'!A1" display="Acerola - formação"/>
    <hyperlink ref="C17:D17" location="'Abacaxi produção'!A1" display="Abacaxi - produção"/>
    <hyperlink ref="C16:D16" location="'Abacate produção'!A1" display="Abacate - produção"/>
    <hyperlink ref="C15:D15" location="'Abacate formação'!A1" display="Abacate - formação"/>
    <hyperlink ref="C7:D7" location="'Análise foliar'!A1" display="Análise foliar"/>
    <hyperlink ref="C8:D8" location="Espaçamentos!A1" display="Espaçamentos"/>
    <hyperlink ref="C6:D6" location="'Análise de solo'!A1" display="Análise de solo"/>
    <hyperlink ref="C9:D9" location="'Adubos e corretivos'!A1" display="Adubos e corretivos"/>
    <hyperlink ref="C11:D12" location="'Conversão de unidades'!A1" display="Tabela de conversão de unidades"/>
    <hyperlink ref="C12:D12" location="'Saturação de base e PRNT'!A1" display="Saturação de base e PRNT"/>
    <hyperlink ref="C10:D10" location="'Saturação de base e PRNT'!A1" display="Saturação de base e PRNT"/>
    <hyperlink ref="C11:D11" location="'Conversor unidades'!A1" display="Tabela de conversão de unidades"/>
    <hyperlink ref="C43:D43" location="'(M) Conversão de unidades'!A1" display="Tabela de conversão de unidades"/>
    <hyperlink ref="C45" location="'Laranja industria formação'!A1" display="Citros - formação"/>
    <hyperlink ref="C46" location="'Laranja industria produção'!A1" display="Citros - produção"/>
    <hyperlink ref="C47" location="'Limão e Lima formação'!A1" display="Laranja industria - formação"/>
    <hyperlink ref="C48" location="'Limão e Lima produção'!A1" display="Laranja industria - produção"/>
    <hyperlink ref="C50" location="'Laranja Tangerina mesa produção'!A1" display="Laranja e tangerinas - produção"/>
    <hyperlink ref="C49" location="'Laranja Tangerina mesa formação'!A1" display="Laranja e tangerinas - formação"/>
  </hyperlinks>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5"/>
  <sheetViews>
    <sheetView zoomScale="55" zoomScaleNormal="55" workbookViewId="0">
      <pane ySplit="2" topLeftCell="A3" activePane="bottomLeft" state="frozen"/>
      <selection activeCell="A2" sqref="A2"/>
      <selection pane="bottomLeft" activeCell="Y23" sqref="Y23"/>
    </sheetView>
  </sheetViews>
  <sheetFormatPr defaultColWidth="11.42578125" defaultRowHeight="18" x14ac:dyDescent="0.25"/>
  <cols>
    <col min="1" max="1" width="11.42578125" style="10"/>
    <col min="2" max="2" width="40.140625" style="10" bestFit="1" customWidth="1"/>
    <col min="3" max="3" width="76.7109375" style="10" bestFit="1" customWidth="1"/>
    <col min="4" max="4" width="17.28515625" style="10" hidden="1" customWidth="1"/>
    <col min="5" max="5" width="15.5703125" style="10" bestFit="1" customWidth="1"/>
    <col min="6" max="6" width="16.140625" style="10" bestFit="1" customWidth="1"/>
    <col min="7" max="7" width="19" style="10" hidden="1" customWidth="1"/>
    <col min="8" max="8" width="21.85546875" style="10" bestFit="1" customWidth="1"/>
    <col min="9" max="9" width="11" style="10" hidden="1" customWidth="1"/>
    <col min="10" max="10" width="8.7109375" style="10" bestFit="1" customWidth="1"/>
    <col min="11" max="11" width="9.28515625" style="10" bestFit="1" customWidth="1"/>
    <col min="12" max="13" width="8.7109375" style="10" bestFit="1" customWidth="1"/>
    <col min="14" max="14" width="9.28515625" style="10" bestFit="1" customWidth="1"/>
    <col min="15" max="16" width="8.7109375" style="10" bestFit="1" customWidth="1"/>
    <col min="17" max="17" width="9.28515625" style="10" bestFit="1" customWidth="1"/>
    <col min="18" max="19" width="8.7109375" style="10" bestFit="1" customWidth="1"/>
    <col min="20" max="20" width="37.28515625" style="10" hidden="1" customWidth="1"/>
    <col min="21" max="21" width="29.85546875" style="10" hidden="1" customWidth="1"/>
    <col min="22" max="22" width="30.42578125" style="10" hidden="1" customWidth="1"/>
    <col min="23" max="24" width="11.42578125" style="10"/>
    <col min="25" max="25" width="65" style="10" bestFit="1" customWidth="1"/>
    <col min="26" max="30" width="11.42578125" style="10"/>
    <col min="31" max="31" width="13" style="10" bestFit="1" customWidth="1"/>
    <col min="32" max="44" width="11.42578125" style="10"/>
    <col min="45" max="45" width="65" style="10" bestFit="1" customWidth="1"/>
    <col min="46" max="16384" width="11.42578125" style="10"/>
  </cols>
  <sheetData>
    <row r="1" spans="1:25" x14ac:dyDescent="0.25">
      <c r="A1" s="9"/>
      <c r="B1" s="341" t="s">
        <v>136</v>
      </c>
      <c r="C1" s="341" t="s">
        <v>76</v>
      </c>
      <c r="D1" s="341" t="s">
        <v>77</v>
      </c>
      <c r="E1" s="341" t="s">
        <v>78</v>
      </c>
      <c r="F1" s="341"/>
      <c r="G1" s="341"/>
      <c r="H1" s="341"/>
      <c r="I1" s="341"/>
      <c r="J1" s="341"/>
      <c r="K1" s="341"/>
      <c r="L1" s="341"/>
      <c r="M1" s="341"/>
      <c r="N1" s="341"/>
      <c r="O1" s="341"/>
      <c r="P1" s="341"/>
      <c r="Q1" s="341"/>
      <c r="R1" s="341"/>
      <c r="S1" s="341"/>
      <c r="T1" s="341"/>
      <c r="U1" s="341"/>
      <c r="V1" s="341"/>
    </row>
    <row r="2" spans="1:25" x14ac:dyDescent="0.25">
      <c r="B2" s="341"/>
      <c r="C2" s="341"/>
      <c r="D2" s="341"/>
      <c r="E2" s="104" t="s">
        <v>33</v>
      </c>
      <c r="F2" s="104" t="s">
        <v>79</v>
      </c>
      <c r="G2" s="104" t="s">
        <v>66</v>
      </c>
      <c r="H2" s="104" t="s">
        <v>80</v>
      </c>
      <c r="I2" s="104" t="s">
        <v>67</v>
      </c>
      <c r="J2" s="104" t="s">
        <v>81</v>
      </c>
      <c r="K2" s="104" t="s">
        <v>82</v>
      </c>
      <c r="L2" s="104" t="s">
        <v>83</v>
      </c>
      <c r="M2" s="104" t="s">
        <v>84</v>
      </c>
      <c r="N2" s="104" t="s">
        <v>85</v>
      </c>
      <c r="O2" s="104" t="s">
        <v>86</v>
      </c>
      <c r="P2" s="104" t="s">
        <v>87</v>
      </c>
      <c r="Q2" s="104" t="s">
        <v>88</v>
      </c>
      <c r="R2" s="104" t="s">
        <v>89</v>
      </c>
      <c r="S2" s="104" t="s">
        <v>117</v>
      </c>
      <c r="T2" s="104" t="s">
        <v>90</v>
      </c>
      <c r="U2" s="104" t="s">
        <v>91</v>
      </c>
      <c r="V2" s="104" t="s">
        <v>92</v>
      </c>
    </row>
    <row r="3" spans="1:25" x14ac:dyDescent="0.25">
      <c r="B3" s="342" t="s">
        <v>227</v>
      </c>
      <c r="C3" s="15" t="s">
        <v>205</v>
      </c>
      <c r="D3" s="15"/>
      <c r="E3" s="154"/>
      <c r="F3" s="154"/>
      <c r="G3" s="154"/>
      <c r="H3" s="154">
        <v>50</v>
      </c>
      <c r="I3" s="154">
        <v>60</v>
      </c>
      <c r="J3" s="154"/>
      <c r="K3" s="154"/>
      <c r="L3" s="154"/>
      <c r="M3" s="154"/>
      <c r="N3" s="154"/>
      <c r="O3" s="154"/>
      <c r="P3" s="154"/>
      <c r="Q3" s="154"/>
      <c r="R3" s="154"/>
      <c r="S3" s="154"/>
      <c r="T3" s="154">
        <v>0</v>
      </c>
      <c r="U3" s="154">
        <v>0</v>
      </c>
      <c r="V3" s="154">
        <v>1.7</v>
      </c>
      <c r="X3" s="346" t="s">
        <v>311</v>
      </c>
      <c r="Y3" s="346"/>
    </row>
    <row r="4" spans="1:25" x14ac:dyDescent="0.25">
      <c r="B4" s="342"/>
      <c r="C4" s="155" t="s">
        <v>494</v>
      </c>
      <c r="D4" s="155"/>
      <c r="E4" s="156"/>
      <c r="F4" s="156"/>
      <c r="G4" s="156"/>
      <c r="H4" s="156">
        <v>43</v>
      </c>
      <c r="I4" s="156">
        <v>52</v>
      </c>
      <c r="J4" s="156"/>
      <c r="K4" s="156"/>
      <c r="L4" s="156"/>
      <c r="M4" s="156"/>
      <c r="N4" s="156"/>
      <c r="O4" s="156"/>
      <c r="P4" s="156"/>
      <c r="Q4" s="156"/>
      <c r="R4" s="156"/>
      <c r="S4" s="156"/>
      <c r="T4" s="156">
        <v>0</v>
      </c>
      <c r="U4" s="156">
        <v>0</v>
      </c>
      <c r="V4" s="156"/>
    </row>
    <row r="5" spans="1:25" x14ac:dyDescent="0.25">
      <c r="B5" s="342"/>
      <c r="C5" s="15" t="s">
        <v>206</v>
      </c>
      <c r="D5" s="15"/>
      <c r="E5" s="154">
        <v>12</v>
      </c>
      <c r="F5" s="154">
        <v>27</v>
      </c>
      <c r="G5" s="154">
        <v>62</v>
      </c>
      <c r="H5" s="154"/>
      <c r="I5" s="154"/>
      <c r="J5" s="154"/>
      <c r="K5" s="154"/>
      <c r="L5" s="154"/>
      <c r="M5" s="154"/>
      <c r="N5" s="154"/>
      <c r="O5" s="154"/>
      <c r="P5" s="154"/>
      <c r="Q5" s="154"/>
      <c r="R5" s="154"/>
      <c r="S5" s="154"/>
      <c r="T5" s="154">
        <v>12</v>
      </c>
      <c r="U5" s="154">
        <v>0</v>
      </c>
      <c r="V5" s="154">
        <v>0.95</v>
      </c>
    </row>
    <row r="6" spans="1:25" x14ac:dyDescent="0.25">
      <c r="B6" s="342"/>
      <c r="C6" s="155" t="s">
        <v>207</v>
      </c>
      <c r="D6" s="155"/>
      <c r="E6" s="156"/>
      <c r="F6" s="156">
        <v>23</v>
      </c>
      <c r="G6" s="156">
        <v>53</v>
      </c>
      <c r="H6" s="156">
        <v>28</v>
      </c>
      <c r="I6" s="156">
        <v>34</v>
      </c>
      <c r="J6" s="156"/>
      <c r="K6" s="156"/>
      <c r="L6" s="156"/>
      <c r="M6" s="156"/>
      <c r="N6" s="156"/>
      <c r="O6" s="156"/>
      <c r="P6" s="156"/>
      <c r="Q6" s="156"/>
      <c r="R6" s="156"/>
      <c r="S6" s="156"/>
      <c r="T6" s="156">
        <v>0</v>
      </c>
      <c r="U6" s="156">
        <v>0</v>
      </c>
      <c r="V6" s="156">
        <v>0.7</v>
      </c>
    </row>
    <row r="7" spans="1:25" x14ac:dyDescent="0.25">
      <c r="B7" s="342"/>
      <c r="C7" s="15" t="s">
        <v>93</v>
      </c>
      <c r="D7" s="15"/>
      <c r="E7" s="154">
        <v>29</v>
      </c>
      <c r="F7" s="154"/>
      <c r="G7" s="154"/>
      <c r="H7" s="154"/>
      <c r="I7" s="154"/>
      <c r="J7" s="154"/>
      <c r="K7" s="154">
        <v>1</v>
      </c>
      <c r="L7" s="154">
        <v>1</v>
      </c>
      <c r="M7" s="154"/>
      <c r="N7" s="154"/>
      <c r="O7" s="154">
        <v>1</v>
      </c>
      <c r="P7" s="154"/>
      <c r="Q7" s="154"/>
      <c r="R7" s="154"/>
      <c r="S7" s="154"/>
      <c r="T7" s="154">
        <v>14.5</v>
      </c>
      <c r="U7" s="154">
        <v>14.5</v>
      </c>
      <c r="V7" s="154">
        <v>1.5</v>
      </c>
    </row>
    <row r="8" spans="1:25" x14ac:dyDescent="0.25">
      <c r="B8" s="342"/>
      <c r="C8" s="155" t="s">
        <v>208</v>
      </c>
      <c r="D8" s="155"/>
      <c r="E8" s="156">
        <v>15</v>
      </c>
      <c r="F8" s="156"/>
      <c r="G8" s="156"/>
      <c r="H8" s="156"/>
      <c r="I8" s="156"/>
      <c r="J8" s="156">
        <v>19</v>
      </c>
      <c r="K8" s="156"/>
      <c r="L8" s="156"/>
      <c r="M8" s="156"/>
      <c r="N8" s="156"/>
      <c r="O8" s="156"/>
      <c r="P8" s="156"/>
      <c r="Q8" s="156"/>
      <c r="R8" s="156"/>
      <c r="S8" s="156"/>
      <c r="T8" s="156">
        <v>1</v>
      </c>
      <c r="U8" s="156">
        <v>14</v>
      </c>
      <c r="V8" s="156">
        <v>1.18</v>
      </c>
    </row>
    <row r="9" spans="1:25" x14ac:dyDescent="0.25">
      <c r="B9" s="342"/>
      <c r="C9" s="15" t="s">
        <v>94</v>
      </c>
      <c r="D9" s="15"/>
      <c r="E9" s="154">
        <v>11</v>
      </c>
      <c r="F9" s="154"/>
      <c r="G9" s="154"/>
      <c r="H9" s="154"/>
      <c r="I9" s="154"/>
      <c r="J9" s="154"/>
      <c r="K9" s="154">
        <v>9.5</v>
      </c>
      <c r="L9" s="154"/>
      <c r="M9" s="154"/>
      <c r="N9" s="154"/>
      <c r="O9" s="154"/>
      <c r="P9" s="154"/>
      <c r="Q9" s="154"/>
      <c r="R9" s="154"/>
      <c r="S9" s="154"/>
      <c r="T9" s="154">
        <v>0</v>
      </c>
      <c r="U9" s="154">
        <v>11</v>
      </c>
      <c r="V9" s="154">
        <v>0.9</v>
      </c>
    </row>
    <row r="10" spans="1:25" x14ac:dyDescent="0.25">
      <c r="B10" s="342"/>
      <c r="C10" s="155" t="s">
        <v>209</v>
      </c>
      <c r="D10" s="155"/>
      <c r="E10" s="156">
        <v>12</v>
      </c>
      <c r="F10" s="156"/>
      <c r="G10" s="156"/>
      <c r="H10" s="156">
        <v>38</v>
      </c>
      <c r="I10" s="156"/>
      <c r="J10" s="156"/>
      <c r="K10" s="156"/>
      <c r="L10" s="156"/>
      <c r="M10" s="156"/>
      <c r="N10" s="156"/>
      <c r="O10" s="156"/>
      <c r="P10" s="156"/>
      <c r="Q10" s="156"/>
      <c r="R10" s="156"/>
      <c r="S10" s="156"/>
      <c r="T10" s="156">
        <v>0</v>
      </c>
      <c r="U10" s="156">
        <v>12</v>
      </c>
      <c r="V10" s="156">
        <v>1.28</v>
      </c>
    </row>
    <row r="11" spans="1:25" x14ac:dyDescent="0.25">
      <c r="B11" s="342"/>
      <c r="C11" s="15" t="s">
        <v>95</v>
      </c>
      <c r="D11" s="15"/>
      <c r="E11" s="154">
        <v>20</v>
      </c>
      <c r="F11" s="154"/>
      <c r="G11" s="154"/>
      <c r="H11" s="154"/>
      <c r="I11" s="154"/>
      <c r="J11" s="154"/>
      <c r="K11" s="154"/>
      <c r="L11" s="154">
        <v>24</v>
      </c>
      <c r="M11" s="154"/>
      <c r="N11" s="154"/>
      <c r="O11" s="154"/>
      <c r="P11" s="154"/>
      <c r="Q11" s="154"/>
      <c r="R11" s="154"/>
      <c r="S11" s="154"/>
      <c r="T11" s="154">
        <v>20</v>
      </c>
      <c r="U11" s="154">
        <v>0</v>
      </c>
      <c r="V11" s="154"/>
    </row>
    <row r="12" spans="1:25" x14ac:dyDescent="0.25">
      <c r="B12" s="342"/>
      <c r="C12" s="155" t="s">
        <v>96</v>
      </c>
      <c r="D12" s="155"/>
      <c r="E12" s="156"/>
      <c r="F12" s="156"/>
      <c r="G12" s="156"/>
      <c r="H12" s="156">
        <v>43</v>
      </c>
      <c r="I12" s="156">
        <v>52</v>
      </c>
      <c r="J12" s="156"/>
      <c r="K12" s="156"/>
      <c r="L12" s="156">
        <v>17</v>
      </c>
      <c r="M12" s="156"/>
      <c r="N12" s="156"/>
      <c r="O12" s="156"/>
      <c r="P12" s="156"/>
      <c r="Q12" s="156"/>
      <c r="R12" s="156"/>
      <c r="S12" s="156"/>
      <c r="T12" s="156">
        <v>0</v>
      </c>
      <c r="U12" s="156">
        <v>0</v>
      </c>
      <c r="V12" s="156">
        <v>1.2</v>
      </c>
    </row>
    <row r="13" spans="1:25" x14ac:dyDescent="0.25">
      <c r="B13" s="342"/>
      <c r="C13" s="15" t="s">
        <v>216</v>
      </c>
      <c r="D13" s="15"/>
      <c r="E13" s="154"/>
      <c r="F13" s="154">
        <v>7.86</v>
      </c>
      <c r="G13" s="154">
        <v>18</v>
      </c>
      <c r="H13" s="154"/>
      <c r="I13" s="154"/>
      <c r="J13" s="154"/>
      <c r="K13" s="154"/>
      <c r="L13" s="154"/>
      <c r="M13" s="154"/>
      <c r="N13" s="154"/>
      <c r="O13" s="154"/>
      <c r="P13" s="154"/>
      <c r="Q13" s="154"/>
      <c r="R13" s="154"/>
      <c r="S13" s="154"/>
      <c r="T13" s="154"/>
      <c r="U13" s="154"/>
      <c r="V13" s="154"/>
    </row>
    <row r="14" spans="1:25" x14ac:dyDescent="0.25">
      <c r="B14" s="342"/>
      <c r="C14" s="155" t="s">
        <v>217</v>
      </c>
      <c r="D14" s="155"/>
      <c r="E14" s="156"/>
      <c r="F14" s="156">
        <v>17.91</v>
      </c>
      <c r="G14" s="156">
        <v>41</v>
      </c>
      <c r="H14" s="156"/>
      <c r="I14" s="156"/>
      <c r="J14" s="156"/>
      <c r="K14" s="156"/>
      <c r="L14" s="156"/>
      <c r="M14" s="156"/>
      <c r="N14" s="156"/>
      <c r="O14" s="156"/>
      <c r="P14" s="156"/>
      <c r="Q14" s="156"/>
      <c r="R14" s="156"/>
      <c r="S14" s="156"/>
      <c r="T14" s="156"/>
      <c r="U14" s="156"/>
      <c r="V14" s="156"/>
    </row>
    <row r="15" spans="1:25" x14ac:dyDescent="0.25">
      <c r="B15" s="342"/>
      <c r="C15" s="15" t="s">
        <v>97</v>
      </c>
      <c r="D15" s="15"/>
      <c r="E15" s="154">
        <v>45</v>
      </c>
      <c r="F15" s="154"/>
      <c r="G15" s="154"/>
      <c r="H15" s="154"/>
      <c r="I15" s="154"/>
      <c r="J15" s="154"/>
      <c r="K15" s="154"/>
      <c r="L15" s="154"/>
      <c r="M15" s="154"/>
      <c r="N15" s="154"/>
      <c r="O15" s="154"/>
      <c r="P15" s="154"/>
      <c r="Q15" s="154"/>
      <c r="R15" s="154"/>
      <c r="S15" s="154"/>
      <c r="T15" s="154">
        <v>45</v>
      </c>
      <c r="U15" s="154">
        <v>0</v>
      </c>
      <c r="V15" s="154"/>
    </row>
    <row r="16" spans="1:25" x14ac:dyDescent="0.25">
      <c r="B16" s="342"/>
      <c r="C16" s="155"/>
      <c r="D16" s="155"/>
      <c r="E16" s="156"/>
      <c r="F16" s="156"/>
      <c r="G16" s="156"/>
      <c r="H16" s="156"/>
      <c r="I16" s="156"/>
      <c r="J16" s="156"/>
      <c r="K16" s="156"/>
      <c r="L16" s="156"/>
      <c r="M16" s="156"/>
      <c r="N16" s="156"/>
      <c r="O16" s="156"/>
      <c r="P16" s="156"/>
      <c r="Q16" s="156"/>
      <c r="R16" s="156"/>
      <c r="S16" s="156"/>
      <c r="T16" s="156"/>
      <c r="U16" s="156"/>
      <c r="V16" s="156"/>
    </row>
    <row r="17" spans="2:22" x14ac:dyDescent="0.25">
      <c r="B17" s="342"/>
      <c r="C17" s="15"/>
      <c r="D17" s="15"/>
      <c r="E17" s="154"/>
      <c r="F17" s="154"/>
      <c r="G17" s="154"/>
      <c r="H17" s="154"/>
      <c r="I17" s="154"/>
      <c r="J17" s="154"/>
      <c r="K17" s="154"/>
      <c r="L17" s="154"/>
      <c r="M17" s="154"/>
      <c r="N17" s="154"/>
      <c r="O17" s="154"/>
      <c r="P17" s="154"/>
      <c r="Q17" s="154"/>
      <c r="R17" s="154"/>
      <c r="S17" s="154"/>
      <c r="T17" s="154"/>
      <c r="U17" s="154"/>
      <c r="V17" s="154"/>
    </row>
    <row r="18" spans="2:22" x14ac:dyDescent="0.25">
      <c r="B18" s="343" t="s">
        <v>226</v>
      </c>
      <c r="C18" s="155" t="s">
        <v>169</v>
      </c>
      <c r="D18" s="155"/>
      <c r="E18" s="156"/>
      <c r="F18" s="156">
        <v>7.87</v>
      </c>
      <c r="G18" s="156">
        <v>18</v>
      </c>
      <c r="H18" s="156"/>
      <c r="I18" s="156"/>
      <c r="J18" s="156"/>
      <c r="K18" s="156"/>
      <c r="L18" s="156"/>
      <c r="M18" s="156"/>
      <c r="N18" s="156"/>
      <c r="O18" s="156"/>
      <c r="P18" s="156"/>
      <c r="Q18" s="156"/>
      <c r="R18" s="156"/>
      <c r="S18" s="156"/>
      <c r="T18" s="156"/>
      <c r="U18" s="156"/>
      <c r="V18" s="156"/>
    </row>
    <row r="19" spans="2:22" x14ac:dyDescent="0.25">
      <c r="B19" s="343"/>
      <c r="C19" s="15" t="s">
        <v>112</v>
      </c>
      <c r="D19" s="15"/>
      <c r="E19" s="154">
        <v>4</v>
      </c>
      <c r="F19" s="154">
        <v>6.15</v>
      </c>
      <c r="G19" s="154">
        <v>14</v>
      </c>
      <c r="H19" s="154">
        <v>6.65</v>
      </c>
      <c r="I19" s="154">
        <v>8</v>
      </c>
      <c r="J19" s="154"/>
      <c r="K19" s="154"/>
      <c r="L19" s="154"/>
      <c r="M19" s="154"/>
      <c r="N19" s="154"/>
      <c r="O19" s="154"/>
      <c r="P19" s="154"/>
      <c r="Q19" s="154"/>
      <c r="R19" s="154"/>
      <c r="S19" s="154"/>
      <c r="T19" s="154"/>
      <c r="U19" s="154"/>
      <c r="V19" s="154"/>
    </row>
    <row r="20" spans="2:22" x14ac:dyDescent="0.25">
      <c r="B20" s="343"/>
      <c r="C20" s="155" t="s">
        <v>168</v>
      </c>
      <c r="D20" s="155"/>
      <c r="E20" s="156">
        <v>4</v>
      </c>
      <c r="F20" s="156">
        <v>11.35</v>
      </c>
      <c r="G20" s="156">
        <v>26</v>
      </c>
      <c r="H20" s="156">
        <v>8.3000000000000007</v>
      </c>
      <c r="I20" s="156">
        <v>10</v>
      </c>
      <c r="J20" s="156"/>
      <c r="K20" s="156"/>
      <c r="L20" s="156"/>
      <c r="M20" s="156"/>
      <c r="N20" s="156"/>
      <c r="O20" s="156"/>
      <c r="P20" s="156"/>
      <c r="Q20" s="156"/>
      <c r="R20" s="156"/>
      <c r="S20" s="156"/>
      <c r="T20" s="156"/>
      <c r="U20" s="156"/>
      <c r="V20" s="156"/>
    </row>
    <row r="21" spans="2:22" x14ac:dyDescent="0.25">
      <c r="B21" s="343"/>
      <c r="C21" s="15" t="s">
        <v>228</v>
      </c>
      <c r="D21" s="15"/>
      <c r="E21" s="154">
        <v>4</v>
      </c>
      <c r="F21" s="154">
        <v>13.1</v>
      </c>
      <c r="G21" s="154">
        <v>30</v>
      </c>
      <c r="H21" s="154">
        <v>8.3000000000000007</v>
      </c>
      <c r="I21" s="154">
        <v>10</v>
      </c>
      <c r="J21" s="154"/>
      <c r="K21" s="154"/>
      <c r="L21" s="154"/>
      <c r="M21" s="154"/>
      <c r="N21" s="154"/>
      <c r="O21" s="154"/>
      <c r="P21" s="154"/>
      <c r="Q21" s="154"/>
      <c r="R21" s="154"/>
      <c r="S21" s="154"/>
      <c r="T21" s="154"/>
      <c r="U21" s="154"/>
      <c r="V21" s="154"/>
    </row>
    <row r="22" spans="2:22" x14ac:dyDescent="0.25">
      <c r="B22" s="343"/>
      <c r="C22" s="155" t="s">
        <v>113</v>
      </c>
      <c r="D22" s="155"/>
      <c r="E22" s="156">
        <v>4</v>
      </c>
      <c r="F22" s="156">
        <v>13.1</v>
      </c>
      <c r="G22" s="156">
        <v>30</v>
      </c>
      <c r="H22" s="156">
        <v>13.3</v>
      </c>
      <c r="I22" s="156">
        <v>16</v>
      </c>
      <c r="J22" s="156"/>
      <c r="K22" s="156"/>
      <c r="L22" s="156"/>
      <c r="M22" s="156"/>
      <c r="N22" s="156"/>
      <c r="O22" s="156"/>
      <c r="P22" s="156"/>
      <c r="Q22" s="156"/>
      <c r="R22" s="156"/>
      <c r="S22" s="156"/>
      <c r="T22" s="156"/>
      <c r="U22" s="156"/>
      <c r="V22" s="156"/>
    </row>
    <row r="23" spans="2:22" x14ac:dyDescent="0.25">
      <c r="B23" s="343"/>
      <c r="C23" s="15" t="s">
        <v>167</v>
      </c>
      <c r="D23" s="15"/>
      <c r="E23" s="154">
        <v>5</v>
      </c>
      <c r="F23" s="154">
        <v>10.95</v>
      </c>
      <c r="G23" s="154">
        <v>25</v>
      </c>
      <c r="H23" s="154">
        <v>12.45</v>
      </c>
      <c r="I23" s="154">
        <v>15</v>
      </c>
      <c r="J23" s="154"/>
      <c r="K23" s="154"/>
      <c r="L23" s="154"/>
      <c r="M23" s="154"/>
      <c r="N23" s="154"/>
      <c r="O23" s="154"/>
      <c r="P23" s="154"/>
      <c r="Q23" s="154"/>
      <c r="R23" s="154"/>
      <c r="S23" s="154"/>
      <c r="T23" s="154"/>
      <c r="U23" s="154"/>
      <c r="V23" s="154"/>
    </row>
    <row r="24" spans="2:22" x14ac:dyDescent="0.25">
      <c r="B24" s="343"/>
      <c r="C24" s="155" t="s">
        <v>218</v>
      </c>
      <c r="D24" s="155"/>
      <c r="E24" s="156">
        <v>3</v>
      </c>
      <c r="F24" s="156">
        <v>7.87</v>
      </c>
      <c r="G24" s="156">
        <v>18</v>
      </c>
      <c r="H24" s="156">
        <v>4.2</v>
      </c>
      <c r="I24" s="156">
        <v>5</v>
      </c>
      <c r="J24" s="156"/>
      <c r="K24" s="156"/>
      <c r="L24" s="156"/>
      <c r="M24" s="156"/>
      <c r="N24" s="156"/>
      <c r="O24" s="156"/>
      <c r="P24" s="156"/>
      <c r="Q24" s="156"/>
      <c r="R24" s="156"/>
      <c r="S24" s="156"/>
      <c r="T24" s="156"/>
      <c r="U24" s="156"/>
      <c r="V24" s="156"/>
    </row>
    <row r="25" spans="2:22" x14ac:dyDescent="0.25">
      <c r="B25" s="343"/>
      <c r="C25" s="15"/>
      <c r="D25" s="15"/>
      <c r="E25" s="154"/>
      <c r="F25" s="154"/>
      <c r="G25" s="154"/>
      <c r="H25" s="154"/>
      <c r="I25" s="154"/>
      <c r="J25" s="154"/>
      <c r="K25" s="154"/>
      <c r="L25" s="154"/>
      <c r="M25" s="154"/>
      <c r="N25" s="154"/>
      <c r="O25" s="154"/>
      <c r="P25" s="154"/>
      <c r="Q25" s="154"/>
      <c r="R25" s="154"/>
      <c r="S25" s="154"/>
      <c r="T25" s="154"/>
      <c r="U25" s="154"/>
      <c r="V25" s="154"/>
    </row>
    <row r="26" spans="2:22" x14ac:dyDescent="0.25">
      <c r="B26" s="343"/>
      <c r="C26" s="155" t="s">
        <v>170</v>
      </c>
      <c r="D26" s="155"/>
      <c r="E26" s="156">
        <v>7</v>
      </c>
      <c r="F26" s="156"/>
      <c r="G26" s="156"/>
      <c r="H26" s="156">
        <v>24.89</v>
      </c>
      <c r="I26" s="156">
        <v>30</v>
      </c>
      <c r="J26" s="156"/>
      <c r="K26" s="156"/>
      <c r="L26" s="156"/>
      <c r="M26" s="156"/>
      <c r="N26" s="156"/>
      <c r="O26" s="156"/>
      <c r="P26" s="156"/>
      <c r="Q26" s="156"/>
      <c r="R26" s="156"/>
      <c r="S26" s="156"/>
      <c r="T26" s="156"/>
      <c r="U26" s="156"/>
      <c r="V26" s="156"/>
    </row>
    <row r="27" spans="2:22" x14ac:dyDescent="0.25">
      <c r="B27" s="343"/>
      <c r="C27" s="15" t="s">
        <v>114</v>
      </c>
      <c r="D27" s="15"/>
      <c r="E27" s="154">
        <v>10</v>
      </c>
      <c r="F27" s="154">
        <v>4.4000000000000004</v>
      </c>
      <c r="G27" s="154">
        <v>10</v>
      </c>
      <c r="H27" s="154">
        <v>8.3000000000000007</v>
      </c>
      <c r="I27" s="154">
        <v>10</v>
      </c>
      <c r="J27" s="154"/>
      <c r="K27" s="154"/>
      <c r="L27" s="154"/>
      <c r="M27" s="154"/>
      <c r="N27" s="154"/>
      <c r="O27" s="154"/>
      <c r="P27" s="154"/>
      <c r="Q27" s="154"/>
      <c r="R27" s="154"/>
      <c r="S27" s="154"/>
      <c r="T27" s="154"/>
      <c r="U27" s="154"/>
      <c r="V27" s="154"/>
    </row>
    <row r="28" spans="2:22" x14ac:dyDescent="0.25">
      <c r="B28" s="343"/>
      <c r="C28" s="155" t="s">
        <v>171</v>
      </c>
      <c r="D28" s="155"/>
      <c r="E28" s="156">
        <v>12</v>
      </c>
      <c r="F28" s="156">
        <v>1.31</v>
      </c>
      <c r="G28" s="156">
        <v>3</v>
      </c>
      <c r="H28" s="156">
        <v>20</v>
      </c>
      <c r="I28" s="156">
        <v>24</v>
      </c>
      <c r="J28" s="156"/>
      <c r="K28" s="156"/>
      <c r="L28" s="156"/>
      <c r="M28" s="156"/>
      <c r="N28" s="156"/>
      <c r="O28" s="156"/>
      <c r="P28" s="156"/>
      <c r="Q28" s="156"/>
      <c r="R28" s="156"/>
      <c r="S28" s="156"/>
      <c r="T28" s="156"/>
      <c r="U28" s="156"/>
      <c r="V28" s="156"/>
    </row>
    <row r="29" spans="2:22" x14ac:dyDescent="0.25">
      <c r="B29" s="343"/>
      <c r="C29" s="15" t="s">
        <v>115</v>
      </c>
      <c r="D29" s="15"/>
      <c r="E29" s="154">
        <v>20</v>
      </c>
      <c r="F29" s="154"/>
      <c r="G29" s="154"/>
      <c r="H29" s="154">
        <v>16.600000000000001</v>
      </c>
      <c r="I29" s="154">
        <v>20</v>
      </c>
      <c r="J29" s="154"/>
      <c r="K29" s="154"/>
      <c r="L29" s="154"/>
      <c r="M29" s="154"/>
      <c r="N29" s="154"/>
      <c r="O29" s="154"/>
      <c r="P29" s="154"/>
      <c r="Q29" s="154"/>
      <c r="R29" s="154"/>
      <c r="S29" s="154"/>
      <c r="T29" s="154"/>
      <c r="U29" s="154"/>
      <c r="V29" s="154"/>
    </row>
    <row r="30" spans="2:22" x14ac:dyDescent="0.25">
      <c r="B30" s="343"/>
      <c r="C30" s="155" t="s">
        <v>219</v>
      </c>
      <c r="D30" s="155"/>
      <c r="E30" s="156">
        <v>13</v>
      </c>
      <c r="F30" s="156">
        <v>1.31</v>
      </c>
      <c r="G30" s="156">
        <v>3</v>
      </c>
      <c r="H30" s="156">
        <v>20.8</v>
      </c>
      <c r="I30" s="156">
        <v>25</v>
      </c>
      <c r="J30" s="156"/>
      <c r="K30" s="156"/>
      <c r="L30" s="156"/>
      <c r="M30" s="156"/>
      <c r="N30" s="156"/>
      <c r="O30" s="156"/>
      <c r="P30" s="156"/>
      <c r="Q30" s="156"/>
      <c r="R30" s="156"/>
      <c r="S30" s="156"/>
      <c r="T30" s="156"/>
      <c r="U30" s="156"/>
      <c r="V30" s="156"/>
    </row>
    <row r="31" spans="2:22" x14ac:dyDescent="0.25">
      <c r="B31" s="343"/>
      <c r="C31" s="15"/>
      <c r="D31" s="15"/>
      <c r="E31" s="154"/>
      <c r="F31" s="154"/>
      <c r="G31" s="154"/>
      <c r="H31" s="154"/>
      <c r="I31" s="154"/>
      <c r="J31" s="154"/>
      <c r="K31" s="154"/>
      <c r="L31" s="154"/>
      <c r="M31" s="154"/>
      <c r="N31" s="154"/>
      <c r="O31" s="154"/>
      <c r="P31" s="154"/>
      <c r="Q31" s="154"/>
      <c r="R31" s="154"/>
      <c r="S31" s="154"/>
      <c r="T31" s="154"/>
      <c r="U31" s="154"/>
      <c r="V31" s="154"/>
    </row>
    <row r="32" spans="2:22" x14ac:dyDescent="0.25">
      <c r="B32" s="343"/>
      <c r="C32" s="155"/>
      <c r="D32" s="155"/>
      <c r="E32" s="156"/>
      <c r="F32" s="156"/>
      <c r="G32" s="156"/>
      <c r="H32" s="156"/>
      <c r="I32" s="156"/>
      <c r="J32" s="156"/>
      <c r="K32" s="156"/>
      <c r="L32" s="156"/>
      <c r="M32" s="156"/>
      <c r="N32" s="156"/>
      <c r="O32" s="156"/>
      <c r="P32" s="156"/>
      <c r="Q32" s="156"/>
      <c r="R32" s="156"/>
      <c r="S32" s="156"/>
      <c r="T32" s="156"/>
      <c r="U32" s="156"/>
      <c r="V32" s="156"/>
    </row>
    <row r="33" spans="2:22" x14ac:dyDescent="0.25">
      <c r="B33" s="343"/>
      <c r="C33" s="15"/>
      <c r="D33" s="15"/>
      <c r="E33" s="154"/>
      <c r="F33" s="154"/>
      <c r="G33" s="154"/>
      <c r="H33" s="154"/>
      <c r="I33" s="154"/>
      <c r="J33" s="154"/>
      <c r="K33" s="154"/>
      <c r="L33" s="154"/>
      <c r="M33" s="154"/>
      <c r="N33" s="154"/>
      <c r="O33" s="154"/>
      <c r="P33" s="154"/>
      <c r="Q33" s="154"/>
      <c r="R33" s="154"/>
      <c r="S33" s="154"/>
      <c r="T33" s="154"/>
      <c r="U33" s="154"/>
      <c r="V33" s="154"/>
    </row>
    <row r="34" spans="2:22" x14ac:dyDescent="0.25">
      <c r="B34" s="342" t="s">
        <v>280</v>
      </c>
      <c r="C34" s="155" t="s">
        <v>173</v>
      </c>
      <c r="D34" s="155"/>
      <c r="E34" s="156"/>
      <c r="F34" s="156"/>
      <c r="G34" s="156"/>
      <c r="H34" s="156"/>
      <c r="I34" s="156"/>
      <c r="J34" s="156"/>
      <c r="K34" s="156"/>
      <c r="L34" s="156"/>
      <c r="M34" s="156"/>
      <c r="N34" s="156"/>
      <c r="O34" s="156"/>
      <c r="P34" s="156"/>
      <c r="Q34" s="156"/>
      <c r="R34" s="156"/>
      <c r="S34" s="156"/>
      <c r="T34" s="156"/>
      <c r="U34" s="156"/>
      <c r="V34" s="156"/>
    </row>
    <row r="35" spans="2:22" x14ac:dyDescent="0.25">
      <c r="B35" s="342"/>
      <c r="C35" s="15" t="s">
        <v>178</v>
      </c>
      <c r="D35" s="15"/>
      <c r="E35" s="154">
        <v>3</v>
      </c>
      <c r="F35" s="154">
        <v>2.63</v>
      </c>
      <c r="G35" s="154">
        <v>6</v>
      </c>
      <c r="H35" s="154">
        <v>3.32</v>
      </c>
      <c r="I35" s="154">
        <v>4</v>
      </c>
      <c r="J35" s="154"/>
      <c r="K35" s="154"/>
      <c r="L35" s="154"/>
      <c r="M35" s="154"/>
      <c r="N35" s="154"/>
      <c r="O35" s="154"/>
      <c r="P35" s="154"/>
      <c r="Q35" s="154"/>
      <c r="R35" s="154"/>
      <c r="S35" s="154"/>
      <c r="T35" s="154"/>
      <c r="U35" s="154"/>
      <c r="V35" s="154"/>
    </row>
    <row r="36" spans="2:22" x14ac:dyDescent="0.25">
      <c r="B36" s="342"/>
      <c r="C36" s="155" t="s">
        <v>172</v>
      </c>
      <c r="D36" s="155"/>
      <c r="E36" s="156">
        <v>3</v>
      </c>
      <c r="F36" s="156">
        <v>2.19</v>
      </c>
      <c r="G36" s="156">
        <v>5</v>
      </c>
      <c r="H36" s="156">
        <v>3.32</v>
      </c>
      <c r="I36" s="156">
        <v>4</v>
      </c>
      <c r="J36" s="156"/>
      <c r="K36" s="156"/>
      <c r="L36" s="156"/>
      <c r="M36" s="156"/>
      <c r="N36" s="156"/>
      <c r="O36" s="156"/>
      <c r="P36" s="156"/>
      <c r="Q36" s="156"/>
      <c r="R36" s="156"/>
      <c r="S36" s="156"/>
      <c r="T36" s="156"/>
      <c r="U36" s="156"/>
      <c r="V36" s="156"/>
    </row>
    <row r="37" spans="2:22" x14ac:dyDescent="0.25">
      <c r="B37" s="342"/>
      <c r="C37" s="15" t="s">
        <v>180</v>
      </c>
      <c r="D37" s="15"/>
      <c r="E37" s="154">
        <v>3</v>
      </c>
      <c r="F37" s="154">
        <v>2.63</v>
      </c>
      <c r="G37" s="154">
        <v>6</v>
      </c>
      <c r="H37" s="154">
        <v>3.32</v>
      </c>
      <c r="I37" s="154">
        <v>4</v>
      </c>
      <c r="J37" s="154"/>
      <c r="K37" s="154"/>
      <c r="L37" s="154"/>
      <c r="M37" s="154"/>
      <c r="N37" s="154"/>
      <c r="O37" s="154"/>
      <c r="P37" s="154"/>
      <c r="Q37" s="154"/>
      <c r="R37" s="154"/>
      <c r="S37" s="154"/>
      <c r="T37" s="154"/>
      <c r="U37" s="154"/>
      <c r="V37" s="154"/>
    </row>
    <row r="38" spans="2:22" x14ac:dyDescent="0.25">
      <c r="B38" s="342"/>
      <c r="C38" s="155" t="s">
        <v>221</v>
      </c>
      <c r="D38" s="155"/>
      <c r="E38" s="156">
        <v>2.57</v>
      </c>
      <c r="F38" s="156">
        <v>0.55500000000000005</v>
      </c>
      <c r="G38" s="156">
        <v>1.3</v>
      </c>
      <c r="H38" s="156">
        <v>1.25</v>
      </c>
      <c r="I38" s="156">
        <v>1.5</v>
      </c>
      <c r="J38" s="156">
        <v>4.3</v>
      </c>
      <c r="K38" s="156">
        <v>0.6</v>
      </c>
      <c r="L38" s="156">
        <v>0.6</v>
      </c>
      <c r="M38" s="156">
        <v>9.2E-6</v>
      </c>
      <c r="N38" s="156">
        <v>3.9199999999999999E-4</v>
      </c>
      <c r="O38" s="156"/>
      <c r="P38" s="156">
        <v>4.55E-4</v>
      </c>
      <c r="Q38" s="156"/>
      <c r="R38" s="156">
        <v>7.7200000000000006E-5</v>
      </c>
      <c r="S38" s="156"/>
      <c r="T38" s="156"/>
      <c r="U38" s="156"/>
      <c r="V38" s="156"/>
    </row>
    <row r="39" spans="2:22" x14ac:dyDescent="0.25">
      <c r="B39" s="342"/>
      <c r="C39" s="15" t="s">
        <v>220</v>
      </c>
      <c r="D39" s="15"/>
      <c r="E39" s="154">
        <v>1.7</v>
      </c>
      <c r="F39" s="154">
        <v>0.77800000000000002</v>
      </c>
      <c r="G39" s="154">
        <v>1.8</v>
      </c>
      <c r="H39" s="154">
        <v>0.93</v>
      </c>
      <c r="I39" s="154">
        <v>1.1000000000000001</v>
      </c>
      <c r="J39" s="154">
        <v>3.5</v>
      </c>
      <c r="K39" s="154">
        <v>0.69</v>
      </c>
      <c r="L39" s="154">
        <v>0.54</v>
      </c>
      <c r="M39" s="154">
        <v>2.05E-5</v>
      </c>
      <c r="N39" s="154">
        <v>4.2999999999999999E-4</v>
      </c>
      <c r="O39" s="154"/>
      <c r="P39" s="154">
        <v>4.6900000000000002E-4</v>
      </c>
      <c r="Q39" s="154"/>
      <c r="R39" s="154">
        <v>5.9700000000000001E-5</v>
      </c>
      <c r="S39" s="154"/>
      <c r="T39" s="154"/>
      <c r="U39" s="154"/>
      <c r="V39" s="154"/>
    </row>
    <row r="40" spans="2:22" x14ac:dyDescent="0.25">
      <c r="B40" s="342"/>
      <c r="C40" s="155" t="s">
        <v>222</v>
      </c>
      <c r="D40" s="155"/>
      <c r="E40" s="156">
        <v>1.8</v>
      </c>
      <c r="F40" s="156">
        <v>0.62</v>
      </c>
      <c r="G40" s="156">
        <v>1.4</v>
      </c>
      <c r="H40" s="156">
        <v>1.34</v>
      </c>
      <c r="I40" s="156">
        <v>1.6</v>
      </c>
      <c r="J40" s="156">
        <v>2.4500000000000002</v>
      </c>
      <c r="K40" s="156">
        <v>0.5</v>
      </c>
      <c r="L40" s="156">
        <v>0.42</v>
      </c>
      <c r="M40" s="156">
        <v>3.7400000000000001E-5</v>
      </c>
      <c r="N40" s="156">
        <v>2.5399999999999999E-4</v>
      </c>
      <c r="O40" s="156"/>
      <c r="P40" s="156">
        <v>4.6500000000000003E-4</v>
      </c>
      <c r="Q40" s="156"/>
      <c r="R40" s="156">
        <v>3.339E-3</v>
      </c>
      <c r="S40" s="156"/>
      <c r="T40" s="156"/>
      <c r="U40" s="156"/>
      <c r="V40" s="156"/>
    </row>
    <row r="41" spans="2:22" x14ac:dyDescent="0.25">
      <c r="B41" s="342"/>
      <c r="C41" s="15" t="s">
        <v>179</v>
      </c>
      <c r="D41" s="15"/>
      <c r="E41" s="154">
        <v>3</v>
      </c>
      <c r="F41" s="154">
        <v>2.63</v>
      </c>
      <c r="G41" s="154">
        <v>6</v>
      </c>
      <c r="H41" s="154">
        <v>3.32</v>
      </c>
      <c r="I41" s="154">
        <v>4</v>
      </c>
      <c r="J41" s="154"/>
      <c r="K41" s="154"/>
      <c r="L41" s="154"/>
      <c r="M41" s="154"/>
      <c r="N41" s="154"/>
      <c r="O41" s="154"/>
      <c r="P41" s="154"/>
      <c r="Q41" s="154"/>
      <c r="R41" s="154"/>
      <c r="S41" s="154"/>
      <c r="T41" s="154"/>
      <c r="U41" s="154"/>
      <c r="V41" s="154"/>
    </row>
    <row r="42" spans="2:22" x14ac:dyDescent="0.25">
      <c r="B42" s="342"/>
      <c r="C42" s="155" t="s">
        <v>166</v>
      </c>
      <c r="D42" s="155"/>
      <c r="E42" s="156">
        <v>1</v>
      </c>
      <c r="F42" s="156">
        <v>0.4366666666666667</v>
      </c>
      <c r="G42" s="156">
        <v>1</v>
      </c>
      <c r="H42" s="156">
        <v>0.55500000000000005</v>
      </c>
      <c r="I42" s="156">
        <v>0.7</v>
      </c>
      <c r="J42" s="156"/>
      <c r="K42" s="156"/>
      <c r="L42" s="156"/>
      <c r="M42" s="156"/>
      <c r="N42" s="156"/>
      <c r="O42" s="156"/>
      <c r="P42" s="156"/>
      <c r="Q42" s="156"/>
      <c r="R42" s="156"/>
      <c r="S42" s="156"/>
      <c r="T42" s="156"/>
      <c r="U42" s="156"/>
      <c r="V42" s="156"/>
    </row>
    <row r="43" spans="2:22" x14ac:dyDescent="0.25">
      <c r="B43" s="342"/>
      <c r="C43" s="15" t="s">
        <v>158</v>
      </c>
      <c r="D43" s="15"/>
      <c r="E43" s="154">
        <v>3</v>
      </c>
      <c r="F43" s="154">
        <v>1.31</v>
      </c>
      <c r="G43" s="154">
        <v>3</v>
      </c>
      <c r="H43" s="154">
        <v>1.665</v>
      </c>
      <c r="I43" s="154">
        <v>2</v>
      </c>
      <c r="J43" s="154"/>
      <c r="K43" s="154"/>
      <c r="L43" s="154"/>
      <c r="M43" s="154"/>
      <c r="N43" s="154"/>
      <c r="O43" s="154"/>
      <c r="P43" s="154"/>
      <c r="Q43" s="154"/>
      <c r="R43" s="154"/>
      <c r="S43" s="154"/>
      <c r="T43" s="154"/>
      <c r="U43" s="154"/>
      <c r="V43" s="154"/>
    </row>
    <row r="44" spans="2:22" x14ac:dyDescent="0.25">
      <c r="B44" s="342"/>
      <c r="C44" s="155" t="s">
        <v>177</v>
      </c>
      <c r="D44" s="155"/>
      <c r="E44" s="156">
        <v>0</v>
      </c>
      <c r="F44" s="156">
        <v>18.2</v>
      </c>
      <c r="G44" s="156">
        <v>42</v>
      </c>
      <c r="H44" s="156"/>
      <c r="I44" s="156"/>
      <c r="J44" s="156">
        <v>39.5</v>
      </c>
      <c r="K44" s="156"/>
      <c r="L44" s="156"/>
      <c r="M44" s="156"/>
      <c r="N44" s="156"/>
      <c r="O44" s="156"/>
      <c r="P44" s="156"/>
      <c r="Q44" s="156"/>
      <c r="R44" s="156"/>
      <c r="S44" s="156"/>
      <c r="T44" s="156">
        <v>7.5</v>
      </c>
      <c r="U44" s="156"/>
      <c r="V44" s="156"/>
    </row>
    <row r="45" spans="2:22" x14ac:dyDescent="0.25">
      <c r="B45" s="342"/>
      <c r="C45" s="15" t="s">
        <v>161</v>
      </c>
      <c r="D45" s="15"/>
      <c r="E45" s="154"/>
      <c r="F45" s="154"/>
      <c r="G45" s="154"/>
      <c r="H45" s="154">
        <v>17.45</v>
      </c>
      <c r="I45" s="154">
        <v>21</v>
      </c>
      <c r="J45" s="154">
        <v>10</v>
      </c>
      <c r="K45" s="154">
        <v>21</v>
      </c>
      <c r="L45" s="154"/>
      <c r="M45" s="154"/>
      <c r="N45" s="154"/>
      <c r="O45" s="154"/>
      <c r="P45" s="154"/>
      <c r="Q45" s="154"/>
      <c r="R45" s="154"/>
      <c r="S45" s="154"/>
      <c r="T45" s="154"/>
      <c r="U45" s="154"/>
      <c r="V45" s="154"/>
    </row>
    <row r="46" spans="2:22" x14ac:dyDescent="0.25">
      <c r="B46" s="342"/>
      <c r="C46" s="155" t="s">
        <v>98</v>
      </c>
      <c r="D46" s="155"/>
      <c r="E46" s="156"/>
      <c r="F46" s="156">
        <v>0</v>
      </c>
      <c r="G46" s="156"/>
      <c r="H46" s="156"/>
      <c r="I46" s="156"/>
      <c r="J46" s="156">
        <v>32</v>
      </c>
      <c r="K46" s="156">
        <v>2</v>
      </c>
      <c r="L46" s="156"/>
      <c r="M46" s="156"/>
      <c r="N46" s="156"/>
      <c r="O46" s="156"/>
      <c r="P46" s="156"/>
      <c r="Q46" s="156"/>
      <c r="R46" s="156"/>
      <c r="S46" s="156"/>
      <c r="T46" s="156"/>
      <c r="U46" s="156"/>
      <c r="V46" s="156"/>
    </row>
    <row r="47" spans="2:22" x14ac:dyDescent="0.25">
      <c r="B47" s="342"/>
      <c r="C47" s="15" t="s">
        <v>174</v>
      </c>
      <c r="D47" s="15"/>
      <c r="E47" s="154">
        <v>1</v>
      </c>
      <c r="F47" s="154"/>
      <c r="G47" s="154"/>
      <c r="H47" s="154"/>
      <c r="I47" s="154"/>
      <c r="J47" s="154"/>
      <c r="K47" s="154"/>
      <c r="L47" s="154"/>
      <c r="M47" s="154"/>
      <c r="N47" s="154"/>
      <c r="O47" s="154"/>
      <c r="P47" s="154"/>
      <c r="Q47" s="154"/>
      <c r="R47" s="154"/>
      <c r="S47" s="154"/>
      <c r="T47" s="154"/>
      <c r="U47" s="154"/>
      <c r="V47" s="154"/>
    </row>
    <row r="48" spans="2:22" x14ac:dyDescent="0.25">
      <c r="B48" s="342"/>
      <c r="C48" s="155" t="s">
        <v>229</v>
      </c>
      <c r="D48" s="155"/>
      <c r="E48" s="156"/>
      <c r="F48" s="156">
        <v>7.6440000000000001</v>
      </c>
      <c r="G48" s="156">
        <v>17.5</v>
      </c>
      <c r="H48" s="156"/>
      <c r="I48" s="156"/>
      <c r="J48" s="156">
        <v>18</v>
      </c>
      <c r="K48" s="156">
        <v>7</v>
      </c>
      <c r="L48" s="156"/>
      <c r="M48" s="156">
        <v>0.1</v>
      </c>
      <c r="N48" s="156">
        <v>0.3</v>
      </c>
      <c r="O48" s="156">
        <v>5.5</v>
      </c>
      <c r="P48" s="156">
        <v>0.5</v>
      </c>
      <c r="Q48" s="156"/>
      <c r="R48" s="156"/>
      <c r="S48" s="156">
        <v>10</v>
      </c>
      <c r="T48" s="156"/>
      <c r="U48" s="156"/>
      <c r="V48" s="156"/>
    </row>
    <row r="49" spans="2:22" x14ac:dyDescent="0.25">
      <c r="B49" s="342"/>
      <c r="C49" s="15" t="s">
        <v>176</v>
      </c>
      <c r="D49" s="15"/>
      <c r="E49" s="154">
        <v>5</v>
      </c>
      <c r="F49" s="154"/>
      <c r="G49" s="154"/>
      <c r="H49" s="154"/>
      <c r="I49" s="154"/>
      <c r="J49" s="154"/>
      <c r="K49" s="154"/>
      <c r="L49" s="154"/>
      <c r="M49" s="154"/>
      <c r="N49" s="154"/>
      <c r="O49" s="154"/>
      <c r="P49" s="154"/>
      <c r="Q49" s="154"/>
      <c r="R49" s="154"/>
      <c r="S49" s="154"/>
      <c r="T49" s="154"/>
      <c r="U49" s="154"/>
      <c r="V49" s="154"/>
    </row>
    <row r="50" spans="2:22" x14ac:dyDescent="0.25">
      <c r="B50" s="342"/>
      <c r="C50" s="155" t="s">
        <v>175</v>
      </c>
      <c r="D50" s="155"/>
      <c r="E50" s="156">
        <v>9.1</v>
      </c>
      <c r="F50" s="156"/>
      <c r="G50" s="156"/>
      <c r="H50" s="156"/>
      <c r="I50" s="156"/>
      <c r="J50" s="156"/>
      <c r="K50" s="156"/>
      <c r="L50" s="156"/>
      <c r="M50" s="156"/>
      <c r="N50" s="156"/>
      <c r="O50" s="156"/>
      <c r="P50" s="156"/>
      <c r="Q50" s="156"/>
      <c r="R50" s="156"/>
      <c r="S50" s="156"/>
      <c r="T50" s="156"/>
      <c r="U50" s="156"/>
      <c r="V50" s="156"/>
    </row>
    <row r="51" spans="2:22" x14ac:dyDescent="0.25">
      <c r="B51" s="342"/>
      <c r="C51" s="15" t="s">
        <v>181</v>
      </c>
      <c r="D51" s="15"/>
      <c r="E51" s="154">
        <v>8.5</v>
      </c>
      <c r="F51" s="154"/>
      <c r="G51" s="154"/>
      <c r="H51" s="154"/>
      <c r="I51" s="154"/>
      <c r="J51" s="154"/>
      <c r="K51" s="154"/>
      <c r="L51" s="154"/>
      <c r="M51" s="154"/>
      <c r="N51" s="154"/>
      <c r="O51" s="154"/>
      <c r="P51" s="154"/>
      <c r="Q51" s="154"/>
      <c r="R51" s="154"/>
      <c r="S51" s="154"/>
      <c r="T51" s="154"/>
      <c r="U51" s="154"/>
      <c r="V51" s="154"/>
    </row>
    <row r="52" spans="2:22" x14ac:dyDescent="0.25">
      <c r="B52" s="342"/>
      <c r="C52" s="155"/>
      <c r="D52" s="155"/>
      <c r="E52" s="156"/>
      <c r="F52" s="156"/>
      <c r="G52" s="156"/>
      <c r="H52" s="156"/>
      <c r="I52" s="156"/>
      <c r="J52" s="156"/>
      <c r="K52" s="156"/>
      <c r="L52" s="156"/>
      <c r="M52" s="156"/>
      <c r="N52" s="156"/>
      <c r="O52" s="156"/>
      <c r="P52" s="156"/>
      <c r="Q52" s="156"/>
      <c r="R52" s="156"/>
      <c r="S52" s="156"/>
      <c r="T52" s="156"/>
      <c r="U52" s="156"/>
      <c r="V52" s="156"/>
    </row>
    <row r="53" spans="2:22" x14ac:dyDescent="0.25">
      <c r="B53" s="342"/>
      <c r="C53" s="15"/>
      <c r="D53" s="15"/>
      <c r="E53" s="154"/>
      <c r="F53" s="154"/>
      <c r="G53" s="154"/>
      <c r="H53" s="154"/>
      <c r="I53" s="154"/>
      <c r="J53" s="154"/>
      <c r="K53" s="154"/>
      <c r="L53" s="154"/>
      <c r="M53" s="154"/>
      <c r="N53" s="154"/>
      <c r="O53" s="154"/>
      <c r="P53" s="154"/>
      <c r="Q53" s="154"/>
      <c r="R53" s="154"/>
      <c r="S53" s="154"/>
      <c r="T53" s="154"/>
      <c r="U53" s="154"/>
      <c r="V53" s="154"/>
    </row>
    <row r="54" spans="2:22" x14ac:dyDescent="0.25">
      <c r="B54" s="343" t="s">
        <v>150</v>
      </c>
      <c r="C54" s="155" t="s">
        <v>165</v>
      </c>
      <c r="D54" s="155"/>
      <c r="E54" s="156"/>
      <c r="F54" s="156">
        <v>6.1150000000000002</v>
      </c>
      <c r="G54" s="156">
        <v>14</v>
      </c>
      <c r="H54" s="156"/>
      <c r="I54" s="156"/>
      <c r="J54" s="156"/>
      <c r="K54" s="156"/>
      <c r="L54" s="156"/>
      <c r="M54" s="156"/>
      <c r="N54" s="156"/>
      <c r="O54" s="156"/>
      <c r="P54" s="156"/>
      <c r="Q54" s="156"/>
      <c r="R54" s="156"/>
      <c r="S54" s="156"/>
      <c r="T54" s="156"/>
      <c r="U54" s="156"/>
      <c r="V54" s="156"/>
    </row>
    <row r="55" spans="2:22" x14ac:dyDescent="0.25">
      <c r="B55" s="343"/>
      <c r="C55" s="15" t="s">
        <v>116</v>
      </c>
      <c r="D55" s="15"/>
      <c r="E55" s="154"/>
      <c r="F55" s="154"/>
      <c r="G55" s="154"/>
      <c r="H55" s="154">
        <v>6.65</v>
      </c>
      <c r="I55" s="154">
        <v>8</v>
      </c>
      <c r="J55" s="154">
        <v>1.5</v>
      </c>
      <c r="K55" s="154">
        <v>0.2</v>
      </c>
      <c r="L55" s="154"/>
      <c r="M55" s="154">
        <v>6.4999999999999994E-5</v>
      </c>
      <c r="N55" s="154">
        <v>6.4999999999999994E-5</v>
      </c>
      <c r="O55" s="154">
        <v>1.25E-4</v>
      </c>
      <c r="P55" s="154">
        <v>1.4E-5</v>
      </c>
      <c r="Q55" s="154">
        <v>7.9999999999999996E-6</v>
      </c>
      <c r="R55" s="154"/>
      <c r="S55" s="154">
        <v>54</v>
      </c>
      <c r="T55" s="154"/>
      <c r="U55" s="154"/>
      <c r="V55" s="154"/>
    </row>
    <row r="56" spans="2:22" x14ac:dyDescent="0.25">
      <c r="B56" s="343"/>
      <c r="C56" s="155" t="s">
        <v>162</v>
      </c>
      <c r="D56" s="155"/>
      <c r="E56" s="156"/>
      <c r="F56" s="156">
        <v>12.67</v>
      </c>
      <c r="G56" s="156">
        <v>29</v>
      </c>
      <c r="H56" s="156"/>
      <c r="I56" s="156"/>
      <c r="J56" s="156"/>
      <c r="K56" s="156"/>
      <c r="L56" s="156"/>
      <c r="M56" s="156"/>
      <c r="N56" s="156"/>
      <c r="O56" s="156"/>
      <c r="P56" s="156"/>
      <c r="Q56" s="156"/>
      <c r="R56" s="156"/>
      <c r="S56" s="156"/>
      <c r="T56" s="156"/>
      <c r="U56" s="156"/>
      <c r="V56" s="156"/>
    </row>
    <row r="57" spans="2:22" x14ac:dyDescent="0.25">
      <c r="B57" s="343"/>
      <c r="C57" s="15" t="s">
        <v>163</v>
      </c>
      <c r="D57" s="15"/>
      <c r="E57" s="154"/>
      <c r="F57" s="154">
        <v>13.11</v>
      </c>
      <c r="G57" s="154">
        <v>30</v>
      </c>
      <c r="H57" s="154"/>
      <c r="I57" s="154"/>
      <c r="J57" s="154"/>
      <c r="K57" s="154"/>
      <c r="L57" s="154"/>
      <c r="M57" s="154"/>
      <c r="N57" s="154"/>
      <c r="O57" s="154"/>
      <c r="P57" s="154"/>
      <c r="Q57" s="154"/>
      <c r="R57" s="154"/>
      <c r="S57" s="154"/>
      <c r="T57" s="154"/>
      <c r="U57" s="154"/>
      <c r="V57" s="154"/>
    </row>
    <row r="58" spans="2:22" x14ac:dyDescent="0.25">
      <c r="B58" s="343"/>
      <c r="C58" s="155" t="s">
        <v>164</v>
      </c>
      <c r="D58" s="155"/>
      <c r="E58" s="156"/>
      <c r="F58" s="156">
        <v>11.8</v>
      </c>
      <c r="G58" s="156">
        <v>27</v>
      </c>
      <c r="H58" s="156"/>
      <c r="I58" s="156"/>
      <c r="J58" s="156"/>
      <c r="K58" s="156"/>
      <c r="L58" s="156"/>
      <c r="M58" s="156"/>
      <c r="N58" s="156"/>
      <c r="O58" s="156"/>
      <c r="P58" s="156"/>
      <c r="Q58" s="156"/>
      <c r="R58" s="156"/>
      <c r="S58" s="156"/>
      <c r="T58" s="156"/>
      <c r="U58" s="156"/>
      <c r="V58" s="156"/>
    </row>
    <row r="59" spans="2:22" x14ac:dyDescent="0.25">
      <c r="B59" s="343"/>
      <c r="C59" s="15" t="s">
        <v>281</v>
      </c>
      <c r="D59" s="15"/>
      <c r="E59" s="154"/>
      <c r="F59" s="154"/>
      <c r="G59" s="154"/>
      <c r="H59" s="154">
        <v>18.27</v>
      </c>
      <c r="I59" s="154">
        <v>22</v>
      </c>
      <c r="J59" s="154"/>
      <c r="K59" s="154">
        <v>11</v>
      </c>
      <c r="L59" s="154">
        <v>22</v>
      </c>
      <c r="M59" s="154"/>
      <c r="N59" s="154"/>
      <c r="O59" s="154"/>
      <c r="P59" s="154"/>
      <c r="Q59" s="154"/>
      <c r="R59" s="154"/>
      <c r="S59" s="154"/>
      <c r="T59" s="154"/>
      <c r="U59" s="154"/>
      <c r="V59" s="154"/>
    </row>
    <row r="60" spans="2:22" x14ac:dyDescent="0.25">
      <c r="B60" s="343"/>
      <c r="C60" s="155" t="s">
        <v>159</v>
      </c>
      <c r="D60" s="155"/>
      <c r="E60" s="156"/>
      <c r="F60" s="156">
        <v>6.1150000000000002</v>
      </c>
      <c r="G60" s="156">
        <v>14</v>
      </c>
      <c r="H60" s="156"/>
      <c r="I60" s="156"/>
      <c r="J60" s="156">
        <v>12</v>
      </c>
      <c r="K60" s="156"/>
      <c r="L60" s="156"/>
      <c r="M60" s="156"/>
      <c r="N60" s="156"/>
      <c r="O60" s="156"/>
      <c r="P60" s="156"/>
      <c r="Q60" s="156"/>
      <c r="R60" s="156"/>
      <c r="S60" s="156"/>
      <c r="T60" s="156"/>
      <c r="U60" s="156"/>
      <c r="V60" s="156"/>
    </row>
    <row r="61" spans="2:22" x14ac:dyDescent="0.25">
      <c r="B61" s="343"/>
      <c r="C61" s="15"/>
      <c r="D61" s="15"/>
      <c r="E61" s="154"/>
      <c r="F61" s="154"/>
      <c r="G61" s="154"/>
      <c r="H61" s="154"/>
      <c r="I61" s="154"/>
      <c r="J61" s="154"/>
      <c r="K61" s="154"/>
      <c r="L61" s="154"/>
      <c r="M61" s="154"/>
      <c r="N61" s="154"/>
      <c r="O61" s="154"/>
      <c r="P61" s="154"/>
      <c r="Q61" s="154"/>
      <c r="R61" s="154"/>
      <c r="S61" s="154"/>
      <c r="T61" s="154"/>
      <c r="U61" s="154"/>
      <c r="V61" s="154"/>
    </row>
    <row r="62" spans="2:22" x14ac:dyDescent="0.25">
      <c r="B62" s="343"/>
      <c r="C62" s="155"/>
      <c r="D62" s="155"/>
      <c r="E62" s="156"/>
      <c r="F62" s="156"/>
      <c r="G62" s="156"/>
      <c r="H62" s="156"/>
      <c r="I62" s="156"/>
      <c r="J62" s="156"/>
      <c r="K62" s="156"/>
      <c r="L62" s="156"/>
      <c r="M62" s="156"/>
      <c r="N62" s="156"/>
      <c r="O62" s="156"/>
      <c r="P62" s="156"/>
      <c r="Q62" s="156"/>
      <c r="R62" s="156"/>
      <c r="S62" s="156"/>
      <c r="T62" s="156"/>
      <c r="U62" s="156"/>
      <c r="V62" s="156"/>
    </row>
    <row r="63" spans="2:22" x14ac:dyDescent="0.25">
      <c r="B63" s="342" t="s">
        <v>283</v>
      </c>
      <c r="C63" s="15" t="s">
        <v>160</v>
      </c>
      <c r="D63" s="15"/>
      <c r="E63" s="154"/>
      <c r="F63" s="154">
        <v>8.7999999999999995E-2</v>
      </c>
      <c r="G63" s="154">
        <v>0.2</v>
      </c>
      <c r="H63" s="154">
        <v>2.83</v>
      </c>
      <c r="I63" s="154">
        <v>3.4</v>
      </c>
      <c r="J63" s="154">
        <v>2.5174825174825175</v>
      </c>
      <c r="K63" s="154">
        <v>7.6411960132890364</v>
      </c>
      <c r="L63" s="154"/>
      <c r="M63" s="154"/>
      <c r="N63" s="154"/>
      <c r="O63" s="154"/>
      <c r="P63" s="154"/>
      <c r="Q63" s="154"/>
      <c r="R63" s="154"/>
      <c r="S63" s="154">
        <v>57.8</v>
      </c>
      <c r="T63" s="154"/>
      <c r="U63" s="154"/>
      <c r="V63" s="154"/>
    </row>
    <row r="64" spans="2:22" x14ac:dyDescent="0.25">
      <c r="B64" s="342"/>
      <c r="C64" s="155" t="s">
        <v>155</v>
      </c>
      <c r="D64" s="155"/>
      <c r="E64" s="156"/>
      <c r="F64" s="156">
        <v>1.5069999999999999</v>
      </c>
      <c r="G64" s="156">
        <v>3.5</v>
      </c>
      <c r="H64" s="156">
        <v>3.3250000000000002</v>
      </c>
      <c r="I64" s="156">
        <v>4</v>
      </c>
      <c r="J64" s="156">
        <v>2.86</v>
      </c>
      <c r="K64" s="156"/>
      <c r="L64" s="156"/>
      <c r="M64" s="156"/>
      <c r="N64" s="156"/>
      <c r="O64" s="156"/>
      <c r="P64" s="156"/>
      <c r="Q64" s="156"/>
      <c r="R64" s="156"/>
      <c r="S64" s="156"/>
      <c r="T64" s="156"/>
      <c r="U64" s="156"/>
      <c r="V64" s="156"/>
    </row>
    <row r="65" spans="2:22" x14ac:dyDescent="0.25">
      <c r="B65" s="342"/>
      <c r="C65" s="15" t="s">
        <v>156</v>
      </c>
      <c r="D65" s="15"/>
      <c r="E65" s="154"/>
      <c r="F65" s="154">
        <v>4.4999999999999998E-2</v>
      </c>
      <c r="G65" s="154">
        <v>0.1</v>
      </c>
      <c r="H65" s="154">
        <v>4.32</v>
      </c>
      <c r="I65" s="154">
        <v>5.2</v>
      </c>
      <c r="J65" s="154">
        <v>1.2587412587412588</v>
      </c>
      <c r="K65" s="154">
        <v>1.1627906976744187</v>
      </c>
      <c r="L65" s="154"/>
      <c r="M65" s="154"/>
      <c r="N65" s="154"/>
      <c r="O65" s="154"/>
      <c r="P65" s="154"/>
      <c r="Q65" s="154"/>
      <c r="R65" s="154"/>
      <c r="S65" s="154"/>
      <c r="T65" s="154"/>
      <c r="U65" s="154"/>
      <c r="V65" s="154"/>
    </row>
    <row r="66" spans="2:22" x14ac:dyDescent="0.25">
      <c r="B66" s="342"/>
      <c r="C66" s="155" t="s">
        <v>157</v>
      </c>
      <c r="D66" s="155"/>
      <c r="E66" s="156"/>
      <c r="F66" s="156"/>
      <c r="G66" s="156"/>
      <c r="H66" s="156">
        <v>4.99</v>
      </c>
      <c r="I66" s="156">
        <v>6</v>
      </c>
      <c r="J66" s="156">
        <v>4.1958041958041958</v>
      </c>
      <c r="K66" s="156">
        <v>0.83056478405315615</v>
      </c>
      <c r="L66" s="156"/>
      <c r="M66" s="156"/>
      <c r="N66" s="156"/>
      <c r="O66" s="156"/>
      <c r="P66" s="156"/>
      <c r="Q66" s="156"/>
      <c r="R66" s="156"/>
      <c r="S66" s="156"/>
      <c r="T66" s="156"/>
      <c r="U66" s="156"/>
      <c r="V66" s="156"/>
    </row>
    <row r="67" spans="2:22" x14ac:dyDescent="0.25">
      <c r="B67" s="342"/>
      <c r="C67" s="15" t="s">
        <v>493</v>
      </c>
      <c r="D67" s="15"/>
      <c r="E67" s="154"/>
      <c r="F67" s="154">
        <v>4.4999999999999998E-2</v>
      </c>
      <c r="G67" s="154">
        <v>0.1</v>
      </c>
      <c r="H67" s="154">
        <v>2.1949999999999998</v>
      </c>
      <c r="I67" s="154">
        <v>2.6</v>
      </c>
      <c r="J67" s="154">
        <v>18.741258741258743</v>
      </c>
      <c r="K67" s="154">
        <v>12.44186046511628</v>
      </c>
      <c r="L67" s="154"/>
      <c r="M67" s="154"/>
      <c r="N67" s="154"/>
      <c r="O67" s="154"/>
      <c r="P67" s="154"/>
      <c r="Q67" s="154"/>
      <c r="R67" s="154"/>
      <c r="S67" s="154">
        <v>43.8</v>
      </c>
      <c r="T67" s="154"/>
      <c r="U67" s="154"/>
      <c r="V67" s="154"/>
    </row>
    <row r="68" spans="2:22" x14ac:dyDescent="0.25">
      <c r="B68" s="342"/>
      <c r="C68" s="155"/>
      <c r="D68" s="155"/>
      <c r="E68" s="156"/>
      <c r="F68" s="156"/>
      <c r="G68" s="156"/>
      <c r="H68" s="156"/>
      <c r="I68" s="156"/>
      <c r="J68" s="156"/>
      <c r="K68" s="156"/>
      <c r="L68" s="156"/>
      <c r="M68" s="156"/>
      <c r="N68" s="156"/>
      <c r="O68" s="156"/>
      <c r="P68" s="156"/>
      <c r="Q68" s="156"/>
      <c r="R68" s="156"/>
      <c r="S68" s="156"/>
      <c r="T68" s="156"/>
      <c r="U68" s="156"/>
      <c r="V68" s="156"/>
    </row>
    <row r="69" spans="2:22" x14ac:dyDescent="0.25">
      <c r="B69" s="342"/>
      <c r="C69" s="15"/>
      <c r="D69" s="15"/>
      <c r="E69" s="154"/>
      <c r="F69" s="154"/>
      <c r="G69" s="154"/>
      <c r="H69" s="154"/>
      <c r="I69" s="154"/>
      <c r="J69" s="154"/>
      <c r="K69" s="154"/>
      <c r="L69" s="154"/>
      <c r="M69" s="154"/>
      <c r="N69" s="154"/>
      <c r="O69" s="154"/>
      <c r="P69" s="154"/>
      <c r="Q69" s="154"/>
      <c r="R69" s="154"/>
      <c r="S69" s="154"/>
      <c r="T69" s="154"/>
      <c r="U69" s="154"/>
      <c r="V69" s="154"/>
    </row>
    <row r="70" spans="2:22" x14ac:dyDescent="0.25">
      <c r="B70" s="342"/>
      <c r="C70" s="155"/>
      <c r="D70" s="155"/>
      <c r="E70" s="156"/>
      <c r="F70" s="156"/>
      <c r="G70" s="156"/>
      <c r="H70" s="156"/>
      <c r="I70" s="156"/>
      <c r="J70" s="156"/>
      <c r="K70" s="156"/>
      <c r="L70" s="156"/>
      <c r="M70" s="156"/>
      <c r="N70" s="156"/>
      <c r="O70" s="156"/>
      <c r="P70" s="156"/>
      <c r="Q70" s="156"/>
      <c r="R70" s="156"/>
      <c r="S70" s="156"/>
      <c r="T70" s="156"/>
      <c r="U70" s="156"/>
      <c r="V70" s="156"/>
    </row>
    <row r="71" spans="2:22" x14ac:dyDescent="0.25">
      <c r="B71" s="342"/>
      <c r="C71" s="15"/>
      <c r="D71" s="15"/>
      <c r="E71" s="154"/>
      <c r="F71" s="154"/>
      <c r="G71" s="154"/>
      <c r="H71" s="154"/>
      <c r="I71" s="154"/>
      <c r="J71" s="154"/>
      <c r="K71" s="154"/>
      <c r="L71" s="154"/>
      <c r="M71" s="154"/>
      <c r="N71" s="154"/>
      <c r="O71" s="154"/>
      <c r="P71" s="154"/>
      <c r="Q71" s="154"/>
      <c r="R71" s="154"/>
      <c r="S71" s="154"/>
      <c r="T71" s="154"/>
      <c r="U71" s="154"/>
      <c r="V71" s="154"/>
    </row>
    <row r="72" spans="2:22" x14ac:dyDescent="0.25">
      <c r="B72" s="342"/>
      <c r="C72" s="155"/>
      <c r="D72" s="155"/>
      <c r="E72" s="156"/>
      <c r="F72" s="156"/>
      <c r="G72" s="156"/>
      <c r="H72" s="156"/>
      <c r="I72" s="156"/>
      <c r="J72" s="156"/>
      <c r="K72" s="156"/>
      <c r="L72" s="156"/>
      <c r="M72" s="156"/>
      <c r="N72" s="156"/>
      <c r="O72" s="156"/>
      <c r="P72" s="156"/>
      <c r="Q72" s="156"/>
      <c r="R72" s="156"/>
      <c r="S72" s="156"/>
      <c r="T72" s="156"/>
      <c r="U72" s="156"/>
      <c r="V72" s="156"/>
    </row>
    <row r="73" spans="2:22" x14ac:dyDescent="0.25">
      <c r="B73" s="343" t="s">
        <v>135</v>
      </c>
      <c r="C73" s="15" t="s">
        <v>316</v>
      </c>
      <c r="D73" s="15"/>
      <c r="E73" s="154">
        <v>0</v>
      </c>
      <c r="F73" s="154">
        <v>0</v>
      </c>
      <c r="G73" s="154">
        <v>0</v>
      </c>
      <c r="H73" s="154">
        <v>0</v>
      </c>
      <c r="I73" s="154">
        <v>0</v>
      </c>
      <c r="J73" s="154">
        <v>0</v>
      </c>
      <c r="K73" s="154">
        <v>0</v>
      </c>
      <c r="L73" s="154">
        <v>0</v>
      </c>
      <c r="M73" s="154">
        <v>17.5</v>
      </c>
      <c r="N73" s="154">
        <v>0</v>
      </c>
      <c r="O73" s="154">
        <v>0</v>
      </c>
      <c r="P73" s="154">
        <v>0</v>
      </c>
      <c r="Q73" s="154">
        <v>0</v>
      </c>
      <c r="R73" s="154">
        <v>0</v>
      </c>
      <c r="S73" s="154"/>
      <c r="T73" s="154"/>
      <c r="U73" s="154"/>
      <c r="V73" s="154"/>
    </row>
    <row r="74" spans="2:22" x14ac:dyDescent="0.25">
      <c r="B74" s="343"/>
      <c r="C74" s="155" t="s">
        <v>99</v>
      </c>
      <c r="D74" s="155"/>
      <c r="E74" s="156"/>
      <c r="F74" s="156"/>
      <c r="G74" s="156"/>
      <c r="H74" s="156"/>
      <c r="I74" s="156"/>
      <c r="J74" s="156"/>
      <c r="K74" s="156"/>
      <c r="L74" s="156"/>
      <c r="M74" s="156">
        <v>10.5</v>
      </c>
      <c r="N74" s="156"/>
      <c r="O74" s="156"/>
      <c r="P74" s="156"/>
      <c r="Q74" s="156"/>
      <c r="R74" s="156"/>
      <c r="S74" s="156"/>
      <c r="T74" s="156"/>
      <c r="U74" s="156"/>
      <c r="V74" s="156"/>
    </row>
    <row r="75" spans="2:22" x14ac:dyDescent="0.25">
      <c r="B75" s="343"/>
      <c r="C75" s="15" t="s">
        <v>100</v>
      </c>
      <c r="D75" s="15"/>
      <c r="E75" s="154"/>
      <c r="F75" s="154"/>
      <c r="G75" s="154"/>
      <c r="H75" s="154"/>
      <c r="I75" s="154"/>
      <c r="J75" s="154"/>
      <c r="K75" s="154">
        <v>1.5</v>
      </c>
      <c r="L75" s="154">
        <v>10</v>
      </c>
      <c r="M75" s="154">
        <v>2</v>
      </c>
      <c r="N75" s="154">
        <v>5</v>
      </c>
      <c r="O75" s="154">
        <v>6</v>
      </c>
      <c r="P75" s="154"/>
      <c r="Q75" s="154">
        <v>0.5</v>
      </c>
      <c r="R75" s="154"/>
      <c r="S75" s="154"/>
      <c r="T75" s="154"/>
      <c r="U75" s="154"/>
      <c r="V75" s="154"/>
    </row>
    <row r="76" spans="2:22" x14ac:dyDescent="0.25">
      <c r="B76" s="343"/>
      <c r="C76" s="155" t="s">
        <v>104</v>
      </c>
      <c r="D76" s="155"/>
      <c r="E76" s="156"/>
      <c r="F76" s="156"/>
      <c r="G76" s="156"/>
      <c r="H76" s="156"/>
      <c r="I76" s="156"/>
      <c r="J76" s="156"/>
      <c r="K76" s="156"/>
      <c r="L76" s="156"/>
      <c r="M76" s="156"/>
      <c r="N76" s="156"/>
      <c r="O76" s="156"/>
      <c r="P76" s="156"/>
      <c r="Q76" s="156"/>
      <c r="R76" s="156">
        <v>11.3</v>
      </c>
      <c r="S76" s="156"/>
      <c r="T76" s="156"/>
      <c r="U76" s="156"/>
      <c r="V76" s="156"/>
    </row>
    <row r="77" spans="2:22" x14ac:dyDescent="0.25">
      <c r="B77" s="343"/>
      <c r="C77" s="15" t="s">
        <v>151</v>
      </c>
      <c r="D77" s="15"/>
      <c r="E77" s="154"/>
      <c r="F77" s="154"/>
      <c r="G77" s="154"/>
      <c r="H77" s="154"/>
      <c r="I77" s="154"/>
      <c r="J77" s="154"/>
      <c r="K77" s="154"/>
      <c r="L77" s="154">
        <v>3.9</v>
      </c>
      <c r="M77" s="154">
        <v>1.8</v>
      </c>
      <c r="N77" s="154">
        <v>2</v>
      </c>
      <c r="O77" s="154">
        <v>9</v>
      </c>
      <c r="P77" s="154">
        <v>0.85</v>
      </c>
      <c r="Q77" s="154"/>
      <c r="R77" s="154"/>
      <c r="S77" s="154"/>
      <c r="T77" s="154"/>
      <c r="U77" s="154"/>
      <c r="V77" s="154"/>
    </row>
    <row r="78" spans="2:22" x14ac:dyDescent="0.25">
      <c r="B78" s="343"/>
      <c r="C78" s="155" t="s">
        <v>101</v>
      </c>
      <c r="D78" s="155"/>
      <c r="E78" s="156"/>
      <c r="F78" s="156"/>
      <c r="G78" s="156"/>
      <c r="H78" s="156"/>
      <c r="I78" s="156"/>
      <c r="J78" s="156"/>
      <c r="K78" s="156"/>
      <c r="L78" s="156"/>
      <c r="M78" s="156"/>
      <c r="N78" s="156"/>
      <c r="O78" s="156"/>
      <c r="P78" s="156"/>
      <c r="Q78" s="156">
        <v>39</v>
      </c>
      <c r="R78" s="156"/>
      <c r="S78" s="156"/>
      <c r="T78" s="156"/>
      <c r="U78" s="156"/>
      <c r="V78" s="156"/>
    </row>
    <row r="79" spans="2:22" x14ac:dyDescent="0.25">
      <c r="B79" s="343"/>
      <c r="C79" s="15" t="s">
        <v>257</v>
      </c>
      <c r="D79" s="15"/>
      <c r="E79" s="154"/>
      <c r="F79" s="154"/>
      <c r="G79" s="154"/>
      <c r="H79" s="154"/>
      <c r="I79" s="154"/>
      <c r="J79" s="154"/>
      <c r="K79" s="154"/>
      <c r="L79" s="154">
        <v>12</v>
      </c>
      <c r="M79" s="154"/>
      <c r="N79" s="154"/>
      <c r="O79" s="154"/>
      <c r="P79" s="154">
        <v>25</v>
      </c>
      <c r="Q79" s="154"/>
      <c r="R79" s="154"/>
      <c r="S79" s="154"/>
      <c r="T79" s="154"/>
      <c r="U79" s="154"/>
      <c r="V79" s="154"/>
    </row>
    <row r="80" spans="2:22" x14ac:dyDescent="0.25">
      <c r="B80" s="343"/>
      <c r="C80" s="155" t="s">
        <v>102</v>
      </c>
      <c r="D80" s="155"/>
      <c r="E80" s="156"/>
      <c r="F80" s="156"/>
      <c r="G80" s="156"/>
      <c r="H80" s="156"/>
      <c r="I80" s="156"/>
      <c r="J80" s="156"/>
      <c r="K80" s="156"/>
      <c r="L80" s="156">
        <v>21</v>
      </c>
      <c r="M80" s="156"/>
      <c r="N80" s="156">
        <v>26</v>
      </c>
      <c r="O80" s="156"/>
      <c r="P80" s="156"/>
      <c r="Q80" s="156"/>
      <c r="R80" s="156"/>
      <c r="S80" s="156"/>
      <c r="T80" s="156"/>
      <c r="U80" s="156"/>
      <c r="V80" s="156"/>
    </row>
    <row r="81" spans="2:22" x14ac:dyDescent="0.25">
      <c r="B81" s="343"/>
      <c r="C81" s="15" t="s">
        <v>103</v>
      </c>
      <c r="D81" s="15"/>
      <c r="E81" s="154"/>
      <c r="F81" s="154"/>
      <c r="G81" s="154"/>
      <c r="H81" s="154"/>
      <c r="I81" s="154"/>
      <c r="J81" s="154"/>
      <c r="K81" s="154"/>
      <c r="L81" s="154">
        <v>17</v>
      </c>
      <c r="M81" s="154"/>
      <c r="N81" s="154"/>
      <c r="O81" s="154">
        <v>35</v>
      </c>
      <c r="P81" s="154"/>
      <c r="Q81" s="154"/>
      <c r="R81" s="154"/>
      <c r="S81" s="154"/>
      <c r="T81" s="154"/>
      <c r="U81" s="154"/>
      <c r="V81" s="154"/>
    </row>
    <row r="82" spans="2:22" x14ac:dyDescent="0.25">
      <c r="B82" s="343"/>
      <c r="C82" s="155"/>
      <c r="D82" s="155"/>
      <c r="E82" s="156"/>
      <c r="F82" s="156"/>
      <c r="G82" s="156"/>
      <c r="H82" s="156"/>
      <c r="I82" s="156"/>
      <c r="J82" s="156"/>
      <c r="K82" s="156"/>
      <c r="L82" s="156"/>
      <c r="M82" s="156"/>
      <c r="N82" s="156"/>
      <c r="O82" s="156"/>
      <c r="P82" s="156"/>
      <c r="Q82" s="156"/>
      <c r="R82" s="156"/>
      <c r="S82" s="156"/>
      <c r="T82" s="156"/>
      <c r="U82" s="156"/>
      <c r="V82" s="156"/>
    </row>
    <row r="83" spans="2:22" x14ac:dyDescent="0.25">
      <c r="B83" s="157"/>
      <c r="C83" s="158" t="s">
        <v>141</v>
      </c>
      <c r="D83" s="158"/>
      <c r="E83" s="91">
        <v>32</v>
      </c>
      <c r="F83" s="91">
        <v>15</v>
      </c>
      <c r="G83" s="91">
        <v>94</v>
      </c>
    </row>
    <row r="84" spans="2:22" x14ac:dyDescent="0.25">
      <c r="B84" s="157"/>
      <c r="C84" s="158" t="s">
        <v>142</v>
      </c>
      <c r="D84" s="158"/>
      <c r="E84" s="91">
        <v>51.6</v>
      </c>
      <c r="F84" s="91">
        <v>2</v>
      </c>
      <c r="G84" s="91">
        <v>82.1</v>
      </c>
    </row>
    <row r="85" spans="2:22" x14ac:dyDescent="0.25">
      <c r="B85" s="344" t="s">
        <v>136</v>
      </c>
      <c r="C85" s="344" t="s">
        <v>76</v>
      </c>
      <c r="D85" s="344" t="s">
        <v>77</v>
      </c>
      <c r="E85" s="344" t="s">
        <v>78</v>
      </c>
      <c r="F85" s="344"/>
      <c r="G85" s="344"/>
      <c r="H85" s="344"/>
      <c r="I85" s="11"/>
      <c r="J85" s="11"/>
      <c r="K85" s="11"/>
      <c r="L85" s="11"/>
    </row>
    <row r="86" spans="2:22" x14ac:dyDescent="0.25">
      <c r="B86" s="344"/>
      <c r="C86" s="344"/>
      <c r="D86" s="344"/>
      <c r="E86" s="95" t="s">
        <v>105</v>
      </c>
      <c r="F86" s="95" t="s">
        <v>106</v>
      </c>
      <c r="G86" s="95" t="s">
        <v>107</v>
      </c>
      <c r="H86" s="95" t="s">
        <v>195</v>
      </c>
      <c r="I86" s="11"/>
      <c r="J86" s="11"/>
      <c r="K86" s="11"/>
      <c r="L86" s="11"/>
    </row>
    <row r="87" spans="2:22" x14ac:dyDescent="0.25">
      <c r="B87" s="345" t="s">
        <v>185</v>
      </c>
      <c r="C87" s="96" t="s">
        <v>137</v>
      </c>
      <c r="D87" s="159"/>
      <c r="E87" s="159">
        <v>51.8</v>
      </c>
      <c r="F87" s="159">
        <v>1</v>
      </c>
      <c r="G87" s="159">
        <v>90.16</v>
      </c>
      <c r="H87" s="159">
        <f t="shared" ref="H87:H99" si="0">E87+F87</f>
        <v>52.8</v>
      </c>
      <c r="I87" s="11"/>
      <c r="J87" s="11"/>
      <c r="K87" s="11"/>
      <c r="L87" s="11"/>
    </row>
    <row r="88" spans="2:22" x14ac:dyDescent="0.25">
      <c r="B88" s="345"/>
      <c r="C88" s="96" t="s">
        <v>138</v>
      </c>
      <c r="D88" s="159"/>
      <c r="E88" s="159">
        <v>28.8</v>
      </c>
      <c r="F88" s="159">
        <v>17.399999999999999</v>
      </c>
      <c r="G88" s="159">
        <v>89.01</v>
      </c>
      <c r="H88" s="159">
        <f t="shared" si="0"/>
        <v>46.2</v>
      </c>
      <c r="I88" s="11"/>
      <c r="J88" s="11"/>
      <c r="K88" s="11"/>
      <c r="L88" s="11"/>
    </row>
    <row r="89" spans="2:22" x14ac:dyDescent="0.25">
      <c r="B89" s="345"/>
      <c r="C89" s="96" t="s">
        <v>139</v>
      </c>
      <c r="D89" s="159"/>
      <c r="E89" s="159">
        <v>41.78</v>
      </c>
      <c r="F89" s="159">
        <v>2.2200000000000002</v>
      </c>
      <c r="G89" s="159">
        <v>80.239999999999995</v>
      </c>
      <c r="H89" s="159">
        <f t="shared" si="0"/>
        <v>44</v>
      </c>
      <c r="I89" s="11"/>
      <c r="J89" s="11"/>
      <c r="K89" s="11"/>
      <c r="L89" s="11"/>
    </row>
    <row r="90" spans="2:22" x14ac:dyDescent="0.25">
      <c r="B90" s="345"/>
      <c r="C90" s="96" t="s">
        <v>140</v>
      </c>
      <c r="D90" s="159"/>
      <c r="E90" s="159">
        <v>28</v>
      </c>
      <c r="F90" s="159">
        <v>15</v>
      </c>
      <c r="G90" s="159">
        <v>80</v>
      </c>
      <c r="H90" s="159">
        <f t="shared" si="0"/>
        <v>43</v>
      </c>
      <c r="I90" s="11"/>
      <c r="J90" s="11"/>
      <c r="K90" s="11"/>
      <c r="L90" s="11"/>
    </row>
    <row r="91" spans="2:22" x14ac:dyDescent="0.25">
      <c r="B91" s="345"/>
      <c r="C91" s="96" t="s">
        <v>141</v>
      </c>
      <c r="D91" s="159"/>
      <c r="E91" s="159">
        <v>32</v>
      </c>
      <c r="F91" s="159">
        <v>15</v>
      </c>
      <c r="G91" s="159">
        <v>94</v>
      </c>
      <c r="H91" s="159">
        <f t="shared" si="0"/>
        <v>47</v>
      </c>
      <c r="I91" s="11"/>
      <c r="J91" s="11"/>
      <c r="K91" s="11"/>
      <c r="L91" s="11"/>
    </row>
    <row r="92" spans="2:22" x14ac:dyDescent="0.25">
      <c r="B92" s="345"/>
      <c r="C92" s="96" t="s">
        <v>142</v>
      </c>
      <c r="D92" s="159"/>
      <c r="E92" s="159">
        <v>51.6</v>
      </c>
      <c r="F92" s="159">
        <v>2</v>
      </c>
      <c r="G92" s="159">
        <v>82.1</v>
      </c>
      <c r="H92" s="159">
        <f t="shared" si="0"/>
        <v>53.6</v>
      </c>
      <c r="I92" s="11"/>
      <c r="J92" s="11"/>
      <c r="K92" s="11"/>
      <c r="L92" s="11"/>
    </row>
    <row r="93" spans="2:22" x14ac:dyDescent="0.25">
      <c r="B93" s="345"/>
      <c r="C93" s="96" t="s">
        <v>143</v>
      </c>
      <c r="D93" s="159"/>
      <c r="E93" s="159">
        <v>29.7</v>
      </c>
      <c r="F93" s="159">
        <v>21.6</v>
      </c>
      <c r="G93" s="159">
        <v>99.3</v>
      </c>
      <c r="H93" s="159">
        <f t="shared" si="0"/>
        <v>51.3</v>
      </c>
      <c r="I93" s="11"/>
      <c r="J93" s="11"/>
      <c r="K93" s="11"/>
      <c r="L93" s="11"/>
    </row>
    <row r="94" spans="2:22" x14ac:dyDescent="0.25">
      <c r="B94" s="345"/>
      <c r="C94" s="96" t="s">
        <v>144</v>
      </c>
      <c r="D94" s="159"/>
      <c r="E94" s="159">
        <v>40</v>
      </c>
      <c r="F94" s="159">
        <v>20</v>
      </c>
      <c r="G94" s="159">
        <v>96</v>
      </c>
      <c r="H94" s="159">
        <f t="shared" si="0"/>
        <v>60</v>
      </c>
      <c r="I94" s="11"/>
      <c r="J94" s="11"/>
      <c r="K94" s="11"/>
      <c r="L94" s="11"/>
    </row>
    <row r="95" spans="2:22" x14ac:dyDescent="0.25">
      <c r="B95" s="345"/>
      <c r="C95" s="96" t="s">
        <v>145</v>
      </c>
      <c r="D95" s="159"/>
      <c r="E95" s="159">
        <v>34.299999999999997</v>
      </c>
      <c r="F95" s="159">
        <v>16.2</v>
      </c>
      <c r="G95" s="159">
        <v>95.25</v>
      </c>
      <c r="H95" s="159">
        <f t="shared" si="0"/>
        <v>50.5</v>
      </c>
      <c r="I95" s="11"/>
      <c r="J95" s="11"/>
      <c r="K95" s="11"/>
      <c r="L95" s="11"/>
    </row>
    <row r="96" spans="2:22" x14ac:dyDescent="0.25">
      <c r="B96" s="345"/>
      <c r="C96" s="96" t="s">
        <v>149</v>
      </c>
      <c r="D96" s="159"/>
      <c r="E96" s="159">
        <v>53.2</v>
      </c>
      <c r="F96" s="159">
        <v>1</v>
      </c>
      <c r="G96" s="159">
        <v>90.52</v>
      </c>
      <c r="H96" s="159">
        <f t="shared" si="0"/>
        <v>54.2</v>
      </c>
      <c r="I96" s="11"/>
      <c r="J96" s="11"/>
      <c r="K96" s="11"/>
      <c r="L96" s="11"/>
    </row>
    <row r="97" spans="2:13" x14ac:dyDescent="0.25">
      <c r="B97" s="345"/>
      <c r="C97" s="96" t="s">
        <v>148</v>
      </c>
      <c r="D97" s="159"/>
      <c r="E97" s="159">
        <v>42.1</v>
      </c>
      <c r="F97" s="159">
        <v>5.25</v>
      </c>
      <c r="G97" s="159">
        <v>77.8</v>
      </c>
      <c r="H97" s="159">
        <f t="shared" si="0"/>
        <v>47.35</v>
      </c>
      <c r="I97" s="11"/>
      <c r="J97" s="11"/>
      <c r="K97" s="11"/>
      <c r="L97" s="11"/>
    </row>
    <row r="98" spans="2:13" x14ac:dyDescent="0.25">
      <c r="B98" s="345"/>
      <c r="C98" s="96" t="s">
        <v>147</v>
      </c>
      <c r="D98" s="159"/>
      <c r="E98" s="159">
        <v>48</v>
      </c>
      <c r="F98" s="159">
        <v>5</v>
      </c>
      <c r="G98" s="159">
        <v>90.62</v>
      </c>
      <c r="H98" s="159">
        <f t="shared" si="0"/>
        <v>53</v>
      </c>
      <c r="I98" s="11"/>
      <c r="J98" s="11"/>
      <c r="K98" s="11"/>
      <c r="L98" s="11"/>
      <c r="M98" s="160"/>
    </row>
    <row r="99" spans="2:13" x14ac:dyDescent="0.25">
      <c r="B99" s="345"/>
      <c r="C99" s="96" t="s">
        <v>146</v>
      </c>
      <c r="D99" s="159"/>
      <c r="E99" s="159">
        <v>36</v>
      </c>
      <c r="F99" s="159">
        <v>15</v>
      </c>
      <c r="G99" s="159">
        <v>92.54</v>
      </c>
      <c r="H99" s="159">
        <f t="shared" si="0"/>
        <v>51</v>
      </c>
      <c r="I99" s="11"/>
      <c r="J99" s="11"/>
      <c r="K99" s="11"/>
      <c r="L99" s="11"/>
      <c r="M99" s="160"/>
    </row>
    <row r="100" spans="2:13" x14ac:dyDescent="0.25">
      <c r="B100" s="11"/>
      <c r="C100" s="11"/>
      <c r="D100" s="11"/>
      <c r="E100" s="11"/>
      <c r="F100" s="11"/>
      <c r="G100" s="11"/>
      <c r="H100" s="11"/>
      <c r="I100" s="11"/>
      <c r="J100" s="11"/>
      <c r="K100" s="11"/>
      <c r="L100" s="11"/>
      <c r="M100" s="12"/>
    </row>
    <row r="101" spans="2:13" x14ac:dyDescent="0.25">
      <c r="B101" s="11"/>
      <c r="C101" s="11"/>
      <c r="D101" s="11"/>
      <c r="E101" s="11"/>
      <c r="F101" s="11"/>
      <c r="G101" s="11"/>
      <c r="H101" s="11"/>
      <c r="I101" s="11"/>
      <c r="J101" s="11"/>
      <c r="K101" s="11"/>
      <c r="L101" s="11"/>
      <c r="M101" s="12"/>
    </row>
    <row r="102" spans="2:13" x14ac:dyDescent="0.25">
      <c r="B102" s="347" t="s">
        <v>136</v>
      </c>
      <c r="C102" s="347" t="s">
        <v>76</v>
      </c>
      <c r="D102" s="347" t="s">
        <v>77</v>
      </c>
      <c r="E102" s="347" t="s">
        <v>284</v>
      </c>
      <c r="F102" s="347"/>
      <c r="G102" s="347"/>
      <c r="H102" s="11"/>
      <c r="I102" s="11"/>
      <c r="J102" s="11"/>
      <c r="K102" s="11"/>
      <c r="L102" s="11"/>
      <c r="M102" s="12"/>
    </row>
    <row r="103" spans="2:13" x14ac:dyDescent="0.25">
      <c r="B103" s="347"/>
      <c r="C103" s="347"/>
      <c r="D103" s="347"/>
      <c r="E103" s="13" t="s">
        <v>81</v>
      </c>
      <c r="F103" s="13" t="s">
        <v>82</v>
      </c>
      <c r="G103" s="13" t="s">
        <v>83</v>
      </c>
      <c r="H103" s="11"/>
      <c r="I103" s="11"/>
      <c r="J103" s="11"/>
      <c r="K103" s="11"/>
      <c r="L103" s="11"/>
      <c r="M103" s="12"/>
    </row>
    <row r="104" spans="2:13" x14ac:dyDescent="0.25">
      <c r="B104" s="340" t="s">
        <v>152</v>
      </c>
      <c r="C104" s="14" t="s">
        <v>186</v>
      </c>
      <c r="D104" s="14"/>
      <c r="E104" s="14">
        <v>15</v>
      </c>
      <c r="F104" s="14"/>
      <c r="G104" s="14">
        <v>20</v>
      </c>
      <c r="H104" s="11"/>
      <c r="I104" s="11"/>
      <c r="J104" s="11"/>
      <c r="K104" s="11"/>
      <c r="L104" s="11"/>
      <c r="M104" s="12"/>
    </row>
    <row r="105" spans="2:13" x14ac:dyDescent="0.25">
      <c r="B105" s="340"/>
      <c r="C105" s="15" t="s">
        <v>187</v>
      </c>
      <c r="D105" s="15"/>
      <c r="E105" s="15">
        <v>16</v>
      </c>
      <c r="F105" s="15"/>
      <c r="G105" s="15">
        <v>20</v>
      </c>
      <c r="H105" s="11"/>
      <c r="I105" s="11"/>
      <c r="J105" s="11"/>
      <c r="K105" s="11"/>
      <c r="L105" s="11"/>
      <c r="M105" s="12"/>
    </row>
    <row r="106" spans="2:13" x14ac:dyDescent="0.25">
      <c r="B106" s="340"/>
      <c r="C106" s="15" t="s">
        <v>188</v>
      </c>
      <c r="D106" s="15"/>
      <c r="E106" s="15">
        <v>14</v>
      </c>
      <c r="F106" s="15"/>
      <c r="G106" s="15">
        <v>17</v>
      </c>
      <c r="H106" s="11"/>
      <c r="I106" s="11"/>
      <c r="J106" s="11"/>
      <c r="K106" s="11"/>
      <c r="L106" s="11"/>
      <c r="M106" s="12"/>
    </row>
    <row r="107" spans="2:13" x14ac:dyDescent="0.25">
      <c r="B107" s="340"/>
      <c r="C107" s="15" t="s">
        <v>153</v>
      </c>
      <c r="D107" s="15"/>
      <c r="E107" s="15">
        <v>9.9</v>
      </c>
      <c r="F107" s="15"/>
      <c r="G107" s="15">
        <v>20.3</v>
      </c>
      <c r="H107" s="11"/>
      <c r="I107" s="11"/>
      <c r="J107" s="11"/>
      <c r="K107" s="11"/>
      <c r="L107" s="11"/>
      <c r="M107" s="12"/>
    </row>
    <row r="108" spans="2:13" x14ac:dyDescent="0.25">
      <c r="B108" s="340"/>
      <c r="C108" s="15" t="s">
        <v>154</v>
      </c>
      <c r="D108" s="15"/>
      <c r="E108" s="15">
        <v>13</v>
      </c>
      <c r="F108" s="15"/>
      <c r="G108" s="15">
        <v>16</v>
      </c>
      <c r="H108" s="11"/>
      <c r="I108" s="11"/>
      <c r="J108" s="11"/>
      <c r="K108" s="11"/>
      <c r="L108" s="11"/>
      <c r="M108" s="12"/>
    </row>
    <row r="109" spans="2:13" x14ac:dyDescent="0.25">
      <c r="B109" s="340"/>
      <c r="C109" s="15"/>
      <c r="D109" s="15"/>
      <c r="E109" s="15"/>
      <c r="F109" s="15"/>
      <c r="G109" s="15"/>
      <c r="H109" s="11"/>
      <c r="I109" s="11"/>
      <c r="J109" s="11"/>
      <c r="K109" s="11"/>
      <c r="L109" s="11"/>
    </row>
    <row r="110" spans="2:13" x14ac:dyDescent="0.25">
      <c r="B110" s="340"/>
      <c r="C110" s="15"/>
      <c r="D110" s="15"/>
      <c r="E110" s="15"/>
      <c r="F110" s="15"/>
      <c r="G110" s="15"/>
      <c r="H110" s="11"/>
      <c r="I110" s="11"/>
      <c r="J110" s="11"/>
      <c r="K110" s="11"/>
      <c r="L110" s="11"/>
    </row>
    <row r="111" spans="2:13" x14ac:dyDescent="0.25">
      <c r="B111" s="340"/>
      <c r="C111" s="15"/>
      <c r="D111" s="15"/>
      <c r="E111" s="15"/>
      <c r="F111" s="15"/>
      <c r="G111" s="15"/>
      <c r="H111" s="11"/>
      <c r="I111" s="11"/>
      <c r="J111" s="11"/>
      <c r="K111" s="11"/>
      <c r="L111" s="11"/>
    </row>
    <row r="112" spans="2:13" x14ac:dyDescent="0.25">
      <c r="B112" s="340"/>
      <c r="C112" s="15"/>
      <c r="D112" s="15"/>
      <c r="E112" s="15"/>
      <c r="F112" s="15"/>
      <c r="G112" s="15"/>
      <c r="H112" s="11"/>
      <c r="I112" s="11"/>
      <c r="J112" s="11"/>
      <c r="K112" s="11"/>
      <c r="L112" s="11"/>
    </row>
    <row r="113" spans="2:22" x14ac:dyDescent="0.25">
      <c r="B113" s="340"/>
      <c r="C113" s="15"/>
      <c r="D113" s="15"/>
      <c r="E113" s="15"/>
      <c r="F113" s="15"/>
      <c r="G113" s="15"/>
      <c r="H113" s="11"/>
      <c r="I113" s="11"/>
      <c r="J113" s="11"/>
      <c r="K113" s="11"/>
      <c r="L113" s="11"/>
    </row>
    <row r="114" spans="2:22" x14ac:dyDescent="0.25">
      <c r="B114" s="11"/>
      <c r="C114" s="11"/>
      <c r="D114" s="11"/>
      <c r="E114" s="11"/>
      <c r="F114" s="11"/>
      <c r="G114" s="11"/>
      <c r="H114" s="11"/>
      <c r="I114" s="11"/>
      <c r="J114" s="11"/>
      <c r="K114" s="11"/>
      <c r="L114" s="11"/>
    </row>
    <row r="115" spans="2:22" x14ac:dyDescent="0.25">
      <c r="B115" s="11"/>
      <c r="C115" s="11"/>
      <c r="D115" s="11"/>
      <c r="E115" s="11"/>
      <c r="F115" s="11"/>
      <c r="G115" s="11"/>
      <c r="H115" s="11"/>
      <c r="I115" s="11"/>
      <c r="J115" s="11"/>
      <c r="K115" s="11"/>
      <c r="L115" s="11"/>
    </row>
    <row r="122" spans="2:22" hidden="1" x14ac:dyDescent="0.25"/>
    <row r="123" spans="2:22" s="16" customFormat="1" hidden="1" x14ac:dyDescent="0.25"/>
    <row r="124" spans="2:22" s="16" customFormat="1" hidden="1" x14ac:dyDescent="0.25">
      <c r="C124" s="15" t="s">
        <v>165</v>
      </c>
      <c r="D124" s="15"/>
      <c r="E124" s="154"/>
      <c r="F124" s="154">
        <v>6.1150000000000002</v>
      </c>
      <c r="G124" s="154">
        <v>14</v>
      </c>
      <c r="H124" s="154"/>
      <c r="I124" s="154"/>
      <c r="J124" s="154"/>
      <c r="K124" s="154"/>
      <c r="L124" s="154"/>
      <c r="M124" s="154"/>
      <c r="N124" s="154"/>
      <c r="O124" s="154"/>
      <c r="P124" s="154"/>
      <c r="Q124" s="154"/>
      <c r="R124" s="154"/>
      <c r="S124" s="154"/>
      <c r="T124" s="154"/>
      <c r="U124" s="154"/>
      <c r="V124" s="154"/>
    </row>
    <row r="125" spans="2:22" s="16" customFormat="1" hidden="1" x14ac:dyDescent="0.25">
      <c r="C125" s="15" t="s">
        <v>116</v>
      </c>
      <c r="D125" s="15"/>
      <c r="E125" s="154"/>
      <c r="F125" s="154"/>
      <c r="G125" s="154"/>
      <c r="H125" s="154">
        <v>6.65</v>
      </c>
      <c r="I125" s="154">
        <v>8</v>
      </c>
      <c r="J125" s="154">
        <v>1.5</v>
      </c>
      <c r="K125" s="154">
        <v>0.2</v>
      </c>
      <c r="L125" s="154"/>
      <c r="M125" s="154">
        <v>6.4999999999999994E-5</v>
      </c>
      <c r="N125" s="154">
        <v>6.4999999999999994E-5</v>
      </c>
      <c r="O125" s="154">
        <v>1.25E-4</v>
      </c>
      <c r="P125" s="154">
        <v>1.4E-5</v>
      </c>
      <c r="Q125" s="154">
        <v>7.9999999999999996E-6</v>
      </c>
      <c r="R125" s="154"/>
      <c r="S125" s="154">
        <v>54</v>
      </c>
      <c r="T125" s="154"/>
      <c r="U125" s="154"/>
      <c r="V125" s="154"/>
    </row>
    <row r="126" spans="2:22" s="16" customFormat="1" hidden="1" x14ac:dyDescent="0.25">
      <c r="C126" s="155" t="s">
        <v>162</v>
      </c>
      <c r="D126" s="155"/>
      <c r="E126" s="156"/>
      <c r="F126" s="156">
        <v>12.67</v>
      </c>
      <c r="G126" s="156">
        <v>29</v>
      </c>
      <c r="H126" s="156"/>
      <c r="I126" s="156"/>
      <c r="J126" s="156"/>
      <c r="K126" s="156"/>
      <c r="L126" s="156"/>
      <c r="M126" s="156"/>
      <c r="N126" s="156"/>
      <c r="O126" s="156"/>
      <c r="P126" s="156"/>
      <c r="Q126" s="156"/>
      <c r="R126" s="156"/>
      <c r="S126" s="156"/>
      <c r="T126" s="156"/>
      <c r="U126" s="156"/>
      <c r="V126" s="156"/>
    </row>
    <row r="127" spans="2:22" s="16" customFormat="1" hidden="1" x14ac:dyDescent="0.25">
      <c r="C127" s="15" t="s">
        <v>163</v>
      </c>
      <c r="D127" s="15"/>
      <c r="E127" s="154"/>
      <c r="F127" s="154">
        <v>13.11</v>
      </c>
      <c r="G127" s="154">
        <v>30</v>
      </c>
      <c r="H127" s="154"/>
      <c r="I127" s="154"/>
      <c r="J127" s="154"/>
      <c r="K127" s="154"/>
      <c r="L127" s="154"/>
      <c r="M127" s="154"/>
      <c r="N127" s="154"/>
      <c r="O127" s="154"/>
      <c r="P127" s="154"/>
      <c r="Q127" s="154"/>
      <c r="R127" s="154"/>
      <c r="S127" s="154"/>
      <c r="T127" s="154"/>
      <c r="U127" s="154"/>
      <c r="V127" s="154"/>
    </row>
    <row r="128" spans="2:22" s="16" customFormat="1" hidden="1" x14ac:dyDescent="0.25">
      <c r="C128" s="155" t="s">
        <v>164</v>
      </c>
      <c r="D128" s="155"/>
      <c r="E128" s="156"/>
      <c r="F128" s="156">
        <v>11.8</v>
      </c>
      <c r="G128" s="156">
        <v>27</v>
      </c>
      <c r="H128" s="156"/>
      <c r="I128" s="156"/>
      <c r="J128" s="156"/>
      <c r="K128" s="156"/>
      <c r="L128" s="156"/>
      <c r="M128" s="156"/>
      <c r="N128" s="156"/>
      <c r="O128" s="156"/>
      <c r="P128" s="156"/>
      <c r="Q128" s="156"/>
      <c r="R128" s="156"/>
      <c r="S128" s="156"/>
      <c r="T128" s="156"/>
      <c r="U128" s="156"/>
      <c r="V128" s="156"/>
    </row>
    <row r="129" spans="3:22" s="16" customFormat="1" hidden="1" x14ac:dyDescent="0.25">
      <c r="C129" s="155" t="s">
        <v>281</v>
      </c>
      <c r="D129" s="155"/>
      <c r="E129" s="156"/>
      <c r="F129" s="156"/>
      <c r="G129" s="156"/>
      <c r="H129" s="156">
        <v>18.27</v>
      </c>
      <c r="I129" s="156">
        <v>22</v>
      </c>
      <c r="J129" s="156"/>
      <c r="K129" s="156">
        <v>11</v>
      </c>
      <c r="L129" s="156">
        <v>22</v>
      </c>
      <c r="M129" s="156"/>
      <c r="N129" s="156"/>
      <c r="O129" s="156"/>
      <c r="P129" s="156"/>
      <c r="Q129" s="156"/>
      <c r="R129" s="156"/>
      <c r="S129" s="156"/>
      <c r="T129" s="156"/>
      <c r="U129" s="156"/>
      <c r="V129" s="156"/>
    </row>
    <row r="130" spans="3:22" s="16" customFormat="1" hidden="1" x14ac:dyDescent="0.25">
      <c r="C130" s="155" t="s">
        <v>159</v>
      </c>
      <c r="D130" s="155"/>
      <c r="E130" s="156"/>
      <c r="F130" s="156">
        <v>6.1150000000000002</v>
      </c>
      <c r="G130" s="156">
        <v>14</v>
      </c>
      <c r="H130" s="156"/>
      <c r="I130" s="156"/>
      <c r="J130" s="156">
        <v>12</v>
      </c>
      <c r="K130" s="156"/>
      <c r="L130" s="156"/>
      <c r="M130" s="156"/>
      <c r="N130" s="156"/>
      <c r="O130" s="156"/>
      <c r="P130" s="156"/>
      <c r="Q130" s="156"/>
      <c r="R130" s="156"/>
      <c r="S130" s="156"/>
      <c r="T130" s="156"/>
      <c r="U130" s="156"/>
      <c r="V130" s="156"/>
    </row>
    <row r="131" spans="3:22" s="16" customFormat="1" hidden="1" x14ac:dyDescent="0.25">
      <c r="C131" s="15"/>
      <c r="D131" s="15"/>
      <c r="E131" s="154"/>
      <c r="F131" s="154"/>
      <c r="G131" s="154"/>
      <c r="H131" s="154"/>
      <c r="I131" s="154"/>
      <c r="J131" s="154"/>
      <c r="K131" s="154"/>
      <c r="L131" s="154"/>
      <c r="M131" s="154"/>
      <c r="N131" s="154"/>
      <c r="O131" s="154"/>
      <c r="P131" s="154"/>
      <c r="Q131" s="154"/>
      <c r="R131" s="154"/>
      <c r="S131" s="154"/>
      <c r="T131" s="154"/>
      <c r="U131" s="154"/>
      <c r="V131" s="154"/>
    </row>
    <row r="132" spans="3:22" s="16" customFormat="1" hidden="1" x14ac:dyDescent="0.25">
      <c r="C132" s="155"/>
      <c r="D132" s="155"/>
      <c r="E132" s="156"/>
      <c r="F132" s="156"/>
      <c r="G132" s="156"/>
      <c r="H132" s="156"/>
      <c r="I132" s="156"/>
      <c r="J132" s="156"/>
      <c r="K132" s="156"/>
      <c r="L132" s="156"/>
      <c r="M132" s="156"/>
      <c r="N132" s="156"/>
      <c r="O132" s="156"/>
      <c r="P132" s="156"/>
      <c r="Q132" s="156"/>
      <c r="R132" s="156"/>
      <c r="S132" s="156"/>
      <c r="T132" s="156"/>
      <c r="U132" s="156"/>
      <c r="V132" s="156"/>
    </row>
    <row r="133" spans="3:22" s="16" customFormat="1" hidden="1" x14ac:dyDescent="0.25">
      <c r="C133" s="15"/>
      <c r="D133" s="15"/>
      <c r="E133" s="154"/>
      <c r="F133" s="154"/>
      <c r="G133" s="154"/>
      <c r="H133" s="154"/>
      <c r="I133" s="154"/>
      <c r="J133" s="154"/>
      <c r="K133" s="154"/>
      <c r="L133" s="154"/>
      <c r="M133" s="154"/>
      <c r="N133" s="154"/>
      <c r="O133" s="154"/>
      <c r="P133" s="154"/>
      <c r="Q133" s="154"/>
      <c r="R133" s="154"/>
      <c r="S133" s="154"/>
      <c r="T133" s="154"/>
      <c r="U133" s="154"/>
      <c r="V133" s="154"/>
    </row>
    <row r="134" spans="3:22" s="16" customFormat="1" hidden="1" x14ac:dyDescent="0.25">
      <c r="C134" s="17"/>
      <c r="D134" s="17"/>
      <c r="E134" s="17"/>
      <c r="F134" s="17"/>
      <c r="G134" s="17"/>
      <c r="H134" s="17"/>
      <c r="I134" s="17"/>
      <c r="J134" s="17"/>
      <c r="K134" s="17"/>
      <c r="L134" s="17"/>
      <c r="M134" s="17"/>
      <c r="N134" s="17"/>
      <c r="O134" s="17"/>
      <c r="P134" s="17"/>
      <c r="Q134" s="17"/>
      <c r="R134" s="17"/>
      <c r="S134" s="17"/>
      <c r="T134" s="17"/>
      <c r="U134" s="17"/>
      <c r="V134" s="17"/>
    </row>
    <row r="135" spans="3:22" s="16" customFormat="1" hidden="1" x14ac:dyDescent="0.25"/>
    <row r="136" spans="3:22" s="16" customFormat="1" hidden="1" x14ac:dyDescent="0.25"/>
    <row r="137" spans="3:22" s="16" customFormat="1" x14ac:dyDescent="0.25">
      <c r="C137" s="161"/>
      <c r="D137" s="161"/>
      <c r="E137" s="162"/>
      <c r="F137" s="162"/>
      <c r="G137" s="162"/>
      <c r="H137" s="162"/>
      <c r="I137" s="162"/>
      <c r="J137" s="162"/>
      <c r="K137" s="162"/>
      <c r="L137" s="162"/>
      <c r="M137" s="162"/>
      <c r="N137" s="162"/>
      <c r="O137" s="162"/>
      <c r="P137" s="162"/>
      <c r="Q137" s="162"/>
      <c r="R137" s="162"/>
      <c r="S137" s="162"/>
      <c r="T137" s="162"/>
      <c r="U137" s="162"/>
      <c r="V137" s="162"/>
    </row>
    <row r="138" spans="3:22" s="16" customFormat="1" x14ac:dyDescent="0.25"/>
    <row r="139" spans="3:22" s="16" customFormat="1" x14ac:dyDescent="0.25"/>
    <row r="140" spans="3:22" s="16" customFormat="1" x14ac:dyDescent="0.25">
      <c r="C140" s="161"/>
      <c r="D140" s="161"/>
      <c r="E140" s="162"/>
      <c r="F140" s="162"/>
      <c r="G140" s="162"/>
      <c r="H140" s="162"/>
      <c r="I140" s="162"/>
      <c r="J140" s="162"/>
      <c r="K140" s="162"/>
      <c r="L140" s="162"/>
      <c r="M140" s="162"/>
      <c r="N140" s="162"/>
      <c r="O140" s="162"/>
      <c r="P140" s="162"/>
      <c r="Q140" s="162"/>
      <c r="R140" s="162"/>
      <c r="S140" s="162"/>
      <c r="T140" s="162"/>
      <c r="U140" s="162"/>
      <c r="V140" s="162"/>
    </row>
    <row r="141" spans="3:22" s="16" customFormat="1" x14ac:dyDescent="0.25"/>
    <row r="142" spans="3:22" s="16" customFormat="1" x14ac:dyDescent="0.25"/>
    <row r="143" spans="3:22" s="16" customFormat="1" x14ac:dyDescent="0.25"/>
    <row r="144" spans="3:22" s="16" customFormat="1" x14ac:dyDescent="0.25"/>
    <row r="145" s="16" customFormat="1" x14ac:dyDescent="0.25"/>
  </sheetData>
  <sheetProtection selectLockedCells="1"/>
  <autoFilter ref="C123:V123">
    <sortState ref="C124:V130">
      <sortCondition ref="C123"/>
    </sortState>
  </autoFilter>
  <mergeCells count="21">
    <mergeCell ref="X3:Y3"/>
    <mergeCell ref="B102:B103"/>
    <mergeCell ref="C102:C103"/>
    <mergeCell ref="D102:D103"/>
    <mergeCell ref="E102:G102"/>
    <mergeCell ref="B104:B113"/>
    <mergeCell ref="B1:B2"/>
    <mergeCell ref="C1:C2"/>
    <mergeCell ref="D1:D2"/>
    <mergeCell ref="E1:V1"/>
    <mergeCell ref="B3:B17"/>
    <mergeCell ref="B18:B33"/>
    <mergeCell ref="B34:B53"/>
    <mergeCell ref="B54:B62"/>
    <mergeCell ref="B85:B86"/>
    <mergeCell ref="C85:C86"/>
    <mergeCell ref="D85:D86"/>
    <mergeCell ref="E85:H85"/>
    <mergeCell ref="B87:B99"/>
    <mergeCell ref="B63:B72"/>
    <mergeCell ref="B73:B82"/>
  </mergeCells>
  <hyperlinks>
    <hyperlink ref="X3" location="Apresentação!A1" display="Voltar"/>
    <hyperlink ref="X3:Y3" location="Painel!A1" display="Voltar"/>
  </hyperlink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8:Q124"/>
  <sheetViews>
    <sheetView zoomScale="55" zoomScaleNormal="55" workbookViewId="0">
      <selection activeCell="L52" sqref="L52"/>
    </sheetView>
  </sheetViews>
  <sheetFormatPr defaultRowHeight="20.25" customHeight="1" x14ac:dyDescent="0.25"/>
  <cols>
    <col min="1" max="1" width="2.42578125" style="11" customWidth="1"/>
    <col min="2" max="2" width="37.28515625" style="11" customWidth="1"/>
    <col min="3" max="3" width="29.5703125" style="11" customWidth="1"/>
    <col min="4" max="9" width="16.7109375" style="11" customWidth="1"/>
    <col min="10" max="16384" width="9.140625" style="11"/>
  </cols>
  <sheetData>
    <row r="8" spans="1:11" ht="20.25" customHeight="1" thickBot="1" x14ac:dyDescent="0.3"/>
    <row r="9" spans="1:11" ht="20.25" customHeight="1" thickBot="1" x14ac:dyDescent="0.3">
      <c r="A9" s="18"/>
      <c r="B9" s="348" t="s">
        <v>119</v>
      </c>
      <c r="C9" s="349"/>
      <c r="D9" s="349"/>
      <c r="E9" s="349"/>
      <c r="F9" s="349"/>
      <c r="G9" s="349"/>
      <c r="H9" s="349"/>
      <c r="I9" s="350"/>
      <c r="J9" s="351" t="s">
        <v>311</v>
      </c>
      <c r="K9" s="351"/>
    </row>
    <row r="11" spans="1:11" ht="20.25" customHeight="1" x14ac:dyDescent="0.25">
      <c r="B11" s="19" t="s">
        <v>120</v>
      </c>
      <c r="C11" s="353"/>
      <c r="D11" s="353"/>
      <c r="E11" s="353"/>
      <c r="F11" s="353"/>
      <c r="G11" s="353"/>
      <c r="H11" s="353"/>
      <c r="I11" s="354"/>
    </row>
    <row r="12" spans="1:11" ht="20.25" customHeight="1" x14ac:dyDescent="0.25">
      <c r="B12" s="20" t="s">
        <v>121</v>
      </c>
      <c r="C12" s="352"/>
      <c r="D12" s="353"/>
      <c r="E12" s="353"/>
      <c r="F12" s="353"/>
      <c r="G12" s="353"/>
      <c r="H12" s="353"/>
      <c r="I12" s="354"/>
    </row>
    <row r="13" spans="1:11" ht="20.25" customHeight="1" x14ac:dyDescent="0.25">
      <c r="B13" s="20" t="s">
        <v>122</v>
      </c>
      <c r="C13" s="352"/>
      <c r="D13" s="353"/>
      <c r="E13" s="353"/>
      <c r="F13" s="353"/>
      <c r="G13" s="353"/>
      <c r="H13" s="353"/>
      <c r="I13" s="354"/>
    </row>
    <row r="14" spans="1:11" ht="20.25" customHeight="1" x14ac:dyDescent="0.25">
      <c r="B14" s="20" t="s">
        <v>123</v>
      </c>
      <c r="C14" s="352"/>
      <c r="D14" s="353"/>
      <c r="E14" s="353"/>
      <c r="F14" s="353"/>
      <c r="G14" s="354"/>
      <c r="H14" s="21" t="s">
        <v>124</v>
      </c>
      <c r="I14" s="22">
        <f ca="1">TODAY()</f>
        <v>44057</v>
      </c>
    </row>
    <row r="15" spans="1:11" ht="20.25" customHeight="1" thickBot="1" x14ac:dyDescent="0.3"/>
    <row r="16" spans="1:11" ht="20.25" customHeight="1" thickBot="1" x14ac:dyDescent="0.3">
      <c r="B16" s="355" t="s">
        <v>432</v>
      </c>
      <c r="C16" s="356"/>
      <c r="D16" s="356"/>
      <c r="E16" s="356"/>
      <c r="F16" s="356"/>
      <c r="G16" s="356"/>
      <c r="H16" s="356"/>
      <c r="I16" s="357"/>
    </row>
    <row r="17" spans="2:17" ht="20.25" customHeight="1" x14ac:dyDescent="0.25">
      <c r="B17" s="358" t="s">
        <v>532</v>
      </c>
      <c r="C17" s="358"/>
      <c r="D17" s="358"/>
      <c r="E17" s="358"/>
      <c r="F17" s="358"/>
      <c r="G17" s="358"/>
      <c r="H17" s="358"/>
      <c r="I17" s="358"/>
    </row>
    <row r="18" spans="2:17" ht="20.25" customHeight="1" x14ac:dyDescent="0.25">
      <c r="B18" s="359"/>
      <c r="C18" s="359"/>
      <c r="D18" s="359"/>
      <c r="E18" s="359"/>
      <c r="F18" s="359"/>
      <c r="G18" s="359"/>
      <c r="H18" s="359"/>
      <c r="I18" s="359"/>
    </row>
    <row r="19" spans="2:17" ht="20.25" customHeight="1" x14ac:dyDescent="0.25">
      <c r="B19" s="359"/>
      <c r="C19" s="359"/>
      <c r="D19" s="359"/>
      <c r="E19" s="359"/>
      <c r="F19" s="359"/>
      <c r="G19" s="359"/>
      <c r="H19" s="359"/>
      <c r="I19" s="359"/>
    </row>
    <row r="20" spans="2:17" ht="20.25" customHeight="1" x14ac:dyDescent="0.25">
      <c r="B20" s="359"/>
      <c r="C20" s="359"/>
      <c r="D20" s="359"/>
      <c r="E20" s="359"/>
      <c r="F20" s="359"/>
      <c r="G20" s="359"/>
      <c r="H20" s="359"/>
      <c r="I20" s="359"/>
    </row>
    <row r="21" spans="2:17" ht="20.25" customHeight="1" x14ac:dyDescent="0.25">
      <c r="B21" s="359"/>
      <c r="C21" s="359"/>
      <c r="D21" s="359"/>
      <c r="E21" s="359"/>
      <c r="F21" s="359"/>
      <c r="G21" s="359"/>
      <c r="H21" s="359"/>
      <c r="I21" s="359"/>
      <c r="Q21" s="23"/>
    </row>
    <row r="22" spans="2:17" ht="20.25" customHeight="1" x14ac:dyDescent="0.25">
      <c r="B22" s="359"/>
      <c r="C22" s="359"/>
      <c r="D22" s="359"/>
      <c r="E22" s="359"/>
      <c r="F22" s="359"/>
      <c r="G22" s="359"/>
      <c r="H22" s="359"/>
      <c r="I22" s="359"/>
    </row>
    <row r="23" spans="2:17" ht="20.25" customHeight="1" x14ac:dyDescent="0.25">
      <c r="B23" s="359"/>
      <c r="C23" s="359"/>
      <c r="D23" s="359"/>
      <c r="E23" s="359"/>
      <c r="F23" s="359"/>
      <c r="G23" s="359"/>
      <c r="H23" s="359"/>
      <c r="I23" s="359"/>
    </row>
    <row r="24" spans="2:17" ht="20.25" customHeight="1" x14ac:dyDescent="0.25">
      <c r="B24" s="359"/>
      <c r="C24" s="359"/>
      <c r="D24" s="359"/>
      <c r="E24" s="359"/>
      <c r="F24" s="359"/>
      <c r="G24" s="359"/>
      <c r="H24" s="359"/>
      <c r="I24" s="359"/>
    </row>
    <row r="25" spans="2:17" ht="20.25" customHeight="1" x14ac:dyDescent="0.25">
      <c r="B25" s="359"/>
      <c r="C25" s="359"/>
      <c r="D25" s="359"/>
      <c r="E25" s="359"/>
      <c r="F25" s="359"/>
      <c r="G25" s="359"/>
      <c r="H25" s="359"/>
      <c r="I25" s="359"/>
    </row>
    <row r="26" spans="2:17" ht="20.25" customHeight="1" x14ac:dyDescent="0.25">
      <c r="B26" s="359"/>
      <c r="C26" s="359"/>
      <c r="D26" s="359"/>
      <c r="E26" s="359"/>
      <c r="F26" s="359"/>
      <c r="G26" s="359"/>
      <c r="H26" s="359"/>
      <c r="I26" s="359"/>
    </row>
    <row r="27" spans="2:17" ht="20.25" customHeight="1" x14ac:dyDescent="0.25">
      <c r="B27" s="359"/>
      <c r="C27" s="359"/>
      <c r="D27" s="359"/>
      <c r="E27" s="359"/>
      <c r="F27" s="359"/>
      <c r="G27" s="359"/>
      <c r="H27" s="359"/>
      <c r="I27" s="359"/>
    </row>
    <row r="28" spans="2:17" ht="20.25" customHeight="1" x14ac:dyDescent="0.25">
      <c r="B28" s="359"/>
      <c r="C28" s="359"/>
      <c r="D28" s="359"/>
      <c r="E28" s="359"/>
      <c r="F28" s="359"/>
      <c r="G28" s="359"/>
      <c r="H28" s="359"/>
      <c r="I28" s="359"/>
    </row>
    <row r="29" spans="2:17" ht="20.25" customHeight="1" x14ac:dyDescent="0.25">
      <c r="B29" s="359"/>
      <c r="C29" s="359"/>
      <c r="D29" s="359"/>
      <c r="E29" s="359"/>
      <c r="F29" s="359"/>
      <c r="G29" s="359"/>
      <c r="H29" s="359"/>
      <c r="I29" s="359"/>
    </row>
    <row r="30" spans="2:17" ht="20.25" customHeight="1" x14ac:dyDescent="0.25">
      <c r="B30" s="359"/>
      <c r="C30" s="359"/>
      <c r="D30" s="359"/>
      <c r="E30" s="359"/>
      <c r="F30" s="359"/>
      <c r="G30" s="359"/>
      <c r="H30" s="359"/>
      <c r="I30" s="359"/>
    </row>
    <row r="31" spans="2:17" ht="20.25" customHeight="1" x14ac:dyDescent="0.25">
      <c r="B31" s="359"/>
      <c r="C31" s="359"/>
      <c r="D31" s="359"/>
      <c r="E31" s="359"/>
      <c r="F31" s="359"/>
      <c r="G31" s="359"/>
      <c r="H31" s="359"/>
      <c r="I31" s="359"/>
    </row>
    <row r="32" spans="2:17" ht="20.25" customHeight="1" x14ac:dyDescent="0.25">
      <c r="B32" s="359"/>
      <c r="C32" s="359"/>
      <c r="D32" s="359"/>
      <c r="E32" s="359"/>
      <c r="F32" s="359"/>
      <c r="G32" s="359"/>
      <c r="H32" s="359"/>
      <c r="I32" s="359"/>
    </row>
    <row r="33" spans="2:10" ht="20.25" customHeight="1" x14ac:dyDescent="0.25">
      <c r="B33" s="359"/>
      <c r="C33" s="359"/>
      <c r="D33" s="359"/>
      <c r="E33" s="359"/>
      <c r="F33" s="359"/>
      <c r="G33" s="359"/>
      <c r="H33" s="359"/>
      <c r="I33" s="359"/>
    </row>
    <row r="34" spans="2:10" ht="20.25" customHeight="1" x14ac:dyDescent="0.25">
      <c r="B34" s="359"/>
      <c r="C34" s="359"/>
      <c r="D34" s="359"/>
      <c r="E34" s="359"/>
      <c r="F34" s="359"/>
      <c r="G34" s="359"/>
      <c r="H34" s="359"/>
      <c r="I34" s="359"/>
    </row>
    <row r="35" spans="2:10" ht="20.25" customHeight="1" x14ac:dyDescent="0.25">
      <c r="B35" s="359"/>
      <c r="C35" s="359"/>
      <c r="D35" s="359"/>
      <c r="E35" s="359"/>
      <c r="F35" s="359"/>
      <c r="G35" s="359"/>
      <c r="H35" s="359"/>
      <c r="I35" s="359"/>
    </row>
    <row r="36" spans="2:10" ht="20.25" customHeight="1" x14ac:dyDescent="0.25">
      <c r="B36" s="359"/>
      <c r="C36" s="359"/>
      <c r="D36" s="359"/>
      <c r="E36" s="359"/>
      <c r="F36" s="359"/>
      <c r="G36" s="359"/>
      <c r="H36" s="359"/>
      <c r="I36" s="359"/>
    </row>
    <row r="37" spans="2:10" ht="20.25" customHeight="1" x14ac:dyDescent="0.25">
      <c r="B37" s="359"/>
      <c r="C37" s="359"/>
      <c r="D37" s="359"/>
      <c r="E37" s="359"/>
      <c r="F37" s="359"/>
      <c r="G37" s="359"/>
      <c r="H37" s="359"/>
      <c r="I37" s="359"/>
    </row>
    <row r="38" spans="2:10" ht="20.25" customHeight="1" x14ac:dyDescent="0.25">
      <c r="B38" s="359"/>
      <c r="C38" s="359"/>
      <c r="D38" s="359"/>
      <c r="E38" s="359"/>
      <c r="F38" s="359"/>
      <c r="G38" s="359"/>
      <c r="H38" s="359"/>
      <c r="I38" s="359"/>
    </row>
    <row r="39" spans="2:10" ht="20.25" customHeight="1" x14ac:dyDescent="0.25">
      <c r="B39" s="359"/>
      <c r="C39" s="359"/>
      <c r="D39" s="359"/>
      <c r="E39" s="359"/>
      <c r="F39" s="359"/>
      <c r="G39" s="359"/>
      <c r="H39" s="359"/>
      <c r="I39" s="359"/>
    </row>
    <row r="40" spans="2:10" ht="20.25" customHeight="1" x14ac:dyDescent="0.25">
      <c r="B40" s="359"/>
      <c r="C40" s="359"/>
      <c r="D40" s="359"/>
      <c r="E40" s="359"/>
      <c r="F40" s="359"/>
      <c r="G40" s="359"/>
      <c r="H40" s="359"/>
      <c r="I40" s="359"/>
    </row>
    <row r="41" spans="2:10" ht="20.25" customHeight="1" x14ac:dyDescent="0.25">
      <c r="B41" s="359"/>
      <c r="C41" s="359"/>
      <c r="D41" s="359"/>
      <c r="E41" s="359"/>
      <c r="F41" s="359"/>
      <c r="G41" s="359"/>
      <c r="H41" s="359"/>
      <c r="I41" s="359"/>
      <c r="J41" s="24"/>
    </row>
    <row r="42" spans="2:10" ht="20.25" customHeight="1" x14ac:dyDescent="0.25">
      <c r="B42" s="359"/>
      <c r="C42" s="359"/>
      <c r="D42" s="359"/>
      <c r="E42" s="359"/>
      <c r="F42" s="359"/>
      <c r="G42" s="359"/>
      <c r="H42" s="359"/>
      <c r="I42" s="359"/>
    </row>
    <row r="43" spans="2:10" ht="20.25" customHeight="1" x14ac:dyDescent="0.25">
      <c r="B43" s="359"/>
      <c r="C43" s="359"/>
      <c r="D43" s="359"/>
      <c r="E43" s="359"/>
      <c r="F43" s="359"/>
      <c r="G43" s="359"/>
      <c r="H43" s="359"/>
      <c r="I43" s="359"/>
    </row>
    <row r="44" spans="2:10" ht="20.25" customHeight="1" x14ac:dyDescent="0.25">
      <c r="B44" s="359"/>
      <c r="C44" s="359"/>
      <c r="D44" s="359"/>
      <c r="E44" s="359"/>
      <c r="F44" s="359"/>
      <c r="G44" s="359"/>
      <c r="H44" s="359"/>
      <c r="I44" s="359"/>
    </row>
    <row r="45" spans="2:10" ht="20.25" customHeight="1" x14ac:dyDescent="0.25">
      <c r="B45" s="359"/>
      <c r="C45" s="359"/>
      <c r="D45" s="359"/>
      <c r="E45" s="359"/>
      <c r="F45" s="359"/>
      <c r="G45" s="359"/>
      <c r="H45" s="359"/>
      <c r="I45" s="359"/>
    </row>
    <row r="46" spans="2:10" ht="20.25" customHeight="1" x14ac:dyDescent="0.25">
      <c r="B46" s="359"/>
      <c r="C46" s="359"/>
      <c r="D46" s="359"/>
      <c r="E46" s="359"/>
      <c r="F46" s="359"/>
      <c r="G46" s="359"/>
      <c r="H46" s="359"/>
      <c r="I46" s="359"/>
    </row>
    <row r="47" spans="2:10" ht="20.25" customHeight="1" x14ac:dyDescent="0.25">
      <c r="B47" s="359"/>
      <c r="C47" s="359"/>
      <c r="D47" s="359"/>
      <c r="E47" s="359"/>
      <c r="F47" s="359"/>
      <c r="G47" s="359"/>
      <c r="H47" s="359"/>
      <c r="I47" s="359"/>
    </row>
    <row r="48" spans="2:10" ht="20.25" customHeight="1" x14ac:dyDescent="0.25">
      <c r="B48" s="359"/>
      <c r="C48" s="359"/>
      <c r="D48" s="359"/>
      <c r="E48" s="359"/>
      <c r="F48" s="359"/>
      <c r="G48" s="359"/>
      <c r="H48" s="359"/>
      <c r="I48" s="359"/>
    </row>
    <row r="49" spans="2:9" ht="20.25" customHeight="1" x14ac:dyDescent="0.25">
      <c r="B49" s="359"/>
      <c r="C49" s="359"/>
      <c r="D49" s="359"/>
      <c r="E49" s="359"/>
      <c r="F49" s="359"/>
      <c r="G49" s="359"/>
      <c r="H49" s="359"/>
      <c r="I49" s="359"/>
    </row>
    <row r="50" spans="2:9" ht="20.25" customHeight="1" x14ac:dyDescent="0.25">
      <c r="B50" s="359"/>
      <c r="C50" s="359"/>
      <c r="D50" s="359"/>
      <c r="E50" s="359"/>
      <c r="F50" s="359"/>
      <c r="G50" s="359"/>
      <c r="H50" s="359"/>
      <c r="I50" s="359"/>
    </row>
    <row r="51" spans="2:9" ht="20.25" customHeight="1" x14ac:dyDescent="0.25">
      <c r="B51" s="359"/>
      <c r="C51" s="359"/>
      <c r="D51" s="359"/>
      <c r="E51" s="359"/>
      <c r="F51" s="359"/>
      <c r="G51" s="359"/>
      <c r="H51" s="359"/>
      <c r="I51" s="359"/>
    </row>
    <row r="52" spans="2:9" ht="20.25" customHeight="1" x14ac:dyDescent="0.25">
      <c r="B52" s="359"/>
      <c r="C52" s="359"/>
      <c r="D52" s="359"/>
      <c r="E52" s="359"/>
      <c r="F52" s="359"/>
      <c r="G52" s="359"/>
      <c r="H52" s="359"/>
      <c r="I52" s="359"/>
    </row>
    <row r="53" spans="2:9" ht="20.25" customHeight="1" x14ac:dyDescent="0.25">
      <c r="B53" s="359"/>
      <c r="C53" s="359"/>
      <c r="D53" s="359"/>
      <c r="E53" s="359"/>
      <c r="F53" s="359"/>
      <c r="G53" s="359"/>
      <c r="H53" s="359"/>
      <c r="I53" s="359"/>
    </row>
    <row r="54" spans="2:9" ht="20.25" customHeight="1" x14ac:dyDescent="0.25">
      <c r="B54" s="359"/>
      <c r="C54" s="359"/>
      <c r="D54" s="359"/>
      <c r="E54" s="359"/>
      <c r="F54" s="359"/>
      <c r="G54" s="359"/>
      <c r="H54" s="359"/>
      <c r="I54" s="359"/>
    </row>
    <row r="55" spans="2:9" ht="20.25" customHeight="1" x14ac:dyDescent="0.25">
      <c r="B55" s="359"/>
      <c r="C55" s="359"/>
      <c r="D55" s="359"/>
      <c r="E55" s="359"/>
      <c r="F55" s="359"/>
      <c r="G55" s="359"/>
      <c r="H55" s="359"/>
      <c r="I55" s="359"/>
    </row>
    <row r="56" spans="2:9" ht="20.25" customHeight="1" x14ac:dyDescent="0.25">
      <c r="B56" s="359"/>
      <c r="C56" s="359"/>
      <c r="D56" s="359"/>
      <c r="E56" s="359"/>
      <c r="F56" s="359"/>
      <c r="G56" s="359"/>
      <c r="H56" s="359"/>
      <c r="I56" s="359"/>
    </row>
    <row r="57" spans="2:9" ht="20.25" customHeight="1" x14ac:dyDescent="0.25">
      <c r="B57" s="359"/>
      <c r="C57" s="359"/>
      <c r="D57" s="359"/>
      <c r="E57" s="359"/>
      <c r="F57" s="359"/>
      <c r="G57" s="359"/>
      <c r="H57" s="359"/>
      <c r="I57" s="359"/>
    </row>
    <row r="58" spans="2:9" ht="20.25" customHeight="1" x14ac:dyDescent="0.25">
      <c r="B58" s="359"/>
      <c r="C58" s="359"/>
      <c r="D58" s="359"/>
      <c r="E58" s="359"/>
      <c r="F58" s="359"/>
      <c r="G58" s="359"/>
      <c r="H58" s="359"/>
      <c r="I58" s="359"/>
    </row>
    <row r="59" spans="2:9" ht="20.25" customHeight="1" x14ac:dyDescent="0.25">
      <c r="B59" s="359"/>
      <c r="C59" s="359"/>
      <c r="D59" s="359"/>
      <c r="E59" s="359"/>
      <c r="F59" s="359"/>
      <c r="G59" s="359"/>
      <c r="H59" s="359"/>
      <c r="I59" s="359"/>
    </row>
    <row r="60" spans="2:9" ht="20.25" customHeight="1" x14ac:dyDescent="0.25">
      <c r="B60" s="359"/>
      <c r="C60" s="359"/>
      <c r="D60" s="359"/>
      <c r="E60" s="359"/>
      <c r="F60" s="359"/>
      <c r="G60" s="359"/>
      <c r="H60" s="359"/>
      <c r="I60" s="359"/>
    </row>
    <row r="61" spans="2:9" ht="20.25" customHeight="1" x14ac:dyDescent="0.25">
      <c r="B61" s="359"/>
      <c r="C61" s="359"/>
      <c r="D61" s="359"/>
      <c r="E61" s="359"/>
      <c r="F61" s="359"/>
      <c r="G61" s="359"/>
      <c r="H61" s="359"/>
      <c r="I61" s="359"/>
    </row>
    <row r="62" spans="2:9" ht="20.25" customHeight="1" x14ac:dyDescent="0.25">
      <c r="B62" s="359"/>
      <c r="C62" s="359"/>
      <c r="D62" s="359"/>
      <c r="E62" s="359"/>
      <c r="F62" s="359"/>
      <c r="G62" s="359"/>
      <c r="H62" s="359"/>
      <c r="I62" s="359"/>
    </row>
    <row r="63" spans="2:9" ht="20.25" customHeight="1" thickBot="1" x14ac:dyDescent="0.3">
      <c r="B63" s="360"/>
      <c r="C63" s="360"/>
      <c r="D63" s="360"/>
      <c r="E63" s="360"/>
      <c r="F63" s="360"/>
      <c r="G63" s="360"/>
      <c r="H63" s="360"/>
      <c r="I63" s="360"/>
    </row>
    <row r="64" spans="2:9" ht="20.25" customHeight="1" x14ac:dyDescent="0.25">
      <c r="B64" s="361"/>
      <c r="C64" s="362"/>
      <c r="D64" s="362"/>
      <c r="E64" s="363"/>
      <c r="F64" s="361"/>
      <c r="G64" s="362"/>
      <c r="H64" s="362"/>
      <c r="I64" s="363"/>
    </row>
    <row r="65" spans="2:9" ht="20.25" customHeight="1" x14ac:dyDescent="0.25">
      <c r="B65" s="364"/>
      <c r="C65" s="365"/>
      <c r="D65" s="365"/>
      <c r="E65" s="366"/>
      <c r="F65" s="364"/>
      <c r="G65" s="365"/>
      <c r="H65" s="365"/>
      <c r="I65" s="366"/>
    </row>
    <row r="66" spans="2:9" ht="20.25" customHeight="1" thickBot="1" x14ac:dyDescent="0.3">
      <c r="B66" s="367"/>
      <c r="C66" s="368"/>
      <c r="D66" s="368"/>
      <c r="E66" s="369"/>
      <c r="F66" s="367"/>
      <c r="G66" s="368"/>
      <c r="H66" s="368"/>
      <c r="I66" s="369"/>
    </row>
    <row r="67" spans="2:9" ht="20.25" customHeight="1" x14ac:dyDescent="0.25">
      <c r="B67" s="370" t="s">
        <v>132</v>
      </c>
      <c r="C67" s="370"/>
      <c r="D67" s="370"/>
      <c r="E67" s="371"/>
      <c r="F67" s="370" t="s">
        <v>133</v>
      </c>
      <c r="G67" s="370"/>
      <c r="H67" s="370"/>
      <c r="I67" s="370"/>
    </row>
    <row r="97" spans="1:3" ht="20.25" customHeight="1" x14ac:dyDescent="0.25">
      <c r="A97" s="26"/>
    </row>
    <row r="98" spans="1:3" ht="20.25" customHeight="1" x14ac:dyDescent="0.25">
      <c r="A98" s="27"/>
    </row>
    <row r="99" spans="1:3" ht="20.25" customHeight="1" x14ac:dyDescent="0.25">
      <c r="A99" s="27"/>
    </row>
    <row r="100" spans="1:3" ht="20.25" customHeight="1" x14ac:dyDescent="0.25">
      <c r="A100" s="24"/>
    </row>
    <row r="101" spans="1:3" ht="20.25" customHeight="1" x14ac:dyDescent="0.25">
      <c r="A101" s="24"/>
      <c r="B101" s="28"/>
      <c r="C101" s="28"/>
    </row>
    <row r="102" spans="1:3" ht="20.25" customHeight="1" x14ac:dyDescent="0.25">
      <c r="A102" s="24"/>
    </row>
    <row r="116" spans="3:4" ht="20.25" customHeight="1" x14ac:dyDescent="0.25">
      <c r="C116" s="24"/>
      <c r="D116" s="29"/>
    </row>
    <row r="117" spans="3:4" ht="20.25" customHeight="1" x14ac:dyDescent="0.25">
      <c r="C117" s="24"/>
    </row>
    <row r="118" spans="3:4" ht="20.25" customHeight="1" x14ac:dyDescent="0.25">
      <c r="C118" s="24"/>
    </row>
    <row r="119" spans="3:4" ht="20.25" customHeight="1" x14ac:dyDescent="0.25">
      <c r="C119" s="24"/>
    </row>
    <row r="120" spans="3:4" ht="20.25" customHeight="1" x14ac:dyDescent="0.25">
      <c r="C120" s="24"/>
    </row>
    <row r="121" spans="3:4" ht="20.25" customHeight="1" x14ac:dyDescent="0.25">
      <c r="C121" s="24"/>
    </row>
    <row r="122" spans="3:4" ht="20.25" customHeight="1" x14ac:dyDescent="0.25">
      <c r="C122" s="24"/>
      <c r="D122" s="24"/>
    </row>
    <row r="123" spans="3:4" ht="20.25" customHeight="1" x14ac:dyDescent="0.25">
      <c r="C123" s="24"/>
      <c r="D123" s="24"/>
    </row>
    <row r="124" spans="3:4" ht="20.25" customHeight="1" x14ac:dyDescent="0.25">
      <c r="C124" s="24"/>
      <c r="D124" s="24"/>
    </row>
  </sheetData>
  <sheetProtection selectLockedCells="1"/>
  <mergeCells count="12">
    <mergeCell ref="B17:I63"/>
    <mergeCell ref="B64:E66"/>
    <mergeCell ref="F64:I66"/>
    <mergeCell ref="B67:E67"/>
    <mergeCell ref="F67:I67"/>
    <mergeCell ref="B9:I9"/>
    <mergeCell ref="J9:K9"/>
    <mergeCell ref="C14:G14"/>
    <mergeCell ref="B16:I16"/>
    <mergeCell ref="C11:I11"/>
    <mergeCell ref="C12:I12"/>
    <mergeCell ref="C13:I13"/>
  </mergeCells>
  <hyperlinks>
    <hyperlink ref="J9" location="Apresentação!A1" display="Voltar"/>
    <hyperlink ref="J9:K9"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8:AF100"/>
  <sheetViews>
    <sheetView zoomScale="55" zoomScaleNormal="55" workbookViewId="0">
      <selection activeCell="N17" sqref="N17:Q27"/>
    </sheetView>
  </sheetViews>
  <sheetFormatPr defaultRowHeight="20.25" customHeight="1" x14ac:dyDescent="0.25"/>
  <cols>
    <col min="1" max="1" width="2.42578125" style="23" customWidth="1"/>
    <col min="2" max="2" width="36.85546875" style="23" bestFit="1" customWidth="1"/>
    <col min="3" max="3" width="23.85546875" style="23" customWidth="1"/>
    <col min="4" max="4" width="19.85546875" style="23" customWidth="1"/>
    <col min="5" max="7" width="16.7109375" style="23" customWidth="1"/>
    <col min="8" max="8" width="10.140625" style="23" bestFit="1" customWidth="1"/>
    <col min="9" max="9" width="15.42578125" style="23" bestFit="1" customWidth="1"/>
    <col min="10" max="12" width="9.140625" style="23"/>
    <col min="13" max="13" width="11.85546875" style="23" bestFit="1" customWidth="1"/>
    <col min="14" max="14" width="15.7109375" style="23" customWidth="1"/>
    <col min="15" max="15" width="35.140625" style="23" bestFit="1" customWidth="1"/>
    <col min="16" max="16" width="5.28515625" style="23" customWidth="1"/>
    <col min="17" max="18" width="9.140625" style="23"/>
    <col min="19" max="19" width="9.140625" style="23" customWidth="1"/>
    <col min="20" max="26" width="9.140625" style="23"/>
    <col min="27" max="27" width="9.140625" style="23" customWidth="1"/>
    <col min="28" max="28" width="67.42578125" style="23" hidden="1" customWidth="1"/>
    <col min="29" max="29" width="11.85546875" style="23" hidden="1" customWidth="1"/>
    <col min="30" max="30" width="27.28515625" style="23" hidden="1" customWidth="1"/>
    <col min="31" max="31" width="140.42578125" style="23" hidden="1" customWidth="1"/>
    <col min="32" max="32" width="39" style="23" hidden="1" customWidth="1"/>
    <col min="33" max="41" width="67.42578125" style="23" customWidth="1"/>
    <col min="42" max="16384" width="9.140625" style="23"/>
  </cols>
  <sheetData>
    <row r="8" spans="1:16" ht="20.25" customHeight="1" thickBot="1" x14ac:dyDescent="0.3"/>
    <row r="9" spans="1:16" ht="20.25" customHeight="1" thickBot="1" x14ac:dyDescent="0.3">
      <c r="A9" s="30"/>
      <c r="B9" s="383" t="s">
        <v>119</v>
      </c>
      <c r="C9" s="384"/>
      <c r="D9" s="384"/>
      <c r="E9" s="384"/>
      <c r="F9" s="384"/>
      <c r="G9" s="384"/>
      <c r="H9" s="384"/>
      <c r="I9" s="385"/>
      <c r="J9" s="346" t="s">
        <v>311</v>
      </c>
      <c r="K9" s="346"/>
      <c r="N9" s="34"/>
      <c r="O9" s="35"/>
      <c r="P9" s="36"/>
    </row>
    <row r="10" spans="1:16" ht="20.25" customHeight="1" x14ac:dyDescent="0.25">
      <c r="N10" s="376" t="s">
        <v>210</v>
      </c>
      <c r="O10" s="31" t="s">
        <v>492</v>
      </c>
      <c r="P10" s="38"/>
    </row>
    <row r="11" spans="1:16" ht="20.25" customHeight="1" x14ac:dyDescent="0.25">
      <c r="B11" s="21" t="s">
        <v>120</v>
      </c>
      <c r="C11" s="353"/>
      <c r="D11" s="353"/>
      <c r="E11" s="353"/>
      <c r="F11" s="353"/>
      <c r="G11" s="353"/>
      <c r="H11" s="353"/>
      <c r="I11" s="354"/>
      <c r="N11" s="376"/>
      <c r="O11" s="32" t="s">
        <v>363</v>
      </c>
      <c r="P11" s="38"/>
    </row>
    <row r="12" spans="1:16" ht="20.25" customHeight="1" thickBot="1" x14ac:dyDescent="0.3">
      <c r="B12" s="33" t="s">
        <v>121</v>
      </c>
      <c r="C12" s="352"/>
      <c r="D12" s="353"/>
      <c r="E12" s="353"/>
      <c r="F12" s="353"/>
      <c r="G12" s="353"/>
      <c r="H12" s="353"/>
      <c r="I12" s="354"/>
      <c r="N12" s="39"/>
      <c r="O12" s="40"/>
      <c r="P12" s="41"/>
    </row>
    <row r="13" spans="1:16" ht="20.25" customHeight="1" x14ac:dyDescent="0.25">
      <c r="B13" s="33" t="s">
        <v>122</v>
      </c>
      <c r="C13" s="352"/>
      <c r="D13" s="353"/>
      <c r="E13" s="353"/>
      <c r="F13" s="353"/>
      <c r="G13" s="353"/>
      <c r="H13" s="353"/>
      <c r="I13" s="354"/>
    </row>
    <row r="14" spans="1:16" ht="20.25" customHeight="1" x14ac:dyDescent="0.25">
      <c r="B14" s="33" t="s">
        <v>123</v>
      </c>
      <c r="C14" s="352"/>
      <c r="D14" s="353"/>
      <c r="E14" s="353"/>
      <c r="F14" s="353"/>
      <c r="G14" s="354"/>
      <c r="H14" s="21" t="s">
        <v>124</v>
      </c>
      <c r="I14" s="22">
        <f ca="1">TODAY()</f>
        <v>44057</v>
      </c>
    </row>
    <row r="15" spans="1:16" ht="20.25" customHeight="1" thickBot="1" x14ac:dyDescent="0.3"/>
    <row r="16" spans="1:16" ht="20.25" customHeight="1" thickBot="1" x14ac:dyDescent="0.3">
      <c r="B16" s="373" t="s">
        <v>432</v>
      </c>
      <c r="C16" s="374"/>
      <c r="D16" s="374"/>
      <c r="E16" s="374"/>
      <c r="F16" s="374"/>
      <c r="G16" s="374"/>
      <c r="H16" s="374"/>
      <c r="I16" s="375"/>
    </row>
    <row r="17" spans="2:32" ht="20.25" customHeight="1" x14ac:dyDescent="0.25">
      <c r="B17" s="377" t="s">
        <v>489</v>
      </c>
      <c r="C17" s="377"/>
      <c r="D17" s="377"/>
      <c r="E17" s="377"/>
      <c r="F17" s="377"/>
      <c r="G17" s="377"/>
      <c r="H17" s="377"/>
      <c r="I17" s="377"/>
      <c r="N17" s="255" t="s">
        <v>465</v>
      </c>
      <c r="O17" s="255" t="s">
        <v>466</v>
      </c>
      <c r="P17" s="255" t="s">
        <v>467</v>
      </c>
      <c r="Q17" s="255" t="s">
        <v>468</v>
      </c>
    </row>
    <row r="18" spans="2:32" ht="20.25" customHeight="1" x14ac:dyDescent="0.25">
      <c r="B18" s="378"/>
      <c r="C18" s="378"/>
      <c r="D18" s="378"/>
      <c r="E18" s="378"/>
      <c r="F18" s="378"/>
      <c r="G18" s="378"/>
      <c r="H18" s="378"/>
      <c r="I18" s="378"/>
      <c r="N18" s="256" t="s">
        <v>431</v>
      </c>
      <c r="O18" s="256" t="s">
        <v>469</v>
      </c>
      <c r="P18" s="256" t="s">
        <v>470</v>
      </c>
      <c r="Q18" s="256" t="s">
        <v>471</v>
      </c>
    </row>
    <row r="19" spans="2:32" ht="20.25" customHeight="1" x14ac:dyDescent="0.25">
      <c r="B19" s="378"/>
      <c r="C19" s="378"/>
      <c r="D19" s="378"/>
      <c r="E19" s="378"/>
      <c r="F19" s="378"/>
      <c r="G19" s="378"/>
      <c r="H19" s="378"/>
      <c r="I19" s="378"/>
      <c r="N19" s="256" t="s">
        <v>357</v>
      </c>
      <c r="O19" s="256" t="s">
        <v>472</v>
      </c>
      <c r="P19" s="256" t="s">
        <v>595</v>
      </c>
      <c r="Q19" s="256" t="s">
        <v>473</v>
      </c>
    </row>
    <row r="20" spans="2:32" ht="43.5" customHeight="1" thickBot="1" x14ac:dyDescent="0.3">
      <c r="B20" s="378"/>
      <c r="C20" s="378"/>
      <c r="D20" s="378"/>
      <c r="E20" s="378"/>
      <c r="F20" s="378"/>
      <c r="G20" s="378"/>
      <c r="H20" s="378"/>
      <c r="I20" s="378"/>
      <c r="N20" s="256" t="s">
        <v>358</v>
      </c>
      <c r="O20" s="256" t="s">
        <v>474</v>
      </c>
      <c r="P20" s="256" t="s">
        <v>475</v>
      </c>
      <c r="Q20" s="256" t="s">
        <v>471</v>
      </c>
    </row>
    <row r="21" spans="2:32" ht="20.25" customHeight="1" thickBot="1" x14ac:dyDescent="0.3">
      <c r="B21" s="373" t="s">
        <v>466</v>
      </c>
      <c r="C21" s="374"/>
      <c r="D21" s="374"/>
      <c r="E21" s="374"/>
      <c r="F21" s="374"/>
      <c r="G21" s="374"/>
      <c r="H21" s="374"/>
      <c r="I21" s="375"/>
      <c r="N21" s="256" t="s">
        <v>359</v>
      </c>
      <c r="O21" s="256" t="s">
        <v>476</v>
      </c>
      <c r="P21" s="256" t="s">
        <v>596</v>
      </c>
      <c r="Q21" s="256" t="s">
        <v>473</v>
      </c>
    </row>
    <row r="22" spans="2:32" ht="20.25" customHeight="1" x14ac:dyDescent="0.25">
      <c r="B22" s="372" t="str">
        <f>VLOOKUP($O$11,$AC$25:$AF$34,2,0)</f>
        <v>Florescimento</v>
      </c>
      <c r="C22" s="372"/>
      <c r="D22" s="372"/>
      <c r="E22" s="372"/>
      <c r="F22" s="372"/>
      <c r="G22" s="372"/>
      <c r="H22" s="372"/>
      <c r="I22" s="372"/>
      <c r="N22" s="256" t="s">
        <v>597</v>
      </c>
      <c r="O22" s="256" t="s">
        <v>477</v>
      </c>
      <c r="P22" s="256" t="s">
        <v>478</v>
      </c>
      <c r="Q22" s="256" t="s">
        <v>479</v>
      </c>
    </row>
    <row r="23" spans="2:32" ht="20.25" customHeight="1" thickBot="1" x14ac:dyDescent="0.3">
      <c r="C23" s="163"/>
      <c r="D23" s="163"/>
      <c r="E23" s="163"/>
      <c r="F23" s="163"/>
      <c r="G23" s="163"/>
      <c r="H23" s="163"/>
      <c r="I23" s="163"/>
      <c r="N23" s="256" t="s">
        <v>361</v>
      </c>
      <c r="O23" s="256" t="s">
        <v>474</v>
      </c>
      <c r="P23" s="256" t="s">
        <v>480</v>
      </c>
      <c r="Q23" s="256" t="s">
        <v>481</v>
      </c>
    </row>
    <row r="24" spans="2:32" ht="20.25" customHeight="1" thickBot="1" x14ac:dyDescent="0.3">
      <c r="B24" s="373" t="s">
        <v>467</v>
      </c>
      <c r="C24" s="374"/>
      <c r="D24" s="374"/>
      <c r="E24" s="374"/>
      <c r="F24" s="374"/>
      <c r="G24" s="374"/>
      <c r="H24" s="374"/>
      <c r="I24" s="375"/>
      <c r="N24" s="256" t="s">
        <v>362</v>
      </c>
      <c r="O24" s="256" t="s">
        <v>476</v>
      </c>
      <c r="P24" s="256" t="s">
        <v>482</v>
      </c>
      <c r="Q24" s="256" t="s">
        <v>479</v>
      </c>
      <c r="AC24" s="164" t="s">
        <v>465</v>
      </c>
      <c r="AD24" s="165" t="s">
        <v>466</v>
      </c>
      <c r="AE24" s="165" t="s">
        <v>467</v>
      </c>
      <c r="AF24" s="165" t="s">
        <v>468</v>
      </c>
    </row>
    <row r="25" spans="2:32" ht="20.25" customHeight="1" thickBot="1" x14ac:dyDescent="0.3">
      <c r="B25" s="372" t="str">
        <f>VLOOKUP($O$11,$AC$25:$AF$34,3,0)</f>
        <v>Coletar os pecíolos de folhas jovens, expandidas e maduras (17ª a 20 ª folhas a partir do ápice), com uma flor visível na axila</v>
      </c>
      <c r="C25" s="372"/>
      <c r="D25" s="372"/>
      <c r="E25" s="372"/>
      <c r="F25" s="372"/>
      <c r="G25" s="372"/>
      <c r="H25" s="372"/>
      <c r="I25" s="372"/>
      <c r="N25" s="256" t="s">
        <v>363</v>
      </c>
      <c r="O25" s="256" t="s">
        <v>476</v>
      </c>
      <c r="P25" s="256" t="s">
        <v>483</v>
      </c>
      <c r="Q25" s="256" t="s">
        <v>484</v>
      </c>
      <c r="AC25" s="166" t="s">
        <v>431</v>
      </c>
      <c r="AD25" s="167" t="s">
        <v>469</v>
      </c>
      <c r="AE25" s="167" t="s">
        <v>470</v>
      </c>
      <c r="AF25" s="167" t="s">
        <v>471</v>
      </c>
    </row>
    <row r="26" spans="2:32" ht="20.25" customHeight="1" thickBot="1" x14ac:dyDescent="0.3">
      <c r="B26" s="163"/>
      <c r="C26" s="163"/>
      <c r="D26" s="163"/>
      <c r="E26" s="163"/>
      <c r="F26" s="163"/>
      <c r="G26" s="163"/>
      <c r="H26" s="163"/>
      <c r="I26" s="163"/>
      <c r="N26" s="256" t="s">
        <v>368</v>
      </c>
      <c r="O26" s="256" t="s">
        <v>476</v>
      </c>
      <c r="P26" s="256" t="s">
        <v>485</v>
      </c>
      <c r="Q26" s="256" t="s">
        <v>486</v>
      </c>
      <c r="AC26" s="166" t="s">
        <v>357</v>
      </c>
      <c r="AD26" s="167" t="s">
        <v>472</v>
      </c>
      <c r="AE26" s="167" t="s">
        <v>544</v>
      </c>
      <c r="AF26" s="167" t="s">
        <v>473</v>
      </c>
    </row>
    <row r="27" spans="2:32" ht="20.25" customHeight="1" thickBot="1" x14ac:dyDescent="0.3">
      <c r="B27" s="373" t="s">
        <v>468</v>
      </c>
      <c r="C27" s="374"/>
      <c r="D27" s="374"/>
      <c r="E27" s="374"/>
      <c r="F27" s="374"/>
      <c r="G27" s="374"/>
      <c r="H27" s="374"/>
      <c r="I27" s="375"/>
      <c r="N27" s="256" t="s">
        <v>369</v>
      </c>
      <c r="O27" s="256" t="s">
        <v>487</v>
      </c>
      <c r="P27" s="256" t="s">
        <v>488</v>
      </c>
      <c r="Q27" s="256" t="s">
        <v>473</v>
      </c>
      <c r="AC27" s="166" t="s">
        <v>358</v>
      </c>
      <c r="AD27" s="167" t="s">
        <v>474</v>
      </c>
      <c r="AE27" s="167" t="s">
        <v>475</v>
      </c>
      <c r="AF27" s="167" t="s">
        <v>471</v>
      </c>
    </row>
    <row r="28" spans="2:32" ht="20.25" customHeight="1" thickBot="1" x14ac:dyDescent="0.3">
      <c r="B28" s="372" t="str">
        <f>VLOOKUP($O$11,$AC$25:$AF$34,4,0)</f>
        <v>30 folhas de 15 plantas</v>
      </c>
      <c r="C28" s="372"/>
      <c r="D28" s="372"/>
      <c r="E28" s="372"/>
      <c r="F28" s="372"/>
      <c r="G28" s="372"/>
      <c r="H28" s="372"/>
      <c r="I28" s="372"/>
      <c r="AC28" s="166" t="s">
        <v>359</v>
      </c>
      <c r="AD28" s="167" t="s">
        <v>476</v>
      </c>
      <c r="AE28" s="167" t="s">
        <v>545</v>
      </c>
      <c r="AF28" s="167" t="s">
        <v>473</v>
      </c>
    </row>
    <row r="29" spans="2:32" ht="20.25" customHeight="1" thickBot="1" x14ac:dyDescent="0.3">
      <c r="AC29" s="168" t="s">
        <v>360</v>
      </c>
      <c r="AD29" s="168" t="s">
        <v>477</v>
      </c>
      <c r="AE29" s="168" t="s">
        <v>478</v>
      </c>
      <c r="AF29" s="168" t="s">
        <v>479</v>
      </c>
    </row>
    <row r="30" spans="2:32" ht="20.25" customHeight="1" thickBot="1" x14ac:dyDescent="0.3">
      <c r="B30" s="373" t="s">
        <v>490</v>
      </c>
      <c r="C30" s="374"/>
      <c r="D30" s="374"/>
      <c r="E30" s="374"/>
      <c r="F30" s="374"/>
      <c r="G30" s="374"/>
      <c r="H30" s="374"/>
      <c r="I30" s="375"/>
      <c r="AC30" s="166" t="s">
        <v>361</v>
      </c>
      <c r="AD30" s="167" t="s">
        <v>474</v>
      </c>
      <c r="AE30" s="167" t="s">
        <v>480</v>
      </c>
      <c r="AF30" s="167" t="s">
        <v>481</v>
      </c>
    </row>
    <row r="31" spans="2:32" ht="20.25" customHeight="1" thickBot="1" x14ac:dyDescent="0.3">
      <c r="B31" s="372" t="str">
        <f>VLOOKUP($O$11,$AC$25:$AF$34,4,0)</f>
        <v>30 folhas de 15 plantas</v>
      </c>
      <c r="C31" s="372"/>
      <c r="D31" s="372"/>
      <c r="E31" s="372"/>
      <c r="F31" s="372"/>
      <c r="G31" s="372"/>
      <c r="H31" s="372"/>
      <c r="I31" s="372"/>
      <c r="AC31" s="166" t="s">
        <v>362</v>
      </c>
      <c r="AD31" s="167" t="s">
        <v>476</v>
      </c>
      <c r="AE31" s="167" t="s">
        <v>482</v>
      </c>
      <c r="AF31" s="167" t="s">
        <v>479</v>
      </c>
    </row>
    <row r="32" spans="2:32" ht="20.25" customHeight="1" thickBot="1" x14ac:dyDescent="0.3">
      <c r="AC32" s="166" t="s">
        <v>363</v>
      </c>
      <c r="AD32" s="167" t="s">
        <v>476</v>
      </c>
      <c r="AE32" s="167" t="s">
        <v>483</v>
      </c>
      <c r="AF32" s="167" t="s">
        <v>484</v>
      </c>
    </row>
    <row r="33" spans="2:32" ht="20.25" customHeight="1" thickBot="1" x14ac:dyDescent="0.3">
      <c r="B33" s="373" t="s">
        <v>491</v>
      </c>
      <c r="C33" s="374"/>
      <c r="D33" s="374"/>
      <c r="E33" s="374"/>
      <c r="F33" s="374"/>
      <c r="G33" s="374"/>
      <c r="H33" s="374"/>
      <c r="I33" s="375"/>
      <c r="AC33" s="166" t="s">
        <v>368</v>
      </c>
      <c r="AD33" s="167" t="s">
        <v>476</v>
      </c>
      <c r="AE33" s="167" t="s">
        <v>485</v>
      </c>
      <c r="AF33" s="167" t="s">
        <v>486</v>
      </c>
    </row>
    <row r="34" spans="2:32" ht="20.25" customHeight="1" thickBot="1" x14ac:dyDescent="0.3">
      <c r="B34" s="386" t="s">
        <v>464</v>
      </c>
      <c r="C34" s="386"/>
      <c r="D34" s="386"/>
      <c r="E34" s="386"/>
      <c r="F34" s="386"/>
      <c r="G34" s="386"/>
      <c r="H34" s="386"/>
      <c r="I34" s="386"/>
      <c r="AC34" s="166" t="s">
        <v>369</v>
      </c>
      <c r="AD34" s="167" t="s">
        <v>487</v>
      </c>
      <c r="AE34" s="167" t="s">
        <v>488</v>
      </c>
      <c r="AF34" s="167" t="s">
        <v>473</v>
      </c>
    </row>
    <row r="35" spans="2:32" ht="20.25" customHeight="1" x14ac:dyDescent="0.25">
      <c r="B35" s="386"/>
      <c r="C35" s="386"/>
      <c r="D35" s="386"/>
      <c r="E35" s="386"/>
      <c r="F35" s="386"/>
      <c r="G35" s="386"/>
      <c r="H35" s="386"/>
      <c r="I35" s="386"/>
    </row>
    <row r="36" spans="2:32" ht="20.25" customHeight="1" x14ac:dyDescent="0.25">
      <c r="B36" s="386"/>
      <c r="C36" s="386"/>
      <c r="D36" s="386"/>
      <c r="E36" s="386"/>
      <c r="F36" s="386"/>
      <c r="G36" s="386"/>
      <c r="H36" s="386"/>
      <c r="I36" s="386"/>
    </row>
    <row r="37" spans="2:32" ht="20.25" customHeight="1" x14ac:dyDescent="0.25">
      <c r="B37" s="386"/>
      <c r="C37" s="386"/>
      <c r="D37" s="386"/>
      <c r="E37" s="386"/>
      <c r="F37" s="386"/>
      <c r="G37" s="386"/>
      <c r="H37" s="386"/>
      <c r="I37" s="386"/>
    </row>
    <row r="38" spans="2:32" ht="20.25" customHeight="1" x14ac:dyDescent="0.25">
      <c r="B38" s="386"/>
      <c r="C38" s="386"/>
      <c r="D38" s="386"/>
      <c r="E38" s="386"/>
      <c r="F38" s="386"/>
      <c r="G38" s="386"/>
      <c r="H38" s="386"/>
      <c r="I38" s="386"/>
    </row>
    <row r="39" spans="2:32" ht="20.25" customHeight="1" x14ac:dyDescent="0.25">
      <c r="B39" s="386"/>
      <c r="C39" s="386"/>
      <c r="D39" s="386"/>
      <c r="E39" s="386"/>
      <c r="F39" s="386"/>
      <c r="G39" s="386"/>
      <c r="H39" s="386"/>
      <c r="I39" s="386"/>
    </row>
    <row r="40" spans="2:32" ht="20.25" customHeight="1" x14ac:dyDescent="0.25">
      <c r="B40" s="386"/>
      <c r="C40" s="386"/>
      <c r="D40" s="386"/>
      <c r="E40" s="386"/>
      <c r="F40" s="386"/>
      <c r="G40" s="386"/>
      <c r="H40" s="386"/>
      <c r="I40" s="386"/>
    </row>
    <row r="41" spans="2:32" ht="20.25" customHeight="1" x14ac:dyDescent="0.25">
      <c r="B41" s="386"/>
      <c r="C41" s="386"/>
      <c r="D41" s="386"/>
      <c r="E41" s="386"/>
      <c r="F41" s="386"/>
      <c r="G41" s="386"/>
      <c r="H41" s="386"/>
      <c r="I41" s="386"/>
      <c r="J41" s="37"/>
    </row>
    <row r="42" spans="2:32" ht="20.25" customHeight="1" x14ac:dyDescent="0.25">
      <c r="B42" s="386"/>
      <c r="C42" s="386"/>
      <c r="D42" s="386"/>
      <c r="E42" s="386"/>
      <c r="F42" s="386"/>
      <c r="G42" s="386"/>
      <c r="H42" s="386"/>
      <c r="I42" s="386"/>
    </row>
    <row r="43" spans="2:32" ht="20.25" customHeight="1" thickBot="1" x14ac:dyDescent="0.3">
      <c r="B43" s="387"/>
      <c r="C43" s="387"/>
      <c r="D43" s="387"/>
      <c r="E43" s="387"/>
      <c r="F43" s="387"/>
      <c r="G43" s="387"/>
      <c r="H43" s="387"/>
      <c r="I43" s="387"/>
    </row>
    <row r="44" spans="2:32" ht="20.25" customHeight="1" x14ac:dyDescent="0.25">
      <c r="B44" s="388"/>
      <c r="C44" s="389"/>
      <c r="D44" s="389"/>
      <c r="E44" s="390"/>
      <c r="F44" s="388"/>
      <c r="G44" s="389"/>
      <c r="H44" s="389"/>
      <c r="I44" s="390"/>
    </row>
    <row r="45" spans="2:32" ht="20.25" customHeight="1" x14ac:dyDescent="0.25">
      <c r="B45" s="376"/>
      <c r="C45" s="391"/>
      <c r="D45" s="391"/>
      <c r="E45" s="392"/>
      <c r="F45" s="376"/>
      <c r="G45" s="391"/>
      <c r="H45" s="391"/>
      <c r="I45" s="392"/>
    </row>
    <row r="46" spans="2:32" ht="20.25" customHeight="1" thickBot="1" x14ac:dyDescent="0.3">
      <c r="B46" s="393"/>
      <c r="C46" s="394"/>
      <c r="D46" s="394"/>
      <c r="E46" s="395"/>
      <c r="F46" s="393"/>
      <c r="G46" s="394"/>
      <c r="H46" s="394"/>
      <c r="I46" s="395"/>
    </row>
    <row r="47" spans="2:32" ht="20.25" customHeight="1" thickBot="1" x14ac:dyDescent="0.3">
      <c r="B47" s="379" t="s">
        <v>132</v>
      </c>
      <c r="C47" s="380"/>
      <c r="D47" s="380"/>
      <c r="E47" s="381"/>
      <c r="F47" s="379" t="s">
        <v>133</v>
      </c>
      <c r="G47" s="380"/>
      <c r="H47" s="380"/>
      <c r="I47" s="382"/>
    </row>
    <row r="73" spans="1:3" ht="20.25" customHeight="1" x14ac:dyDescent="0.25">
      <c r="A73" s="42"/>
    </row>
    <row r="74" spans="1:3" ht="20.25" customHeight="1" x14ac:dyDescent="0.25">
      <c r="A74" s="43"/>
    </row>
    <row r="75" spans="1:3" ht="20.25" customHeight="1" x14ac:dyDescent="0.25">
      <c r="A75" s="43"/>
    </row>
    <row r="76" spans="1:3" ht="20.25" customHeight="1" x14ac:dyDescent="0.25">
      <c r="A76" s="37"/>
    </row>
    <row r="77" spans="1:3" ht="20.25" customHeight="1" x14ac:dyDescent="0.25">
      <c r="A77" s="37"/>
      <c r="B77" s="44"/>
      <c r="C77" s="44"/>
    </row>
    <row r="78" spans="1:3" ht="20.25" customHeight="1" x14ac:dyDescent="0.25">
      <c r="A78" s="37"/>
    </row>
    <row r="92" spans="3:4" ht="20.25" customHeight="1" x14ac:dyDescent="0.25">
      <c r="C92" s="37"/>
      <c r="D92" s="45"/>
    </row>
    <row r="93" spans="3:4" ht="20.25" customHeight="1" x14ac:dyDescent="0.25">
      <c r="C93" s="37"/>
    </row>
    <row r="94" spans="3:4" ht="20.25" customHeight="1" x14ac:dyDescent="0.25">
      <c r="C94" s="37"/>
    </row>
    <row r="95" spans="3:4" ht="20.25" customHeight="1" x14ac:dyDescent="0.25">
      <c r="C95" s="37"/>
    </row>
    <row r="96" spans="3:4" ht="20.25" customHeight="1" x14ac:dyDescent="0.25">
      <c r="C96" s="37"/>
    </row>
    <row r="97" spans="3:4" ht="20.25" customHeight="1" x14ac:dyDescent="0.25">
      <c r="C97" s="37"/>
    </row>
    <row r="98" spans="3:4" ht="20.25" customHeight="1" x14ac:dyDescent="0.25">
      <c r="C98" s="37"/>
      <c r="D98" s="37"/>
    </row>
    <row r="99" spans="3:4" ht="20.25" customHeight="1" x14ac:dyDescent="0.25">
      <c r="C99" s="37"/>
      <c r="D99" s="37"/>
    </row>
    <row r="100" spans="3:4" ht="20.25" customHeight="1" x14ac:dyDescent="0.25">
      <c r="C100" s="37"/>
      <c r="D100" s="37"/>
    </row>
  </sheetData>
  <mergeCells count="23">
    <mergeCell ref="B47:E47"/>
    <mergeCell ref="F47:I47"/>
    <mergeCell ref="C14:G14"/>
    <mergeCell ref="B9:I9"/>
    <mergeCell ref="J9:K9"/>
    <mergeCell ref="C11:I11"/>
    <mergeCell ref="C12:I12"/>
    <mergeCell ref="C13:I13"/>
    <mergeCell ref="B31:I31"/>
    <mergeCell ref="B33:I33"/>
    <mergeCell ref="B34:I43"/>
    <mergeCell ref="B44:E46"/>
    <mergeCell ref="F44:I46"/>
    <mergeCell ref="B24:I24"/>
    <mergeCell ref="B25:I25"/>
    <mergeCell ref="B27:I27"/>
    <mergeCell ref="B28:I28"/>
    <mergeCell ref="B30:I30"/>
    <mergeCell ref="N10:N11"/>
    <mergeCell ref="B16:I16"/>
    <mergeCell ref="B17:I20"/>
    <mergeCell ref="B21:I21"/>
    <mergeCell ref="B22:I22"/>
  </mergeCells>
  <dataValidations count="1">
    <dataValidation type="list" allowBlank="1" showInputMessage="1" showErrorMessage="1" sqref="O11">
      <formula1>$AC$25:$AC$34</formula1>
    </dataValidation>
  </dataValidations>
  <hyperlinks>
    <hyperlink ref="J9" location="Apresentação!A1" display="Voltar"/>
    <hyperlink ref="J9:K9"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84"/>
  <sheetViews>
    <sheetView showGridLines="0" zoomScale="90" zoomScaleNormal="90" workbookViewId="0">
      <selection activeCell="C32" sqref="C32"/>
    </sheetView>
  </sheetViews>
  <sheetFormatPr defaultRowHeight="15" x14ac:dyDescent="0.25"/>
  <cols>
    <col min="2" max="2" width="13.42578125" customWidth="1"/>
    <col min="3" max="3" width="31" customWidth="1"/>
    <col min="4" max="4" width="10.5703125" customWidth="1"/>
    <col min="5" max="5" width="14.140625" customWidth="1"/>
    <col min="6" max="6" width="30" bestFit="1" customWidth="1"/>
    <col min="8" max="8" width="19.140625" style="235" customWidth="1"/>
    <col min="9" max="9" width="17.85546875" style="235" customWidth="1"/>
  </cols>
  <sheetData>
    <row r="3" spans="2:9" ht="20.25" x14ac:dyDescent="0.25">
      <c r="B3" s="234"/>
      <c r="C3" s="234"/>
      <c r="D3" s="234"/>
      <c r="E3" s="234"/>
      <c r="F3" s="234"/>
    </row>
    <row r="4" spans="2:9" ht="21" thickBot="1" x14ac:dyDescent="0.3">
      <c r="B4" s="234"/>
      <c r="C4" s="234"/>
      <c r="D4" s="234"/>
      <c r="E4" s="234"/>
      <c r="F4" s="234"/>
      <c r="H4" s="236"/>
      <c r="I4" s="236"/>
    </row>
    <row r="5" spans="2:9" ht="18" x14ac:dyDescent="0.25">
      <c r="B5" s="396" t="s">
        <v>374</v>
      </c>
      <c r="C5" s="398" t="s">
        <v>430</v>
      </c>
      <c r="D5" s="399"/>
      <c r="E5" s="399"/>
      <c r="F5" s="400"/>
      <c r="G5" s="237"/>
      <c r="H5" s="238"/>
      <c r="I5" s="238"/>
    </row>
    <row r="6" spans="2:9" ht="16.5" thickBot="1" x14ac:dyDescent="0.3">
      <c r="B6" s="397"/>
      <c r="C6" s="401"/>
      <c r="D6" s="402"/>
      <c r="E6" s="402"/>
      <c r="F6" s="403"/>
      <c r="G6" s="237"/>
      <c r="H6" s="239"/>
      <c r="I6" s="240"/>
    </row>
    <row r="7" spans="2:9" ht="16.5" thickBot="1" x14ac:dyDescent="0.3">
      <c r="B7" s="241"/>
      <c r="C7" s="242" t="s">
        <v>55</v>
      </c>
      <c r="D7" s="243" t="s">
        <v>378</v>
      </c>
      <c r="E7" s="244">
        <f>B7*391</f>
        <v>0</v>
      </c>
      <c r="F7" s="245" t="s">
        <v>410</v>
      </c>
      <c r="G7" s="237"/>
      <c r="H7" s="246" t="s">
        <v>564</v>
      </c>
      <c r="I7" s="240"/>
    </row>
    <row r="8" spans="2:9" ht="16.5" thickBot="1" x14ac:dyDescent="0.3">
      <c r="B8" s="241"/>
      <c r="C8" s="242" t="s">
        <v>565</v>
      </c>
      <c r="D8" s="243" t="s">
        <v>378</v>
      </c>
      <c r="E8" s="244">
        <f>B8*2.5</f>
        <v>0</v>
      </c>
      <c r="F8" s="245" t="s">
        <v>566</v>
      </c>
      <c r="G8" s="237"/>
      <c r="H8" s="247" t="s">
        <v>370</v>
      </c>
      <c r="I8" s="240"/>
    </row>
    <row r="9" spans="2:9" ht="15.75" thickBot="1" x14ac:dyDescent="0.3">
      <c r="B9" s="241"/>
      <c r="C9" s="242" t="s">
        <v>566</v>
      </c>
      <c r="D9" s="243" t="s">
        <v>378</v>
      </c>
      <c r="E9" s="244">
        <f>B9/2.5</f>
        <v>0</v>
      </c>
      <c r="F9" s="245" t="s">
        <v>565</v>
      </c>
      <c r="G9" s="237"/>
      <c r="H9" s="247" t="s">
        <v>371</v>
      </c>
    </row>
    <row r="10" spans="2:9" ht="16.5" thickBot="1" x14ac:dyDescent="0.3">
      <c r="B10" s="241"/>
      <c r="C10" s="242" t="s">
        <v>567</v>
      </c>
      <c r="D10" s="243" t="s">
        <v>378</v>
      </c>
      <c r="E10" s="244">
        <f>B10*1.7</f>
        <v>0</v>
      </c>
      <c r="F10" s="245" t="s">
        <v>568</v>
      </c>
      <c r="G10" s="237"/>
      <c r="H10" s="247" t="s">
        <v>335</v>
      </c>
      <c r="I10" s="240"/>
    </row>
    <row r="11" spans="2:9" ht="15.75" thickBot="1" x14ac:dyDescent="0.3">
      <c r="B11" s="241"/>
      <c r="C11" s="245" t="s">
        <v>568</v>
      </c>
      <c r="D11" s="243" t="s">
        <v>378</v>
      </c>
      <c r="E11" s="244">
        <f>B11/1.7</f>
        <v>0</v>
      </c>
      <c r="F11" s="242" t="s">
        <v>567</v>
      </c>
      <c r="G11" s="237"/>
      <c r="H11" s="247" t="s">
        <v>336</v>
      </c>
      <c r="I11" s="239"/>
    </row>
    <row r="12" spans="2:9" ht="16.5" thickBot="1" x14ac:dyDescent="0.3">
      <c r="B12" s="241"/>
      <c r="C12" s="242" t="s">
        <v>565</v>
      </c>
      <c r="D12" s="243" t="s">
        <v>378</v>
      </c>
      <c r="E12" s="244">
        <f>B12*1.4</f>
        <v>0</v>
      </c>
      <c r="F12" s="245" t="s">
        <v>569</v>
      </c>
      <c r="G12" s="237"/>
      <c r="H12" s="247" t="s">
        <v>337</v>
      </c>
      <c r="I12" s="240"/>
    </row>
    <row r="13" spans="2:9" ht="15.75" thickBot="1" x14ac:dyDescent="0.3">
      <c r="B13" s="241"/>
      <c r="C13" s="245" t="s">
        <v>569</v>
      </c>
      <c r="D13" s="243" t="s">
        <v>378</v>
      </c>
      <c r="E13" s="244">
        <f>B13/1.4</f>
        <v>0</v>
      </c>
      <c r="F13" s="242" t="s">
        <v>565</v>
      </c>
      <c r="G13" s="237"/>
      <c r="H13" s="247" t="s">
        <v>338</v>
      </c>
      <c r="I13" s="239"/>
    </row>
    <row r="14" spans="2:9" ht="15.75" thickBot="1" x14ac:dyDescent="0.3">
      <c r="B14" s="241"/>
      <c r="C14" s="242" t="s">
        <v>570</v>
      </c>
      <c r="D14" s="243" t="s">
        <v>378</v>
      </c>
      <c r="E14" s="244">
        <f>B14*2.3</f>
        <v>0</v>
      </c>
      <c r="F14" s="242" t="s">
        <v>571</v>
      </c>
      <c r="G14" s="237"/>
      <c r="H14" s="247" t="s">
        <v>339</v>
      </c>
      <c r="I14" s="248"/>
    </row>
    <row r="15" spans="2:9" ht="15.75" thickBot="1" x14ac:dyDescent="0.3">
      <c r="B15" s="241"/>
      <c r="C15" s="242" t="s">
        <v>571</v>
      </c>
      <c r="D15" s="243" t="s">
        <v>378</v>
      </c>
      <c r="E15" s="244">
        <f>B15/2.3</f>
        <v>0</v>
      </c>
      <c r="F15" s="242" t="s">
        <v>570</v>
      </c>
      <c r="G15" s="237"/>
      <c r="H15" s="247" t="s">
        <v>340</v>
      </c>
      <c r="I15" s="239"/>
    </row>
    <row r="16" spans="2:9" ht="15.75" thickBot="1" x14ac:dyDescent="0.3">
      <c r="B16" s="241"/>
      <c r="C16" s="242" t="s">
        <v>572</v>
      </c>
      <c r="D16" s="243" t="s">
        <v>378</v>
      </c>
      <c r="E16" s="244">
        <f>B16*1.2</f>
        <v>0</v>
      </c>
      <c r="F16" s="242" t="s">
        <v>573</v>
      </c>
      <c r="G16" s="237"/>
      <c r="H16" s="247" t="s">
        <v>341</v>
      </c>
      <c r="I16" s="248"/>
    </row>
    <row r="17" spans="2:9" ht="15.75" thickBot="1" x14ac:dyDescent="0.3">
      <c r="B17" s="241"/>
      <c r="C17" s="242" t="s">
        <v>573</v>
      </c>
      <c r="D17" s="243" t="s">
        <v>378</v>
      </c>
      <c r="E17" s="244">
        <f>B17/1.2</f>
        <v>0</v>
      </c>
      <c r="F17" s="242" t="s">
        <v>572</v>
      </c>
      <c r="G17" s="237"/>
      <c r="H17" s="247" t="s">
        <v>342</v>
      </c>
      <c r="I17" s="239"/>
    </row>
    <row r="18" spans="2:9" ht="15.75" thickBot="1" x14ac:dyDescent="0.3">
      <c r="B18" s="241"/>
      <c r="C18" s="242" t="s">
        <v>574</v>
      </c>
      <c r="D18" s="243" t="s">
        <v>378</v>
      </c>
      <c r="E18" s="244">
        <f>B18</f>
        <v>0</v>
      </c>
      <c r="F18" s="242" t="s">
        <v>575</v>
      </c>
      <c r="G18" s="237"/>
      <c r="H18" s="247" t="s">
        <v>343</v>
      </c>
      <c r="I18" s="248"/>
    </row>
    <row r="19" spans="2:9" ht="15.75" thickBot="1" x14ac:dyDescent="0.3">
      <c r="B19" s="241"/>
      <c r="C19" s="242" t="s">
        <v>576</v>
      </c>
      <c r="D19" s="243" t="s">
        <v>378</v>
      </c>
      <c r="E19" s="244">
        <f>B19</f>
        <v>0</v>
      </c>
      <c r="F19" s="242" t="s">
        <v>577</v>
      </c>
      <c r="G19" s="237"/>
      <c r="H19" s="247" t="s">
        <v>578</v>
      </c>
      <c r="I19" s="239"/>
    </row>
    <row r="20" spans="2:9" ht="15.75" thickBot="1" x14ac:dyDescent="0.3">
      <c r="B20" s="241"/>
      <c r="C20" s="242" t="s">
        <v>579</v>
      </c>
      <c r="D20" s="243" t="s">
        <v>378</v>
      </c>
      <c r="E20" s="244">
        <f t="shared" ref="E20" si="0">B20</f>
        <v>0</v>
      </c>
      <c r="F20" s="242" t="s">
        <v>580</v>
      </c>
      <c r="G20" s="237"/>
      <c r="H20" s="247" t="s">
        <v>581</v>
      </c>
      <c r="I20" s="248"/>
    </row>
    <row r="21" spans="2:9" ht="15.75" thickBot="1" x14ac:dyDescent="0.3">
      <c r="B21" s="241"/>
      <c r="C21" s="242" t="s">
        <v>575</v>
      </c>
      <c r="D21" s="243" t="s">
        <v>378</v>
      </c>
      <c r="E21" s="244">
        <f>B21*2</f>
        <v>0</v>
      </c>
      <c r="F21" s="242" t="s">
        <v>582</v>
      </c>
      <c r="G21" s="237"/>
      <c r="H21" s="247" t="s">
        <v>583</v>
      </c>
      <c r="I21" s="239"/>
    </row>
    <row r="22" spans="2:9" ht="15.75" thickBot="1" x14ac:dyDescent="0.3">
      <c r="B22" s="241"/>
      <c r="C22" s="242" t="s">
        <v>582</v>
      </c>
      <c r="D22" s="243" t="s">
        <v>378</v>
      </c>
      <c r="E22" s="244">
        <f>B22/2</f>
        <v>0</v>
      </c>
      <c r="F22" s="242" t="s">
        <v>575</v>
      </c>
      <c r="G22" s="237"/>
      <c r="H22" s="247" t="s">
        <v>584</v>
      </c>
      <c r="I22" s="248"/>
    </row>
    <row r="23" spans="2:9" ht="15.75" thickBot="1" x14ac:dyDescent="0.3">
      <c r="B23" s="241"/>
      <c r="C23" s="242" t="s">
        <v>23</v>
      </c>
      <c r="D23" s="243" t="s">
        <v>378</v>
      </c>
      <c r="E23" s="244">
        <f>B23*10000</f>
        <v>0</v>
      </c>
      <c r="F23" s="242" t="s">
        <v>575</v>
      </c>
      <c r="G23" s="237"/>
      <c r="H23" s="247" t="s">
        <v>346</v>
      </c>
      <c r="I23" s="239"/>
    </row>
    <row r="24" spans="2:9" ht="15.75" thickBot="1" x14ac:dyDescent="0.3">
      <c r="B24" s="241"/>
      <c r="C24" s="242" t="s">
        <v>575</v>
      </c>
      <c r="D24" s="243" t="s">
        <v>378</v>
      </c>
      <c r="E24" s="244">
        <f>B24/10000</f>
        <v>0</v>
      </c>
      <c r="F24" s="242" t="s">
        <v>23</v>
      </c>
      <c r="G24" s="237"/>
      <c r="H24" s="247" t="s">
        <v>347</v>
      </c>
      <c r="I24" s="248"/>
    </row>
    <row r="25" spans="2:9" ht="15.75" thickBot="1" x14ac:dyDescent="0.3">
      <c r="B25" s="241"/>
      <c r="C25" s="242" t="s">
        <v>585</v>
      </c>
      <c r="D25" s="243" t="s">
        <v>378</v>
      </c>
      <c r="E25" s="244">
        <f>B25</f>
        <v>0</v>
      </c>
      <c r="F25" s="242" t="s">
        <v>23</v>
      </c>
      <c r="G25" s="237"/>
      <c r="H25" s="247" t="s">
        <v>348</v>
      </c>
      <c r="I25" s="248"/>
    </row>
    <row r="26" spans="2:9" ht="15.75" thickBot="1" x14ac:dyDescent="0.3">
      <c r="B26" s="241">
        <v>1</v>
      </c>
      <c r="C26" s="242" t="s">
        <v>586</v>
      </c>
      <c r="D26" s="243" t="s">
        <v>378</v>
      </c>
      <c r="E26" s="244">
        <f>B26/10</f>
        <v>0.1</v>
      </c>
      <c r="F26" s="242" t="s">
        <v>587</v>
      </c>
      <c r="G26" s="237"/>
      <c r="H26" s="247" t="s">
        <v>349</v>
      </c>
      <c r="I26" s="248"/>
    </row>
    <row r="27" spans="2:9" ht="15.75" thickBot="1" x14ac:dyDescent="0.3">
      <c r="B27" s="241"/>
      <c r="C27" s="242" t="s">
        <v>587</v>
      </c>
      <c r="D27" s="243" t="s">
        <v>378</v>
      </c>
      <c r="E27" s="244">
        <f>B27*10</f>
        <v>0</v>
      </c>
      <c r="F27" s="242" t="s">
        <v>586</v>
      </c>
      <c r="G27" s="237"/>
      <c r="H27" s="247" t="s">
        <v>588</v>
      </c>
      <c r="I27" s="248"/>
    </row>
    <row r="28" spans="2:9" ht="15.75" thickBot="1" x14ac:dyDescent="0.3">
      <c r="B28" s="404" t="s">
        <v>589</v>
      </c>
      <c r="C28" s="405"/>
      <c r="D28" s="405"/>
      <c r="E28" s="405"/>
      <c r="F28" s="406"/>
      <c r="G28" s="237"/>
      <c r="H28" s="247" t="s">
        <v>590</v>
      </c>
      <c r="I28" s="248"/>
    </row>
    <row r="29" spans="2:9" ht="15.75" thickBot="1" x14ac:dyDescent="0.3">
      <c r="B29" s="407" t="s">
        <v>591</v>
      </c>
      <c r="C29" s="408"/>
      <c r="D29" s="408"/>
      <c r="E29" s="408"/>
      <c r="F29" s="409"/>
      <c r="G29" s="237"/>
      <c r="H29" s="247" t="s">
        <v>351</v>
      </c>
      <c r="I29" s="248"/>
    </row>
    <row r="30" spans="2:9" ht="15.75" x14ac:dyDescent="0.25">
      <c r="B30" s="249"/>
      <c r="C30" s="250"/>
      <c r="D30" s="251"/>
      <c r="E30" s="251"/>
      <c r="F30" s="250"/>
      <c r="G30" s="237"/>
      <c r="H30" s="247" t="s">
        <v>352</v>
      </c>
      <c r="I30" s="240"/>
    </row>
    <row r="31" spans="2:9" x14ac:dyDescent="0.25">
      <c r="B31" s="239"/>
      <c r="C31" s="239"/>
      <c r="D31" s="251"/>
      <c r="E31" s="251"/>
      <c r="F31" s="250"/>
      <c r="G31" s="237"/>
      <c r="H31" s="247" t="s">
        <v>592</v>
      </c>
      <c r="I31" s="248"/>
    </row>
    <row r="32" spans="2:9" ht="15.75" x14ac:dyDescent="0.25">
      <c r="B32" s="239"/>
      <c r="C32" s="250"/>
      <c r="D32" s="251"/>
      <c r="E32" s="251"/>
      <c r="F32" s="250"/>
      <c r="G32" s="237"/>
      <c r="H32" s="247" t="s">
        <v>353</v>
      </c>
      <c r="I32" s="240"/>
    </row>
    <row r="33" spans="2:9" ht="15.75" x14ac:dyDescent="0.25">
      <c r="B33" s="249"/>
      <c r="C33" s="250"/>
      <c r="D33" s="251"/>
      <c r="E33" s="251"/>
      <c r="F33" s="250"/>
      <c r="G33" s="237"/>
      <c r="H33" s="247" t="s">
        <v>354</v>
      </c>
      <c r="I33" s="240"/>
    </row>
    <row r="34" spans="2:9" ht="15.75" x14ac:dyDescent="0.25">
      <c r="B34" s="249"/>
      <c r="C34" s="250"/>
      <c r="D34" s="251"/>
      <c r="E34" s="251"/>
      <c r="F34" s="250"/>
      <c r="G34" s="237"/>
      <c r="H34" s="247" t="s">
        <v>355</v>
      </c>
      <c r="I34" s="240"/>
    </row>
    <row r="35" spans="2:9" ht="15.75" x14ac:dyDescent="0.25">
      <c r="B35" s="249"/>
      <c r="C35" s="250"/>
      <c r="D35" s="251"/>
      <c r="E35" s="251"/>
      <c r="F35" s="250"/>
      <c r="G35" s="237"/>
      <c r="H35" s="247" t="s">
        <v>593</v>
      </c>
      <c r="I35" s="240"/>
    </row>
    <row r="36" spans="2:9" ht="15.75" x14ac:dyDescent="0.25">
      <c r="B36" s="249"/>
      <c r="C36" s="250"/>
      <c r="D36" s="251"/>
      <c r="E36" s="251"/>
      <c r="F36" s="250"/>
      <c r="G36" s="237"/>
      <c r="H36" s="247" t="s">
        <v>594</v>
      </c>
      <c r="I36" s="240"/>
    </row>
    <row r="37" spans="2:9" ht="18" x14ac:dyDescent="0.25">
      <c r="B37" s="249"/>
      <c r="C37" s="250"/>
      <c r="D37" s="251"/>
      <c r="E37" s="251"/>
      <c r="F37" s="250"/>
      <c r="G37" s="237"/>
      <c r="H37" s="252"/>
      <c r="I37" s="240"/>
    </row>
    <row r="38" spans="2:9" ht="15.75" x14ac:dyDescent="0.25">
      <c r="B38" s="249"/>
      <c r="C38" s="250"/>
      <c r="D38" s="251"/>
      <c r="E38" s="251"/>
      <c r="F38" s="250"/>
      <c r="G38" s="237"/>
      <c r="H38" s="240"/>
      <c r="I38" s="240"/>
    </row>
    <row r="39" spans="2:9" ht="15.75" x14ac:dyDescent="0.25">
      <c r="B39" s="249"/>
      <c r="C39" s="250"/>
      <c r="D39" s="251"/>
      <c r="E39" s="251"/>
      <c r="F39" s="250"/>
      <c r="G39" s="237"/>
      <c r="H39" s="240"/>
      <c r="I39" s="240"/>
    </row>
    <row r="40" spans="2:9" ht="15.75" x14ac:dyDescent="0.25">
      <c r="B40" s="249"/>
      <c r="C40" s="250"/>
      <c r="D40" s="251"/>
      <c r="E40" s="251"/>
      <c r="F40" s="250"/>
      <c r="G40" s="237"/>
      <c r="H40" s="240"/>
      <c r="I40" s="240"/>
    </row>
    <row r="41" spans="2:9" ht="15.75" x14ac:dyDescent="0.25">
      <c r="B41" s="249"/>
      <c r="C41" s="250"/>
      <c r="D41" s="251"/>
      <c r="E41" s="251"/>
      <c r="F41" s="250"/>
      <c r="G41" s="237"/>
      <c r="H41" s="240"/>
      <c r="I41" s="240"/>
    </row>
    <row r="42" spans="2:9" ht="15.75" x14ac:dyDescent="0.25">
      <c r="B42" s="249"/>
      <c r="C42" s="250"/>
      <c r="D42" s="251"/>
      <c r="E42" s="251"/>
      <c r="F42" s="250"/>
      <c r="G42" s="237"/>
      <c r="H42" s="240"/>
      <c r="I42" s="240"/>
    </row>
    <row r="43" spans="2:9" ht="15.75" x14ac:dyDescent="0.25">
      <c r="B43" s="249"/>
      <c r="C43" s="250"/>
      <c r="D43" s="251"/>
      <c r="E43" s="251"/>
      <c r="F43" s="250"/>
      <c r="G43" s="237"/>
      <c r="H43" s="240"/>
      <c r="I43" s="240"/>
    </row>
    <row r="44" spans="2:9" ht="15.75" x14ac:dyDescent="0.25">
      <c r="B44" s="249"/>
      <c r="C44" s="250"/>
      <c r="D44" s="251"/>
      <c r="E44" s="251"/>
      <c r="F44" s="250"/>
      <c r="G44" s="237"/>
      <c r="H44" s="240"/>
      <c r="I44" s="240"/>
    </row>
    <row r="45" spans="2:9" ht="15.75" x14ac:dyDescent="0.25">
      <c r="B45" s="249"/>
      <c r="C45" s="250"/>
      <c r="D45" s="251"/>
      <c r="E45" s="251"/>
      <c r="F45" s="250"/>
      <c r="G45" s="237"/>
      <c r="H45" s="240"/>
      <c r="I45" s="240"/>
    </row>
    <row r="46" spans="2:9" ht="15.75" x14ac:dyDescent="0.25">
      <c r="B46" s="249"/>
      <c r="C46" s="250"/>
      <c r="D46" s="251"/>
      <c r="E46" s="251"/>
      <c r="F46" s="250"/>
      <c r="G46" s="237"/>
      <c r="H46" s="240"/>
      <c r="I46" s="240"/>
    </row>
    <row r="47" spans="2:9" ht="15.75" x14ac:dyDescent="0.25">
      <c r="B47" s="249"/>
      <c r="C47" s="250"/>
      <c r="D47" s="251"/>
      <c r="E47" s="251"/>
      <c r="F47" s="250"/>
      <c r="G47" s="237"/>
      <c r="H47" s="240"/>
      <c r="I47" s="240"/>
    </row>
    <row r="48" spans="2:9" ht="15.75" x14ac:dyDescent="0.25">
      <c r="B48" s="249"/>
      <c r="C48" s="250"/>
      <c r="D48" s="251"/>
      <c r="E48" s="251"/>
      <c r="F48" s="250"/>
      <c r="G48" s="237"/>
      <c r="H48" s="240"/>
      <c r="I48" s="240"/>
    </row>
    <row r="49" spans="2:9" ht="15.75" x14ac:dyDescent="0.25">
      <c r="B49" s="249"/>
      <c r="C49" s="250"/>
      <c r="D49" s="251"/>
      <c r="E49" s="251"/>
      <c r="F49" s="250"/>
      <c r="G49" s="237"/>
      <c r="H49" s="240"/>
      <c r="I49" s="240"/>
    </row>
    <row r="50" spans="2:9" ht="15.75" x14ac:dyDescent="0.25">
      <c r="B50" s="249"/>
      <c r="C50" s="250"/>
      <c r="D50" s="251"/>
      <c r="E50" s="251"/>
      <c r="F50" s="250"/>
      <c r="G50" s="237"/>
      <c r="H50" s="240"/>
      <c r="I50" s="240"/>
    </row>
    <row r="51" spans="2:9" ht="15.75" x14ac:dyDescent="0.25">
      <c r="B51" s="249"/>
      <c r="C51" s="250"/>
      <c r="D51" s="251"/>
      <c r="E51" s="251"/>
      <c r="F51" s="250"/>
      <c r="G51" s="237"/>
      <c r="H51" s="240"/>
      <c r="I51" s="240"/>
    </row>
    <row r="52" spans="2:9" ht="15.75" x14ac:dyDescent="0.25">
      <c r="B52" s="249"/>
      <c r="C52" s="250"/>
      <c r="D52" s="251"/>
      <c r="E52" s="251"/>
      <c r="F52" s="250"/>
      <c r="G52" s="237"/>
      <c r="H52" s="240"/>
      <c r="I52" s="240"/>
    </row>
    <row r="53" spans="2:9" ht="15.75" x14ac:dyDescent="0.25">
      <c r="B53" s="249"/>
      <c r="C53" s="250"/>
      <c r="D53" s="251"/>
      <c r="E53" s="251"/>
      <c r="F53" s="250"/>
      <c r="G53" s="237"/>
      <c r="H53" s="240"/>
      <c r="I53" s="240"/>
    </row>
    <row r="54" spans="2:9" ht="15.75" x14ac:dyDescent="0.25">
      <c r="B54" s="249"/>
      <c r="C54" s="250"/>
      <c r="D54" s="251"/>
      <c r="E54" s="251"/>
      <c r="F54" s="250"/>
      <c r="G54" s="237"/>
      <c r="H54" s="240"/>
      <c r="I54" s="240"/>
    </row>
    <row r="55" spans="2:9" ht="15.75" x14ac:dyDescent="0.25">
      <c r="B55" s="249"/>
      <c r="C55" s="250"/>
      <c r="D55" s="251"/>
      <c r="E55" s="251"/>
      <c r="F55" s="250"/>
      <c r="G55" s="237"/>
      <c r="H55" s="240"/>
      <c r="I55" s="240"/>
    </row>
    <row r="56" spans="2:9" x14ac:dyDescent="0.25">
      <c r="B56" s="249"/>
      <c r="C56" s="250"/>
      <c r="D56" s="251"/>
      <c r="E56" s="251"/>
      <c r="F56" s="250"/>
      <c r="G56" s="237"/>
      <c r="H56" s="248"/>
      <c r="I56" s="248"/>
    </row>
    <row r="57" spans="2:9" x14ac:dyDescent="0.25">
      <c r="B57" s="249"/>
      <c r="C57" s="250"/>
      <c r="D57" s="251"/>
      <c r="E57" s="251"/>
      <c r="F57" s="250"/>
      <c r="G57" s="237"/>
      <c r="H57" s="248"/>
      <c r="I57" s="248"/>
    </row>
    <row r="58" spans="2:9" x14ac:dyDescent="0.25">
      <c r="B58" s="249"/>
      <c r="C58" s="250"/>
      <c r="D58" s="251"/>
      <c r="E58" s="251"/>
      <c r="F58" s="250"/>
      <c r="G58" s="237"/>
      <c r="H58" s="248"/>
      <c r="I58" s="248"/>
    </row>
    <row r="59" spans="2:9" x14ac:dyDescent="0.25">
      <c r="B59" s="249"/>
      <c r="C59" s="250"/>
      <c r="D59" s="251"/>
      <c r="E59" s="251"/>
      <c r="F59" s="250"/>
      <c r="G59" s="237"/>
      <c r="H59" s="248"/>
      <c r="I59" s="248"/>
    </row>
    <row r="60" spans="2:9" x14ac:dyDescent="0.25">
      <c r="B60" s="249"/>
      <c r="C60" s="250"/>
      <c r="D60" s="251"/>
      <c r="E60" s="251"/>
      <c r="F60" s="250"/>
      <c r="G60" s="237"/>
      <c r="H60" s="248"/>
      <c r="I60" s="248"/>
    </row>
    <row r="61" spans="2:9" x14ac:dyDescent="0.25">
      <c r="B61" s="249"/>
      <c r="C61" s="250"/>
      <c r="D61" s="251"/>
      <c r="E61" s="251"/>
      <c r="F61" s="250"/>
      <c r="G61" s="237"/>
      <c r="H61" s="248"/>
      <c r="I61" s="248"/>
    </row>
    <row r="62" spans="2:9" x14ac:dyDescent="0.25">
      <c r="B62" s="249"/>
      <c r="C62" s="250"/>
      <c r="D62" s="251"/>
      <c r="E62" s="251"/>
      <c r="F62" s="250"/>
      <c r="G62" s="237"/>
      <c r="H62" s="248"/>
      <c r="I62" s="248"/>
    </row>
    <row r="63" spans="2:9" x14ac:dyDescent="0.25">
      <c r="B63" s="249"/>
      <c r="C63" s="250"/>
      <c r="D63" s="251"/>
      <c r="E63" s="251"/>
      <c r="F63" s="250"/>
      <c r="G63" s="237"/>
      <c r="H63" s="248"/>
      <c r="I63" s="248"/>
    </row>
    <row r="64" spans="2:9" x14ac:dyDescent="0.25">
      <c r="B64" s="249"/>
      <c r="C64" s="250"/>
      <c r="D64" s="251"/>
      <c r="E64" s="251"/>
      <c r="F64" s="250"/>
      <c r="G64" s="237"/>
      <c r="H64" s="248"/>
      <c r="I64" s="248"/>
    </row>
    <row r="65" spans="2:9" x14ac:dyDescent="0.25">
      <c r="B65" s="249"/>
      <c r="C65" s="250"/>
      <c r="D65" s="251"/>
      <c r="E65" s="251"/>
      <c r="F65" s="250"/>
      <c r="G65" s="237"/>
      <c r="H65" s="248"/>
      <c r="I65" s="248"/>
    </row>
    <row r="66" spans="2:9" x14ac:dyDescent="0.25">
      <c r="B66" s="249"/>
      <c r="C66" s="250"/>
      <c r="D66" s="251"/>
      <c r="E66" s="251"/>
      <c r="F66" s="250"/>
      <c r="G66" s="237"/>
      <c r="H66" s="248"/>
      <c r="I66" s="248"/>
    </row>
    <row r="67" spans="2:9" x14ac:dyDescent="0.25">
      <c r="B67" s="249"/>
      <c r="C67" s="250"/>
      <c r="D67" s="251"/>
      <c r="E67" s="251"/>
      <c r="F67" s="250"/>
      <c r="G67" s="237"/>
      <c r="H67" s="248"/>
      <c r="I67" s="248"/>
    </row>
    <row r="68" spans="2:9" x14ac:dyDescent="0.25">
      <c r="B68" s="249"/>
      <c r="C68" s="250"/>
      <c r="D68" s="251"/>
      <c r="E68" s="251"/>
      <c r="F68" s="250"/>
      <c r="G68" s="237"/>
      <c r="H68" s="248"/>
      <c r="I68" s="248"/>
    </row>
    <row r="69" spans="2:9" x14ac:dyDescent="0.25">
      <c r="B69" s="249"/>
      <c r="C69" s="250"/>
      <c r="D69" s="251"/>
      <c r="E69" s="251"/>
      <c r="F69" s="250"/>
      <c r="G69" s="237"/>
      <c r="H69" s="248"/>
      <c r="I69" s="248"/>
    </row>
    <row r="70" spans="2:9" x14ac:dyDescent="0.25">
      <c r="B70" s="249"/>
      <c r="C70" s="250"/>
      <c r="D70" s="251"/>
      <c r="E70" s="251"/>
      <c r="F70" s="250"/>
      <c r="G70" s="237"/>
      <c r="H70" s="253"/>
      <c r="I70" s="253"/>
    </row>
    <row r="71" spans="2:9" x14ac:dyDescent="0.25">
      <c r="B71" s="249"/>
      <c r="C71" s="250"/>
      <c r="D71" s="251"/>
      <c r="E71" s="251"/>
      <c r="F71" s="250"/>
      <c r="G71" s="237"/>
      <c r="H71" s="253"/>
      <c r="I71" s="253"/>
    </row>
    <row r="72" spans="2:9" x14ac:dyDescent="0.25">
      <c r="B72" s="249"/>
      <c r="C72" s="250"/>
      <c r="D72" s="251"/>
      <c r="E72" s="251"/>
      <c r="F72" s="250"/>
      <c r="G72" s="237"/>
      <c r="H72" s="253"/>
      <c r="I72" s="253"/>
    </row>
    <row r="73" spans="2:9" x14ac:dyDescent="0.25">
      <c r="B73" s="249"/>
      <c r="C73" s="250"/>
      <c r="D73" s="251"/>
      <c r="E73" s="251"/>
      <c r="F73" s="250"/>
      <c r="G73" s="237"/>
      <c r="H73" s="253"/>
      <c r="I73" s="253"/>
    </row>
    <row r="74" spans="2:9" x14ac:dyDescent="0.25">
      <c r="B74" s="249"/>
      <c r="C74" s="250"/>
      <c r="D74" s="251"/>
      <c r="E74" s="251"/>
      <c r="F74" s="250"/>
      <c r="G74" s="237"/>
      <c r="H74" s="253"/>
      <c r="I74" s="253"/>
    </row>
    <row r="75" spans="2:9" x14ac:dyDescent="0.25">
      <c r="B75" s="249"/>
      <c r="C75" s="250"/>
      <c r="D75" s="251"/>
      <c r="E75" s="251"/>
      <c r="F75" s="250"/>
      <c r="G75" s="237"/>
      <c r="H75" s="253"/>
      <c r="I75" s="253"/>
    </row>
    <row r="76" spans="2:9" x14ac:dyDescent="0.25">
      <c r="B76" s="249"/>
      <c r="C76" s="250"/>
      <c r="D76" s="251"/>
      <c r="E76" s="251"/>
      <c r="F76" s="250"/>
      <c r="G76" s="237"/>
      <c r="H76" s="253"/>
      <c r="I76" s="253"/>
    </row>
    <row r="77" spans="2:9" x14ac:dyDescent="0.25">
      <c r="B77" s="249"/>
      <c r="C77" s="250"/>
      <c r="D77" s="251"/>
      <c r="E77" s="251"/>
      <c r="F77" s="250"/>
      <c r="G77" s="237"/>
      <c r="H77" s="253"/>
      <c r="I77" s="253"/>
    </row>
    <row r="78" spans="2:9" x14ac:dyDescent="0.25">
      <c r="B78" s="249"/>
      <c r="C78" s="250"/>
      <c r="D78" s="251"/>
      <c r="E78" s="251"/>
      <c r="F78" s="250"/>
      <c r="G78" s="237"/>
      <c r="H78" s="253"/>
      <c r="I78" s="253"/>
    </row>
    <row r="79" spans="2:9" x14ac:dyDescent="0.25">
      <c r="B79" s="249"/>
      <c r="C79" s="250"/>
      <c r="D79" s="251"/>
      <c r="E79" s="251"/>
      <c r="F79" s="250"/>
      <c r="G79" s="237"/>
      <c r="H79" s="253"/>
      <c r="I79" s="253"/>
    </row>
    <row r="80" spans="2:9" x14ac:dyDescent="0.25">
      <c r="B80" s="249"/>
      <c r="C80" s="250"/>
      <c r="D80" s="251"/>
      <c r="E80" s="251"/>
      <c r="F80" s="250"/>
      <c r="G80" s="237"/>
      <c r="H80" s="253"/>
      <c r="I80" s="253"/>
    </row>
    <row r="81" spans="2:9" x14ac:dyDescent="0.25">
      <c r="B81" s="249"/>
      <c r="C81" s="250"/>
      <c r="D81" s="251"/>
      <c r="E81" s="251"/>
      <c r="F81" s="250"/>
      <c r="G81" s="237"/>
      <c r="H81" s="253"/>
      <c r="I81" s="253"/>
    </row>
    <row r="82" spans="2:9" x14ac:dyDescent="0.25">
      <c r="B82" s="249"/>
      <c r="C82" s="250"/>
      <c r="D82" s="251"/>
      <c r="E82" s="251"/>
      <c r="F82" s="250"/>
      <c r="G82" s="237"/>
      <c r="H82" s="253"/>
      <c r="I82" s="253"/>
    </row>
    <row r="83" spans="2:9" x14ac:dyDescent="0.25">
      <c r="B83" s="249"/>
      <c r="C83" s="250"/>
      <c r="D83" s="251"/>
      <c r="E83" s="251"/>
      <c r="F83" s="250"/>
      <c r="G83" s="237"/>
      <c r="H83" s="253"/>
      <c r="I83" s="253"/>
    </row>
    <row r="84" spans="2:9" x14ac:dyDescent="0.25">
      <c r="B84" s="249"/>
      <c r="C84" s="250"/>
      <c r="D84" s="251"/>
      <c r="E84" s="251"/>
      <c r="F84" s="250"/>
      <c r="G84" s="237"/>
      <c r="H84" s="253"/>
      <c r="I84" s="253"/>
    </row>
  </sheetData>
  <mergeCells count="4">
    <mergeCell ref="B5:B6"/>
    <mergeCell ref="C5:F6"/>
    <mergeCell ref="B28:F28"/>
    <mergeCell ref="B29:F29"/>
  </mergeCells>
  <hyperlinks>
    <hyperlink ref="H12" location="'Abacate formação'!A1" display="Abacate - formação"/>
    <hyperlink ref="H14" location="'Abacaxi produção'!A1" display="Abacaxi - produção"/>
    <hyperlink ref="H15" location="'Acerola formação'!A1" display="Acerola - formação"/>
    <hyperlink ref="H16" location="'Acerola produção'!A1" display="Acerola - produção"/>
    <hyperlink ref="H17" location="'Banana formação'!A1" display="Banana - formação"/>
    <hyperlink ref="H18" location="'Banana produção'!A1" display="Banana - produção"/>
    <hyperlink ref="H19" location="'Laranja industria formação'!A1" display="Citros - formação"/>
    <hyperlink ref="H20" location="'Laranja industria produção'!A1" display="Citros - produção"/>
    <hyperlink ref="H23" location="'Goiaba formação'!A1" display="Goiaba - formação"/>
    <hyperlink ref="H24" location="'Goiaba produção'!A1" display="Goiaba - produção"/>
    <hyperlink ref="H25" location="'Graviola formação'!A1" display="Graviola - formação"/>
    <hyperlink ref="H26" location="'Graviola produção'!A1" display="Graviola -produção"/>
    <hyperlink ref="H28" location="'Mamão produção'!A1" display="Mamão - produção"/>
    <hyperlink ref="H29" location="'Manga formação'!A1" display="Manga - formação"/>
    <hyperlink ref="H30" location="'Manga produção'!A1" display="Manga - produção"/>
    <hyperlink ref="H32" location="'Maracujá produção'!A1" display="Maracujá - produção"/>
    <hyperlink ref="H8" location="'Análise de solo'!A1" display="Análise de solo"/>
    <hyperlink ref="H10" location="Espaçamentos!A1" display="Espaçamentos"/>
    <hyperlink ref="H9" location="'Análise foliar'!A1" display="Análise foliar"/>
    <hyperlink ref="H11" location="'Adubos e corretivos'!A1" display="Adubos e corretivos"/>
    <hyperlink ref="H13" location="'Abacate produção'!A1" display="Abacate - produção"/>
    <hyperlink ref="H34" location="'Pitaya produção'!A1" display="Pitaya - produção"/>
    <hyperlink ref="H33" location="'Pitaya formação'!A1" display="Pitaya - formação"/>
    <hyperlink ref="H31" location="'Maracujá formação'!A1" display="Maracujá - formação"/>
    <hyperlink ref="H21" location="'Limão e Lima formação'!A1" display="Laranja industria - formação"/>
    <hyperlink ref="H22" location="'Limão e Lima produção'!A1" display="Laranja industria - produção"/>
    <hyperlink ref="H27" location="'Mamão produção'!A1" display="Mamão - produção"/>
    <hyperlink ref="H36" location="'Laranja Tangerina mesa produção'!A1" display="Laranja e tangerinas - produção"/>
    <hyperlink ref="H35" location="'Laranja Tangerina mesa formação'!A1" display="Laranja e tangerinas - formação"/>
  </hyperlink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3"/>
  <sheetViews>
    <sheetView showGridLines="0" topLeftCell="G1" workbookViewId="0">
      <selection activeCell="Q9" sqref="Q9"/>
    </sheetView>
  </sheetViews>
  <sheetFormatPr defaultRowHeight="18" x14ac:dyDescent="0.25"/>
  <cols>
    <col min="1" max="1" width="0" style="170" hidden="1" customWidth="1"/>
    <col min="2" max="2" width="20.140625" style="170" bestFit="1" customWidth="1"/>
    <col min="3" max="3" width="28.28515625" style="170" bestFit="1" customWidth="1"/>
    <col min="4" max="4" width="2.140625" style="170" bestFit="1" customWidth="1"/>
    <col min="5" max="5" width="2.85546875" style="170" bestFit="1" customWidth="1"/>
    <col min="6" max="6" width="28.28515625" style="170" bestFit="1" customWidth="1"/>
    <col min="7" max="7" width="9.140625" style="170"/>
    <col min="8" max="8" width="12.5703125" style="170" bestFit="1" customWidth="1"/>
    <col min="9" max="9" width="17.85546875" style="170" customWidth="1"/>
    <col min="10" max="11" width="9.140625" style="170"/>
    <col min="12" max="12" width="19.5703125" style="170" bestFit="1" customWidth="1"/>
    <col min="13" max="16384" width="9.140625" style="170"/>
  </cols>
  <sheetData>
    <row r="1" spans="1:12" x14ac:dyDescent="0.25">
      <c r="A1" s="169"/>
    </row>
    <row r="3" spans="1:12" x14ac:dyDescent="0.25">
      <c r="B3" s="421" t="s">
        <v>430</v>
      </c>
      <c r="C3" s="421"/>
      <c r="D3" s="421"/>
      <c r="E3" s="421"/>
      <c r="F3" s="421"/>
    </row>
    <row r="4" spans="1:12" ht="18.75" thickBot="1" x14ac:dyDescent="0.3">
      <c r="B4" s="422"/>
      <c r="C4" s="422"/>
      <c r="D4" s="422"/>
      <c r="E4" s="422"/>
      <c r="F4" s="422"/>
    </row>
    <row r="5" spans="1:12" x14ac:dyDescent="0.25">
      <c r="B5" s="423" t="s">
        <v>374</v>
      </c>
      <c r="C5" s="415" t="s">
        <v>375</v>
      </c>
      <c r="D5" s="416"/>
      <c r="E5" s="416"/>
      <c r="F5" s="417"/>
      <c r="H5" s="413" t="s">
        <v>376</v>
      </c>
      <c r="I5" s="413"/>
      <c r="K5" s="346" t="s">
        <v>311</v>
      </c>
      <c r="L5" s="346"/>
    </row>
    <row r="6" spans="1:12" ht="16.5" customHeight="1" thickBot="1" x14ac:dyDescent="0.3">
      <c r="B6" s="424"/>
      <c r="C6" s="418"/>
      <c r="D6" s="419"/>
      <c r="E6" s="419"/>
      <c r="F6" s="420"/>
      <c r="H6" s="171"/>
      <c r="I6" s="172"/>
    </row>
    <row r="7" spans="1:12" ht="18.75" thickBot="1" x14ac:dyDescent="0.3">
      <c r="B7" s="173"/>
      <c r="C7" s="174" t="s">
        <v>377</v>
      </c>
      <c r="D7" s="175" t="s">
        <v>378</v>
      </c>
      <c r="E7" s="176">
        <f>B7*0.394</f>
        <v>0</v>
      </c>
      <c r="F7" s="174" t="s">
        <v>379</v>
      </c>
      <c r="H7" s="177" t="s">
        <v>380</v>
      </c>
      <c r="I7" s="172"/>
    </row>
    <row r="8" spans="1:12" ht="21.75" thickBot="1" x14ac:dyDescent="0.3">
      <c r="B8" s="173"/>
      <c r="C8" s="174" t="s">
        <v>381</v>
      </c>
      <c r="D8" s="175" t="s">
        <v>378</v>
      </c>
      <c r="E8" s="176">
        <f>B8*39.37</f>
        <v>0</v>
      </c>
      <c r="F8" s="174" t="s">
        <v>379</v>
      </c>
      <c r="H8" s="171"/>
      <c r="I8" s="172"/>
      <c r="L8" s="177" t="s">
        <v>546</v>
      </c>
    </row>
    <row r="9" spans="1:12" ht="21.75" thickBot="1" x14ac:dyDescent="0.3">
      <c r="B9" s="173"/>
      <c r="C9" s="174" t="s">
        <v>381</v>
      </c>
      <c r="D9" s="175" t="s">
        <v>378</v>
      </c>
      <c r="E9" s="176">
        <f>B9*3.281</f>
        <v>0</v>
      </c>
      <c r="F9" s="174" t="s">
        <v>382</v>
      </c>
      <c r="H9" s="414" t="s">
        <v>547</v>
      </c>
      <c r="I9" s="414"/>
      <c r="L9" s="171"/>
    </row>
    <row r="10" spans="1:12" ht="21.75" thickBot="1" x14ac:dyDescent="0.3">
      <c r="B10" s="173"/>
      <c r="C10" s="174" t="s">
        <v>383</v>
      </c>
      <c r="D10" s="175" t="s">
        <v>378</v>
      </c>
      <c r="E10" s="176">
        <f>B10*0.621</f>
        <v>0</v>
      </c>
      <c r="F10" s="174" t="s">
        <v>384</v>
      </c>
      <c r="H10" s="171"/>
      <c r="I10" s="172"/>
      <c r="L10" s="177" t="s">
        <v>548</v>
      </c>
    </row>
    <row r="11" spans="1:12" ht="21.75" thickBot="1" x14ac:dyDescent="0.3">
      <c r="B11" s="173"/>
      <c r="C11" s="174" t="s">
        <v>385</v>
      </c>
      <c r="D11" s="175" t="s">
        <v>378</v>
      </c>
      <c r="E11" s="176">
        <f>B11*2.54</f>
        <v>0</v>
      </c>
      <c r="F11" s="174" t="s">
        <v>386</v>
      </c>
      <c r="H11" s="414" t="s">
        <v>549</v>
      </c>
      <c r="I11" s="414"/>
      <c r="L11" s="171"/>
    </row>
    <row r="12" spans="1:12" ht="18.75" thickBot="1" x14ac:dyDescent="0.3">
      <c r="B12" s="173"/>
      <c r="C12" s="174" t="s">
        <v>387</v>
      </c>
      <c r="D12" s="175" t="s">
        <v>378</v>
      </c>
      <c r="E12" s="176">
        <f>B12*0.305</f>
        <v>0</v>
      </c>
      <c r="F12" s="174" t="s">
        <v>388</v>
      </c>
      <c r="H12" s="178"/>
      <c r="I12" s="172"/>
      <c r="L12" s="177" t="s">
        <v>405</v>
      </c>
    </row>
    <row r="13" spans="1:12" ht="21.75" thickBot="1" x14ac:dyDescent="0.3">
      <c r="B13" s="173"/>
      <c r="C13" s="174" t="s">
        <v>387</v>
      </c>
      <c r="D13" s="175" t="s">
        <v>378</v>
      </c>
      <c r="E13" s="176">
        <f>B13*30.48</f>
        <v>0</v>
      </c>
      <c r="F13" s="174" t="s">
        <v>386</v>
      </c>
      <c r="H13" s="414" t="s">
        <v>550</v>
      </c>
      <c r="I13" s="414"/>
      <c r="L13" s="171"/>
    </row>
    <row r="14" spans="1:12" ht="18.75" thickBot="1" x14ac:dyDescent="0.3">
      <c r="B14" s="179"/>
      <c r="C14" s="174" t="s">
        <v>389</v>
      </c>
      <c r="D14" s="175" t="s">
        <v>378</v>
      </c>
      <c r="E14" s="176">
        <f>B14*1.61</f>
        <v>0</v>
      </c>
      <c r="F14" s="174" t="s">
        <v>390</v>
      </c>
      <c r="H14" s="178"/>
      <c r="I14" s="180"/>
      <c r="L14" s="177" t="s">
        <v>408</v>
      </c>
    </row>
    <row r="15" spans="1:12" ht="21.75" thickBot="1" x14ac:dyDescent="0.3">
      <c r="B15" s="169"/>
      <c r="H15" s="414" t="s">
        <v>551</v>
      </c>
      <c r="I15" s="414"/>
      <c r="L15" s="171"/>
    </row>
    <row r="16" spans="1:12" ht="21.75" thickBot="1" x14ac:dyDescent="0.3">
      <c r="B16" s="169"/>
      <c r="C16" s="410" t="s">
        <v>391</v>
      </c>
      <c r="D16" s="411"/>
      <c r="E16" s="411"/>
      <c r="F16" s="412"/>
      <c r="H16" s="178"/>
      <c r="I16" s="180"/>
      <c r="L16" s="177" t="s">
        <v>552</v>
      </c>
    </row>
    <row r="17" spans="2:12" ht="21.75" thickBot="1" x14ac:dyDescent="0.3">
      <c r="B17" s="181"/>
      <c r="C17" s="174" t="s">
        <v>392</v>
      </c>
      <c r="D17" s="175" t="s">
        <v>378</v>
      </c>
      <c r="E17" s="176">
        <f>B17*0.2642</f>
        <v>0</v>
      </c>
      <c r="F17" s="174" t="s">
        <v>393</v>
      </c>
      <c r="H17" s="414" t="s">
        <v>553</v>
      </c>
      <c r="I17" s="414"/>
      <c r="L17" s="172"/>
    </row>
    <row r="18" spans="2:12" ht="18.75" thickBot="1" x14ac:dyDescent="0.3">
      <c r="B18" s="173"/>
      <c r="C18" s="174" t="s">
        <v>394</v>
      </c>
      <c r="D18" s="175" t="s">
        <v>378</v>
      </c>
      <c r="E18" s="176">
        <f>B18*264.2</f>
        <v>0</v>
      </c>
      <c r="F18" s="174" t="s">
        <v>393</v>
      </c>
      <c r="H18" s="171"/>
      <c r="I18" s="180"/>
    </row>
    <row r="19" spans="2:12" ht="21.75" thickBot="1" x14ac:dyDescent="0.3">
      <c r="B19" s="173"/>
      <c r="C19" s="174" t="s">
        <v>394</v>
      </c>
      <c r="D19" s="175" t="s">
        <v>378</v>
      </c>
      <c r="E19" s="176">
        <f>B19*35.31</f>
        <v>0</v>
      </c>
      <c r="F19" s="174" t="s">
        <v>395</v>
      </c>
      <c r="H19" s="414" t="s">
        <v>554</v>
      </c>
      <c r="I19" s="414"/>
    </row>
    <row r="20" spans="2:12" ht="18.75" thickBot="1" x14ac:dyDescent="0.3">
      <c r="B20" s="173"/>
      <c r="C20" s="174" t="s">
        <v>396</v>
      </c>
      <c r="D20" s="175" t="s">
        <v>378</v>
      </c>
      <c r="E20" s="176">
        <f>B20*3.785</f>
        <v>0</v>
      </c>
      <c r="F20" s="174" t="s">
        <v>397</v>
      </c>
      <c r="H20" s="171"/>
      <c r="I20" s="180"/>
    </row>
    <row r="21" spans="2:12" ht="21.75" thickBot="1" x14ac:dyDescent="0.3">
      <c r="B21" s="173"/>
      <c r="C21" s="174" t="s">
        <v>396</v>
      </c>
      <c r="D21" s="175" t="s">
        <v>378</v>
      </c>
      <c r="E21" s="176">
        <f>B21*0.134</f>
        <v>0</v>
      </c>
      <c r="F21" s="174" t="s">
        <v>395</v>
      </c>
      <c r="H21" s="414" t="s">
        <v>555</v>
      </c>
      <c r="I21" s="414"/>
    </row>
    <row r="22" spans="2:12" ht="18.75" thickBot="1" x14ac:dyDescent="0.3">
      <c r="B22" s="173"/>
      <c r="C22" s="174" t="s">
        <v>398</v>
      </c>
      <c r="D22" s="175" t="s">
        <v>378</v>
      </c>
      <c r="E22" s="176">
        <f>B22*28.32</f>
        <v>0</v>
      </c>
      <c r="F22" s="174" t="s">
        <v>397</v>
      </c>
      <c r="H22" s="171"/>
      <c r="I22" s="180"/>
    </row>
    <row r="23" spans="2:12" ht="21.75" thickBot="1" x14ac:dyDescent="0.3">
      <c r="B23" s="179"/>
      <c r="C23" s="174" t="s">
        <v>398</v>
      </c>
      <c r="D23" s="175" t="s">
        <v>378</v>
      </c>
      <c r="E23" s="176">
        <f>B23*7.481</f>
        <v>0</v>
      </c>
      <c r="F23" s="174" t="s">
        <v>393</v>
      </c>
      <c r="H23" s="414" t="s">
        <v>556</v>
      </c>
      <c r="I23" s="414"/>
    </row>
    <row r="24" spans="2:12" x14ac:dyDescent="0.25">
      <c r="B24" s="169"/>
      <c r="C24" s="182"/>
      <c r="D24" s="182"/>
      <c r="E24" s="183"/>
      <c r="F24" s="183"/>
      <c r="H24" s="171"/>
      <c r="I24" s="180"/>
    </row>
    <row r="25" spans="2:12" ht="18.75" thickBot="1" x14ac:dyDescent="0.3">
      <c r="B25" s="169"/>
      <c r="C25" s="182"/>
      <c r="D25" s="182"/>
      <c r="E25" s="183"/>
      <c r="F25" s="183"/>
      <c r="H25" s="171"/>
      <c r="I25" s="180"/>
    </row>
    <row r="26" spans="2:12" ht="18.75" thickBot="1" x14ac:dyDescent="0.3">
      <c r="B26" s="169"/>
      <c r="C26" s="410" t="s">
        <v>399</v>
      </c>
      <c r="D26" s="411"/>
      <c r="E26" s="411"/>
      <c r="F26" s="412"/>
      <c r="I26" s="180"/>
    </row>
    <row r="27" spans="2:12" ht="18.75" thickBot="1" x14ac:dyDescent="0.3">
      <c r="B27" s="181"/>
      <c r="C27" s="174" t="s">
        <v>400</v>
      </c>
      <c r="D27" s="175" t="s">
        <v>378</v>
      </c>
      <c r="E27" s="176">
        <f>B27*2.205</f>
        <v>0</v>
      </c>
      <c r="F27" s="174" t="s">
        <v>401</v>
      </c>
      <c r="I27" s="180"/>
    </row>
    <row r="28" spans="2:12" ht="18.75" thickBot="1" x14ac:dyDescent="0.3">
      <c r="B28" s="173"/>
      <c r="C28" s="174" t="s">
        <v>400</v>
      </c>
      <c r="D28" s="175" t="s">
        <v>378</v>
      </c>
      <c r="E28" s="176">
        <f>B28*35.27</f>
        <v>0</v>
      </c>
      <c r="F28" s="174" t="s">
        <v>402</v>
      </c>
      <c r="I28" s="180"/>
    </row>
    <row r="29" spans="2:12" ht="18.75" thickBot="1" x14ac:dyDescent="0.3">
      <c r="B29" s="173"/>
      <c r="C29" s="174" t="s">
        <v>403</v>
      </c>
      <c r="D29" s="175" t="s">
        <v>378</v>
      </c>
      <c r="E29" s="176">
        <f>B29*0.454</f>
        <v>0</v>
      </c>
      <c r="F29" s="174" t="s">
        <v>404</v>
      </c>
      <c r="I29" s="180"/>
    </row>
    <row r="30" spans="2:12" ht="18.75" thickBot="1" x14ac:dyDescent="0.3">
      <c r="B30" s="179"/>
      <c r="C30" s="174" t="s">
        <v>406</v>
      </c>
      <c r="D30" s="175" t="s">
        <v>378</v>
      </c>
      <c r="E30" s="176">
        <f>B30*28.35</f>
        <v>0</v>
      </c>
      <c r="F30" s="174" t="s">
        <v>407</v>
      </c>
      <c r="I30" s="172"/>
    </row>
    <row r="31" spans="2:12" x14ac:dyDescent="0.25">
      <c r="B31" s="169"/>
      <c r="C31" s="182"/>
      <c r="D31" s="182"/>
      <c r="E31" s="183"/>
      <c r="F31" s="183"/>
      <c r="I31" s="180"/>
    </row>
    <row r="32" spans="2:12" ht="18.75" thickBot="1" x14ac:dyDescent="0.3">
      <c r="B32" s="169"/>
      <c r="C32" s="180"/>
      <c r="D32" s="180"/>
      <c r="E32" s="180"/>
      <c r="F32" s="180"/>
      <c r="I32" s="172"/>
    </row>
    <row r="33" spans="2:9" ht="18.75" thickBot="1" x14ac:dyDescent="0.3">
      <c r="B33" s="169"/>
      <c r="C33" s="415" t="s">
        <v>409</v>
      </c>
      <c r="D33" s="416"/>
      <c r="E33" s="416"/>
      <c r="F33" s="417"/>
      <c r="I33" s="172"/>
    </row>
    <row r="34" spans="2:9" ht="18.75" thickBot="1" x14ac:dyDescent="0.3">
      <c r="B34" s="184"/>
      <c r="C34" s="185" t="s">
        <v>55</v>
      </c>
      <c r="D34" s="186" t="s">
        <v>378</v>
      </c>
      <c r="E34" s="187">
        <f>B34*391</f>
        <v>0</v>
      </c>
      <c r="F34" s="188" t="s">
        <v>410</v>
      </c>
      <c r="I34" s="172"/>
    </row>
    <row r="35" spans="2:9" x14ac:dyDescent="0.25">
      <c r="B35" s="169"/>
      <c r="C35" s="180"/>
      <c r="D35" s="180"/>
      <c r="E35" s="180"/>
      <c r="F35" s="180"/>
      <c r="I35" s="172"/>
    </row>
    <row r="36" spans="2:9" x14ac:dyDescent="0.25">
      <c r="B36" s="169"/>
      <c r="C36" s="180"/>
      <c r="D36" s="180"/>
      <c r="E36" s="180"/>
      <c r="F36" s="180"/>
      <c r="H36" s="172"/>
      <c r="I36" s="172"/>
    </row>
    <row r="37" spans="2:9" ht="18.75" thickBot="1" x14ac:dyDescent="0.3">
      <c r="B37" s="169"/>
      <c r="C37" s="180"/>
      <c r="D37" s="180"/>
      <c r="E37" s="180"/>
      <c r="F37" s="180"/>
      <c r="H37" s="172"/>
      <c r="I37" s="172"/>
    </row>
    <row r="38" spans="2:9" ht="18.75" thickBot="1" x14ac:dyDescent="0.3">
      <c r="B38" s="169"/>
      <c r="C38" s="410" t="s">
        <v>411</v>
      </c>
      <c r="D38" s="411"/>
      <c r="E38" s="411"/>
      <c r="F38" s="412"/>
      <c r="H38" s="172"/>
      <c r="I38" s="172"/>
    </row>
    <row r="39" spans="2:9" ht="36.75" thickBot="1" x14ac:dyDescent="0.3">
      <c r="B39" s="181"/>
      <c r="C39" s="174" t="s">
        <v>412</v>
      </c>
      <c r="D39" s="175" t="s">
        <v>378</v>
      </c>
      <c r="E39" s="176">
        <f>B39*3.6</f>
        <v>0</v>
      </c>
      <c r="F39" s="174" t="s">
        <v>413</v>
      </c>
      <c r="H39" s="172"/>
      <c r="I39" s="172"/>
    </row>
    <row r="40" spans="2:9" ht="18.75" thickBot="1" x14ac:dyDescent="0.3">
      <c r="B40" s="173"/>
      <c r="C40" s="174" t="s">
        <v>412</v>
      </c>
      <c r="D40" s="175" t="s">
        <v>378</v>
      </c>
      <c r="E40" s="176">
        <f>B40*951.12</f>
        <v>0</v>
      </c>
      <c r="F40" s="174" t="s">
        <v>414</v>
      </c>
      <c r="H40" s="172"/>
      <c r="I40" s="172"/>
    </row>
    <row r="41" spans="2:9" ht="18.75" thickBot="1" x14ac:dyDescent="0.3">
      <c r="B41" s="173"/>
      <c r="C41" s="174" t="s">
        <v>415</v>
      </c>
      <c r="D41" s="175" t="s">
        <v>378</v>
      </c>
      <c r="E41" s="176">
        <f>B41*0.2642</f>
        <v>0</v>
      </c>
      <c r="F41" s="174" t="s">
        <v>416</v>
      </c>
      <c r="H41" s="172"/>
      <c r="I41" s="172"/>
    </row>
    <row r="42" spans="2:9" ht="18.75" thickBot="1" x14ac:dyDescent="0.3">
      <c r="B42" s="173"/>
      <c r="C42" s="174" t="s">
        <v>415</v>
      </c>
      <c r="D42" s="175" t="s">
        <v>378</v>
      </c>
      <c r="E42" s="176">
        <f>B42*15.85</f>
        <v>0</v>
      </c>
      <c r="F42" s="174" t="s">
        <v>414</v>
      </c>
      <c r="H42" s="172"/>
      <c r="I42" s="172"/>
    </row>
    <row r="43" spans="2:9" ht="36.75" thickBot="1" x14ac:dyDescent="0.3">
      <c r="B43" s="173"/>
      <c r="C43" s="174" t="s">
        <v>413</v>
      </c>
      <c r="D43" s="175" t="s">
        <v>378</v>
      </c>
      <c r="E43" s="176">
        <f>B43*0.278</f>
        <v>0</v>
      </c>
      <c r="F43" s="174" t="s">
        <v>412</v>
      </c>
      <c r="H43" s="172"/>
      <c r="I43" s="172"/>
    </row>
    <row r="44" spans="2:9" ht="36.75" thickBot="1" x14ac:dyDescent="0.3">
      <c r="B44" s="173"/>
      <c r="C44" s="174" t="s">
        <v>413</v>
      </c>
      <c r="D44" s="175" t="s">
        <v>378</v>
      </c>
      <c r="E44" s="176">
        <f>B44*16.67</f>
        <v>0</v>
      </c>
      <c r="F44" s="174" t="s">
        <v>415</v>
      </c>
      <c r="H44" s="172"/>
      <c r="I44" s="172"/>
    </row>
    <row r="45" spans="2:9" ht="36.75" thickBot="1" x14ac:dyDescent="0.3">
      <c r="B45" s="173"/>
      <c r="C45" s="174" t="s">
        <v>413</v>
      </c>
      <c r="D45" s="175" t="s">
        <v>378</v>
      </c>
      <c r="E45" s="176">
        <f>B45*4.403</f>
        <v>0</v>
      </c>
      <c r="F45" s="174" t="s">
        <v>416</v>
      </c>
      <c r="H45" s="172"/>
      <c r="I45" s="172"/>
    </row>
    <row r="46" spans="2:9" ht="36.75" thickBot="1" x14ac:dyDescent="0.3">
      <c r="B46" s="173"/>
      <c r="C46" s="174" t="s">
        <v>413</v>
      </c>
      <c r="D46" s="175" t="s">
        <v>378</v>
      </c>
      <c r="E46" s="176">
        <f>B46*264.18</f>
        <v>0</v>
      </c>
      <c r="F46" s="174" t="s">
        <v>414</v>
      </c>
      <c r="H46" s="172"/>
      <c r="I46" s="172"/>
    </row>
    <row r="47" spans="2:9" ht="18.75" thickBot="1" x14ac:dyDescent="0.3">
      <c r="B47" s="173"/>
      <c r="C47" s="174" t="s">
        <v>416</v>
      </c>
      <c r="D47" s="175" t="s">
        <v>378</v>
      </c>
      <c r="E47" s="176">
        <f>B47*0.0631</f>
        <v>0</v>
      </c>
      <c r="F47" s="174" t="s">
        <v>412</v>
      </c>
      <c r="H47" s="172"/>
      <c r="I47" s="172"/>
    </row>
    <row r="48" spans="2:9" ht="18.75" thickBot="1" x14ac:dyDescent="0.3">
      <c r="B48" s="173"/>
      <c r="C48" s="174" t="s">
        <v>416</v>
      </c>
      <c r="D48" s="175" t="s">
        <v>378</v>
      </c>
      <c r="E48" s="176">
        <f>B48*3.785</f>
        <v>0</v>
      </c>
      <c r="F48" s="174" t="s">
        <v>415</v>
      </c>
      <c r="H48" s="172"/>
      <c r="I48" s="172"/>
    </row>
    <row r="49" spans="2:9" ht="36.75" thickBot="1" x14ac:dyDescent="0.3">
      <c r="B49" s="173"/>
      <c r="C49" s="174" t="s">
        <v>416</v>
      </c>
      <c r="D49" s="175" t="s">
        <v>378</v>
      </c>
      <c r="E49" s="176">
        <f>B49*0.227</f>
        <v>0</v>
      </c>
      <c r="F49" s="174" t="s">
        <v>413</v>
      </c>
      <c r="H49" s="172"/>
      <c r="I49" s="172"/>
    </row>
    <row r="50" spans="2:9" ht="18.75" thickBot="1" x14ac:dyDescent="0.3">
      <c r="B50" s="173"/>
      <c r="C50" s="174" t="s">
        <v>414</v>
      </c>
      <c r="D50" s="175" t="s">
        <v>378</v>
      </c>
      <c r="E50" s="176">
        <f>B50*0.0631</f>
        <v>0</v>
      </c>
      <c r="F50" s="174" t="s">
        <v>415</v>
      </c>
      <c r="H50" s="172"/>
      <c r="I50" s="172"/>
    </row>
    <row r="51" spans="2:9" ht="36.75" thickBot="1" x14ac:dyDescent="0.3">
      <c r="B51" s="179"/>
      <c r="C51" s="174" t="s">
        <v>414</v>
      </c>
      <c r="D51" s="175" t="s">
        <v>378</v>
      </c>
      <c r="E51" s="176">
        <f>B51*0.00379</f>
        <v>0</v>
      </c>
      <c r="F51" s="174" t="s">
        <v>413</v>
      </c>
      <c r="H51" s="172"/>
      <c r="I51" s="172"/>
    </row>
    <row r="52" spans="2:9" x14ac:dyDescent="0.25">
      <c r="B52" s="169"/>
      <c r="C52" s="182"/>
      <c r="D52" s="182"/>
      <c r="E52" s="183"/>
      <c r="F52" s="183"/>
      <c r="H52" s="172"/>
      <c r="I52" s="172"/>
    </row>
    <row r="53" spans="2:9" ht="18.75" thickBot="1" x14ac:dyDescent="0.3">
      <c r="B53" s="169"/>
      <c r="C53" s="182"/>
      <c r="D53" s="182"/>
      <c r="E53" s="183"/>
      <c r="F53" s="183"/>
      <c r="H53" s="172"/>
      <c r="I53" s="172"/>
    </row>
    <row r="54" spans="2:9" ht="18.75" thickBot="1" x14ac:dyDescent="0.3">
      <c r="B54" s="169"/>
      <c r="C54" s="410" t="s">
        <v>417</v>
      </c>
      <c r="D54" s="411"/>
      <c r="E54" s="411"/>
      <c r="F54" s="412"/>
      <c r="H54" s="172"/>
      <c r="I54" s="172"/>
    </row>
    <row r="55" spans="2:9" ht="18.75" thickBot="1" x14ac:dyDescent="0.3">
      <c r="B55" s="181"/>
      <c r="C55" s="174" t="s">
        <v>418</v>
      </c>
      <c r="D55" s="175" t="s">
        <v>378</v>
      </c>
      <c r="E55" s="176">
        <f>B55*0.9863</f>
        <v>0</v>
      </c>
      <c r="F55" s="174" t="s">
        <v>419</v>
      </c>
      <c r="H55" s="172"/>
      <c r="I55" s="172"/>
    </row>
    <row r="56" spans="2:9" ht="18.75" thickBot="1" x14ac:dyDescent="0.3">
      <c r="B56" s="173"/>
      <c r="C56" s="174" t="s">
        <v>419</v>
      </c>
      <c r="D56" s="175" t="s">
        <v>378</v>
      </c>
      <c r="E56" s="176">
        <f>B56*1.014</f>
        <v>0</v>
      </c>
      <c r="F56" s="174" t="s">
        <v>418</v>
      </c>
      <c r="H56" s="180"/>
      <c r="I56" s="180"/>
    </row>
    <row r="57" spans="2:9" ht="18.75" thickBot="1" x14ac:dyDescent="0.3">
      <c r="B57" s="173"/>
      <c r="C57" s="174" t="s">
        <v>419</v>
      </c>
      <c r="D57" s="175" t="s">
        <v>378</v>
      </c>
      <c r="E57" s="176">
        <f>B57*0.7453</f>
        <v>0</v>
      </c>
      <c r="F57" s="174" t="s">
        <v>420</v>
      </c>
      <c r="H57" s="180"/>
      <c r="I57" s="180"/>
    </row>
    <row r="58" spans="2:9" ht="18.75" thickBot="1" x14ac:dyDescent="0.3">
      <c r="B58" s="179"/>
      <c r="C58" s="174" t="s">
        <v>421</v>
      </c>
      <c r="D58" s="175" t="s">
        <v>378</v>
      </c>
      <c r="E58" s="176">
        <f>B58*0.001341</f>
        <v>0</v>
      </c>
      <c r="F58" s="174" t="s">
        <v>419</v>
      </c>
      <c r="H58" s="180"/>
      <c r="I58" s="180"/>
    </row>
    <row r="59" spans="2:9" x14ac:dyDescent="0.25">
      <c r="B59" s="169"/>
      <c r="C59" s="182"/>
      <c r="D59" s="182"/>
      <c r="E59" s="183"/>
      <c r="F59" s="183"/>
      <c r="H59" s="180"/>
      <c r="I59" s="180"/>
    </row>
    <row r="60" spans="2:9" ht="18.75" thickBot="1" x14ac:dyDescent="0.3">
      <c r="B60" s="169"/>
      <c r="C60" s="182"/>
      <c r="D60" s="182"/>
      <c r="E60" s="183"/>
      <c r="F60" s="183"/>
      <c r="H60" s="180"/>
      <c r="I60" s="180"/>
    </row>
    <row r="61" spans="2:9" ht="18.75" thickBot="1" x14ac:dyDescent="0.3">
      <c r="B61" s="169"/>
      <c r="C61" s="410" t="s">
        <v>422</v>
      </c>
      <c r="D61" s="411"/>
      <c r="E61" s="411"/>
      <c r="F61" s="412"/>
      <c r="H61" s="180"/>
      <c r="I61" s="180"/>
    </row>
    <row r="62" spans="2:9" ht="24.75" customHeight="1" thickBot="1" x14ac:dyDescent="0.3">
      <c r="B62" s="181"/>
      <c r="C62" s="174" t="s">
        <v>423</v>
      </c>
      <c r="D62" s="175" t="s">
        <v>378</v>
      </c>
      <c r="E62" s="176">
        <f>B62*0.703</f>
        <v>0</v>
      </c>
      <c r="F62" s="174" t="s">
        <v>424</v>
      </c>
      <c r="H62" s="180"/>
      <c r="I62" s="180"/>
    </row>
    <row r="63" spans="2:9" ht="36.75" thickBot="1" x14ac:dyDescent="0.3">
      <c r="B63" s="173"/>
      <c r="C63" s="174" t="s">
        <v>423</v>
      </c>
      <c r="D63" s="175" t="s">
        <v>378</v>
      </c>
      <c r="E63" s="176">
        <f>B63*2.31</f>
        <v>0</v>
      </c>
      <c r="F63" s="174" t="s">
        <v>425</v>
      </c>
      <c r="H63" s="180"/>
      <c r="I63" s="180"/>
    </row>
    <row r="64" spans="2:9" ht="23.25" customHeight="1" thickBot="1" x14ac:dyDescent="0.3">
      <c r="B64" s="173"/>
      <c r="C64" s="174" t="s">
        <v>423</v>
      </c>
      <c r="D64" s="175" t="s">
        <v>378</v>
      </c>
      <c r="E64" s="176">
        <f>B64*0.0703</f>
        <v>0</v>
      </c>
      <c r="F64" s="189" t="s">
        <v>557</v>
      </c>
      <c r="H64" s="180"/>
      <c r="I64" s="180"/>
    </row>
    <row r="65" spans="2:9" ht="36.75" thickBot="1" x14ac:dyDescent="0.3">
      <c r="B65" s="173"/>
      <c r="C65" s="174" t="s">
        <v>423</v>
      </c>
      <c r="D65" s="175" t="s">
        <v>378</v>
      </c>
      <c r="E65" s="176">
        <f>B65*51.72</f>
        <v>0</v>
      </c>
      <c r="F65" s="174" t="s">
        <v>426</v>
      </c>
      <c r="H65" s="180"/>
      <c r="I65" s="180"/>
    </row>
    <row r="66" spans="2:9" ht="36.75" thickBot="1" x14ac:dyDescent="0.3">
      <c r="B66" s="173"/>
      <c r="C66" s="174" t="s">
        <v>424</v>
      </c>
      <c r="D66" s="175" t="s">
        <v>378</v>
      </c>
      <c r="E66" s="176">
        <f>B66*1.422</f>
        <v>0</v>
      </c>
      <c r="F66" s="174" t="s">
        <v>423</v>
      </c>
      <c r="H66" s="180"/>
      <c r="I66" s="180"/>
    </row>
    <row r="67" spans="2:9" ht="36.75" thickBot="1" x14ac:dyDescent="0.3">
      <c r="B67" s="173"/>
      <c r="C67" s="174" t="s">
        <v>424</v>
      </c>
      <c r="D67" s="175" t="s">
        <v>378</v>
      </c>
      <c r="E67" s="176">
        <f>B67*3.28</f>
        <v>0</v>
      </c>
      <c r="F67" s="174" t="s">
        <v>425</v>
      </c>
      <c r="H67" s="180"/>
      <c r="I67" s="180"/>
    </row>
    <row r="68" spans="2:9" ht="26.25" customHeight="1" thickBot="1" x14ac:dyDescent="0.3">
      <c r="B68" s="173"/>
      <c r="C68" s="174" t="s">
        <v>424</v>
      </c>
      <c r="D68" s="175" t="s">
        <v>378</v>
      </c>
      <c r="E68" s="176">
        <f>B68*0.1</f>
        <v>0</v>
      </c>
      <c r="F68" s="190" t="s">
        <v>557</v>
      </c>
      <c r="H68" s="180"/>
      <c r="I68" s="180"/>
    </row>
    <row r="69" spans="2:9" ht="36.75" thickBot="1" x14ac:dyDescent="0.3">
      <c r="B69" s="173"/>
      <c r="C69" s="174" t="s">
        <v>424</v>
      </c>
      <c r="D69" s="175" t="s">
        <v>378</v>
      </c>
      <c r="E69" s="176">
        <f>B69*73.56</f>
        <v>0</v>
      </c>
      <c r="F69" s="174" t="s">
        <v>426</v>
      </c>
      <c r="H69" s="180"/>
      <c r="I69" s="180"/>
    </row>
    <row r="70" spans="2:9" ht="36.75" thickBot="1" x14ac:dyDescent="0.3">
      <c r="B70" s="173"/>
      <c r="C70" s="174" t="s">
        <v>425</v>
      </c>
      <c r="D70" s="175" t="s">
        <v>378</v>
      </c>
      <c r="E70" s="176">
        <f>B70*0.433</f>
        <v>0</v>
      </c>
      <c r="F70" s="174" t="s">
        <v>423</v>
      </c>
    </row>
    <row r="71" spans="2:9" ht="22.5" customHeight="1" thickBot="1" x14ac:dyDescent="0.3">
      <c r="B71" s="179"/>
      <c r="C71" s="174" t="s">
        <v>425</v>
      </c>
      <c r="D71" s="175" t="s">
        <v>378</v>
      </c>
      <c r="E71" s="176">
        <f>B71*0.304</f>
        <v>0</v>
      </c>
      <c r="F71" s="174" t="s">
        <v>424</v>
      </c>
    </row>
    <row r="72" spans="2:9" ht="22.5" customHeight="1" thickBot="1" x14ac:dyDescent="0.3">
      <c r="B72" s="181"/>
      <c r="C72" s="174" t="s">
        <v>425</v>
      </c>
      <c r="D72" s="175" t="s">
        <v>378</v>
      </c>
      <c r="E72" s="176">
        <f>B72*0.0305</f>
        <v>0</v>
      </c>
      <c r="F72" s="190" t="s">
        <v>557</v>
      </c>
    </row>
    <row r="73" spans="2:9" ht="36.75" thickBot="1" x14ac:dyDescent="0.3">
      <c r="B73" s="173"/>
      <c r="C73" s="174" t="s">
        <v>425</v>
      </c>
      <c r="D73" s="175" t="s">
        <v>378</v>
      </c>
      <c r="E73" s="176">
        <f>B73*22.43</f>
        <v>0</v>
      </c>
      <c r="F73" s="174" t="s">
        <v>426</v>
      </c>
    </row>
    <row r="74" spans="2:9" ht="39.75" thickBot="1" x14ac:dyDescent="0.3">
      <c r="B74" s="173"/>
      <c r="C74" s="174" t="s">
        <v>557</v>
      </c>
      <c r="D74" s="175" t="s">
        <v>378</v>
      </c>
      <c r="E74" s="176">
        <f>B74*14.22</f>
        <v>0</v>
      </c>
      <c r="F74" s="174" t="s">
        <v>423</v>
      </c>
    </row>
    <row r="75" spans="2:9" ht="21.75" customHeight="1" thickBot="1" x14ac:dyDescent="0.3">
      <c r="B75" s="173"/>
      <c r="C75" s="175" t="s">
        <v>557</v>
      </c>
      <c r="D75" s="175" t="s">
        <v>378</v>
      </c>
      <c r="E75" s="176">
        <f>B75*10</f>
        <v>0</v>
      </c>
      <c r="F75" s="174" t="s">
        <v>424</v>
      </c>
    </row>
    <row r="76" spans="2:9" ht="39.75" thickBot="1" x14ac:dyDescent="0.3">
      <c r="B76" s="173"/>
      <c r="C76" s="174" t="s">
        <v>557</v>
      </c>
      <c r="D76" s="175" t="s">
        <v>378</v>
      </c>
      <c r="E76" s="176">
        <f>B76*736</f>
        <v>0</v>
      </c>
      <c r="F76" s="174" t="s">
        <v>426</v>
      </c>
    </row>
    <row r="77" spans="2:9" ht="36.75" thickBot="1" x14ac:dyDescent="0.3">
      <c r="B77" s="173"/>
      <c r="C77" s="174" t="s">
        <v>426</v>
      </c>
      <c r="D77" s="175" t="s">
        <v>378</v>
      </c>
      <c r="E77" s="176">
        <f>B77*0.0193</f>
        <v>0</v>
      </c>
      <c r="F77" s="174" t="s">
        <v>423</v>
      </c>
    </row>
    <row r="78" spans="2:9" ht="25.5" customHeight="1" thickBot="1" x14ac:dyDescent="0.3">
      <c r="B78" s="173"/>
      <c r="C78" s="174" t="s">
        <v>426</v>
      </c>
      <c r="D78" s="175" t="s">
        <v>378</v>
      </c>
      <c r="E78" s="176">
        <f>B78*0.0136</f>
        <v>0</v>
      </c>
      <c r="F78" s="174" t="s">
        <v>424</v>
      </c>
    </row>
    <row r="79" spans="2:9" ht="36.75" thickBot="1" x14ac:dyDescent="0.3">
      <c r="B79" s="173"/>
      <c r="C79" s="174" t="s">
        <v>426</v>
      </c>
      <c r="D79" s="175" t="s">
        <v>378</v>
      </c>
      <c r="E79" s="176">
        <f>B79*0.0446</f>
        <v>0</v>
      </c>
      <c r="F79" s="174" t="s">
        <v>425</v>
      </c>
    </row>
    <row r="80" spans="2:9" ht="23.25" customHeight="1" thickBot="1" x14ac:dyDescent="0.3">
      <c r="B80" s="173"/>
      <c r="C80" s="174" t="s">
        <v>426</v>
      </c>
      <c r="D80" s="175" t="s">
        <v>378</v>
      </c>
      <c r="E80" s="176">
        <f>B80*0.0014</f>
        <v>0</v>
      </c>
      <c r="F80" s="190" t="s">
        <v>557</v>
      </c>
    </row>
    <row r="81" spans="2:6" ht="39.75" thickBot="1" x14ac:dyDescent="0.3">
      <c r="B81" s="173"/>
      <c r="C81" s="174" t="s">
        <v>557</v>
      </c>
      <c r="D81" s="175" t="s">
        <v>378</v>
      </c>
      <c r="E81" s="176">
        <f>B81*1.03</f>
        <v>0</v>
      </c>
      <c r="F81" s="174" t="s">
        <v>427</v>
      </c>
    </row>
    <row r="82" spans="2:6" ht="39.75" thickBot="1" x14ac:dyDescent="0.3">
      <c r="B82" s="173"/>
      <c r="C82" s="174" t="s">
        <v>557</v>
      </c>
      <c r="D82" s="175" t="s">
        <v>378</v>
      </c>
      <c r="E82" s="176">
        <f>B82*1</f>
        <v>0</v>
      </c>
      <c r="F82" s="174" t="s">
        <v>428</v>
      </c>
    </row>
    <row r="83" spans="2:6" ht="18.75" thickBot="1" x14ac:dyDescent="0.3">
      <c r="B83" s="179"/>
      <c r="C83" s="174" t="s">
        <v>429</v>
      </c>
      <c r="D83" s="175" t="s">
        <v>378</v>
      </c>
      <c r="E83" s="176">
        <f>B83*10</f>
        <v>0</v>
      </c>
      <c r="F83" s="174" t="s">
        <v>428</v>
      </c>
    </row>
  </sheetData>
  <sheetProtection selectLockedCells="1"/>
  <mergeCells count="19">
    <mergeCell ref="B3:F4"/>
    <mergeCell ref="K5:L5"/>
    <mergeCell ref="H23:I23"/>
    <mergeCell ref="B5:B6"/>
    <mergeCell ref="C54:F54"/>
    <mergeCell ref="C61:F61"/>
    <mergeCell ref="H5:I5"/>
    <mergeCell ref="H9:I9"/>
    <mergeCell ref="H11:I11"/>
    <mergeCell ref="H13:I13"/>
    <mergeCell ref="H15:I15"/>
    <mergeCell ref="H17:I17"/>
    <mergeCell ref="H19:I19"/>
    <mergeCell ref="H21:I21"/>
    <mergeCell ref="C5:F6"/>
    <mergeCell ref="C16:F16"/>
    <mergeCell ref="C26:F26"/>
    <mergeCell ref="C33:F33"/>
    <mergeCell ref="C38:F38"/>
  </mergeCells>
  <hyperlinks>
    <hyperlink ref="K5" location="Apresentação!A1" display="Voltar"/>
    <hyperlink ref="K5:L5" location="Painel!A1" display="Voltar"/>
  </hyperlink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showGridLines="0" zoomScale="90" zoomScaleNormal="90" workbookViewId="0">
      <selection sqref="A1:XFD1048576"/>
    </sheetView>
  </sheetViews>
  <sheetFormatPr defaultRowHeight="18" x14ac:dyDescent="0.25"/>
  <cols>
    <col min="1" max="1" width="9.140625" style="170"/>
    <col min="2" max="5" width="14.140625" style="170" customWidth="1"/>
    <col min="6" max="6" width="17.140625" style="170" customWidth="1"/>
    <col min="7" max="7" width="17.28515625" style="170" customWidth="1"/>
    <col min="8" max="8" width="14.5703125" style="170" customWidth="1"/>
    <col min="9" max="9" width="16.7109375" style="170" customWidth="1"/>
    <col min="10" max="10" width="14.7109375" style="170" customWidth="1"/>
    <col min="11" max="16384" width="9.140625" style="170"/>
  </cols>
  <sheetData>
    <row r="1" spans="1:14" x14ac:dyDescent="0.25">
      <c r="A1" s="169"/>
    </row>
    <row r="2" spans="1:14" ht="20.25" customHeight="1" x14ac:dyDescent="0.25">
      <c r="B2" s="438" t="s">
        <v>463</v>
      </c>
      <c r="C2" s="438"/>
      <c r="D2" s="438"/>
      <c r="E2" s="438"/>
      <c r="F2" s="438"/>
      <c r="G2" s="438"/>
      <c r="H2" s="438"/>
      <c r="I2" s="438"/>
      <c r="J2" s="438"/>
      <c r="K2" s="191"/>
    </row>
    <row r="3" spans="1:14" ht="20.25" customHeight="1" x14ac:dyDescent="0.25">
      <c r="B3" s="439"/>
      <c r="C3" s="439"/>
      <c r="D3" s="439"/>
      <c r="E3" s="439"/>
      <c r="F3" s="439"/>
      <c r="G3" s="439"/>
      <c r="H3" s="439"/>
      <c r="I3" s="439"/>
      <c r="J3" s="439"/>
      <c r="K3" s="191"/>
      <c r="M3" s="346" t="s">
        <v>311</v>
      </c>
      <c r="N3" s="346"/>
    </row>
    <row r="4" spans="1:14" ht="20.25" customHeight="1" x14ac:dyDescent="0.25">
      <c r="B4" s="192" t="s">
        <v>334</v>
      </c>
      <c r="C4" s="435" t="s">
        <v>434</v>
      </c>
      <c r="D4" s="435"/>
      <c r="E4" s="435"/>
      <c r="F4" s="435"/>
      <c r="G4" s="435" t="s">
        <v>435</v>
      </c>
      <c r="H4" s="435"/>
      <c r="I4" s="435"/>
      <c r="J4" s="435"/>
    </row>
    <row r="5" spans="1:14" x14ac:dyDescent="0.25">
      <c r="B5" s="193" t="s">
        <v>431</v>
      </c>
      <c r="C5" s="425" t="s">
        <v>433</v>
      </c>
      <c r="D5" s="425"/>
      <c r="E5" s="425"/>
      <c r="F5" s="425"/>
      <c r="G5" s="425" t="s">
        <v>449</v>
      </c>
      <c r="H5" s="425"/>
      <c r="I5" s="425"/>
      <c r="J5" s="425"/>
    </row>
    <row r="6" spans="1:14" x14ac:dyDescent="0.25">
      <c r="B6" s="428" t="s">
        <v>357</v>
      </c>
      <c r="C6" s="434" t="s">
        <v>436</v>
      </c>
      <c r="D6" s="434"/>
      <c r="E6" s="434"/>
      <c r="F6" s="434"/>
      <c r="G6" s="434"/>
      <c r="H6" s="434"/>
      <c r="I6" s="434"/>
      <c r="J6" s="434"/>
      <c r="K6" s="191"/>
    </row>
    <row r="7" spans="1:14" ht="15" customHeight="1" x14ac:dyDescent="0.25">
      <c r="B7" s="429"/>
      <c r="C7" s="426" t="s">
        <v>457</v>
      </c>
      <c r="D7" s="426"/>
      <c r="E7" s="426"/>
      <c r="F7" s="426"/>
      <c r="G7" s="426" t="s">
        <v>437</v>
      </c>
      <c r="H7" s="426"/>
      <c r="I7" s="426"/>
      <c r="J7" s="426"/>
    </row>
    <row r="8" spans="1:14" x14ac:dyDescent="0.25">
      <c r="B8" s="430"/>
      <c r="C8" s="427"/>
      <c r="D8" s="427"/>
      <c r="E8" s="427"/>
      <c r="F8" s="427"/>
      <c r="G8" s="427"/>
      <c r="H8" s="427"/>
      <c r="I8" s="427"/>
      <c r="J8" s="427"/>
    </row>
    <row r="9" spans="1:14" x14ac:dyDescent="0.25">
      <c r="B9" s="193" t="s">
        <v>358</v>
      </c>
      <c r="C9" s="431" t="s">
        <v>454</v>
      </c>
      <c r="D9" s="431"/>
      <c r="E9" s="431"/>
      <c r="F9" s="431"/>
      <c r="G9" s="425" t="s">
        <v>455</v>
      </c>
      <c r="H9" s="425"/>
      <c r="I9" s="425"/>
      <c r="J9" s="425"/>
    </row>
    <row r="10" spans="1:14" x14ac:dyDescent="0.25">
      <c r="B10" s="428" t="s">
        <v>359</v>
      </c>
      <c r="C10" s="432" t="s">
        <v>456</v>
      </c>
      <c r="D10" s="432"/>
      <c r="E10" s="432"/>
      <c r="F10" s="432"/>
      <c r="G10" s="194"/>
      <c r="H10" s="194"/>
      <c r="I10" s="194"/>
      <c r="J10" s="194"/>
    </row>
    <row r="11" spans="1:14" x14ac:dyDescent="0.25">
      <c r="B11" s="429"/>
      <c r="C11" s="426" t="s">
        <v>438</v>
      </c>
      <c r="D11" s="426"/>
      <c r="E11" s="426"/>
      <c r="F11" s="426"/>
      <c r="G11" s="195"/>
      <c r="H11" s="195"/>
      <c r="I11" s="195"/>
      <c r="J11" s="195"/>
    </row>
    <row r="12" spans="1:14" ht="15" customHeight="1" x14ac:dyDescent="0.25">
      <c r="B12" s="429"/>
      <c r="C12" s="426" t="s">
        <v>439</v>
      </c>
      <c r="D12" s="426"/>
      <c r="E12" s="426"/>
      <c r="F12" s="426"/>
      <c r="G12" s="195"/>
      <c r="H12" s="195"/>
      <c r="I12" s="195"/>
      <c r="J12" s="195"/>
    </row>
    <row r="13" spans="1:14" x14ac:dyDescent="0.25">
      <c r="B13" s="429"/>
      <c r="C13" s="426"/>
      <c r="D13" s="426"/>
      <c r="E13" s="426"/>
      <c r="F13" s="426"/>
      <c r="G13" s="195"/>
      <c r="H13" s="195"/>
      <c r="I13" s="195"/>
      <c r="J13" s="195"/>
    </row>
    <row r="14" spans="1:14" x14ac:dyDescent="0.25">
      <c r="B14" s="430"/>
      <c r="C14" s="433"/>
      <c r="D14" s="433"/>
      <c r="E14" s="433"/>
      <c r="F14" s="433"/>
      <c r="G14" s="433"/>
      <c r="H14" s="433"/>
      <c r="I14" s="433"/>
      <c r="J14" s="433"/>
    </row>
    <row r="15" spans="1:14" x14ac:dyDescent="0.25">
      <c r="B15" s="170" t="s">
        <v>360</v>
      </c>
      <c r="C15" s="436" t="s">
        <v>440</v>
      </c>
      <c r="D15" s="436"/>
      <c r="E15" s="436"/>
      <c r="F15" s="436"/>
      <c r="G15" s="437" t="s">
        <v>451</v>
      </c>
      <c r="H15" s="437"/>
      <c r="I15" s="437"/>
      <c r="J15" s="437"/>
    </row>
    <row r="16" spans="1:14" x14ac:dyDescent="0.25">
      <c r="B16" s="428" t="s">
        <v>361</v>
      </c>
      <c r="C16" s="434" t="s">
        <v>458</v>
      </c>
      <c r="D16" s="434"/>
      <c r="E16" s="434"/>
      <c r="F16" s="434"/>
      <c r="G16" s="434" t="s">
        <v>459</v>
      </c>
      <c r="H16" s="434"/>
      <c r="I16" s="434"/>
      <c r="J16" s="434"/>
    </row>
    <row r="17" spans="2:10" x14ac:dyDescent="0.25">
      <c r="B17" s="430"/>
      <c r="C17" s="433" t="s">
        <v>441</v>
      </c>
      <c r="D17" s="433"/>
      <c r="E17" s="433"/>
      <c r="F17" s="433"/>
      <c r="G17" s="433"/>
      <c r="H17" s="433"/>
      <c r="I17" s="433"/>
      <c r="J17" s="433"/>
    </row>
    <row r="18" spans="2:10" x14ac:dyDescent="0.25">
      <c r="B18" s="193" t="s">
        <v>362</v>
      </c>
      <c r="C18" s="425" t="s">
        <v>442</v>
      </c>
      <c r="D18" s="425"/>
      <c r="E18" s="425"/>
      <c r="F18" s="425"/>
      <c r="G18" s="425" t="s">
        <v>460</v>
      </c>
      <c r="H18" s="425"/>
      <c r="I18" s="425"/>
      <c r="J18" s="425"/>
    </row>
    <row r="19" spans="2:10" x14ac:dyDescent="0.25">
      <c r="B19" s="193" t="s">
        <v>363</v>
      </c>
      <c r="C19" s="425" t="s">
        <v>443</v>
      </c>
      <c r="D19" s="425"/>
      <c r="E19" s="425"/>
      <c r="F19" s="425"/>
      <c r="G19" s="425" t="s">
        <v>461</v>
      </c>
      <c r="H19" s="425"/>
      <c r="I19" s="425"/>
      <c r="J19" s="425"/>
    </row>
    <row r="20" spans="2:10" x14ac:dyDescent="0.25">
      <c r="B20" s="193" t="s">
        <v>368</v>
      </c>
      <c r="C20" s="425" t="s">
        <v>444</v>
      </c>
      <c r="D20" s="425"/>
      <c r="E20" s="425"/>
      <c r="F20" s="425"/>
      <c r="G20" s="425" t="s">
        <v>450</v>
      </c>
      <c r="H20" s="425"/>
      <c r="I20" s="425"/>
      <c r="J20" s="425"/>
    </row>
    <row r="21" spans="2:10" x14ac:dyDescent="0.25">
      <c r="B21" s="193" t="s">
        <v>369</v>
      </c>
      <c r="C21" s="425" t="s">
        <v>445</v>
      </c>
      <c r="D21" s="425"/>
      <c r="E21" s="425"/>
      <c r="F21" s="425"/>
      <c r="G21" s="425" t="s">
        <v>453</v>
      </c>
      <c r="H21" s="425"/>
      <c r="I21" s="425"/>
      <c r="J21" s="425"/>
    </row>
    <row r="22" spans="2:10" x14ac:dyDescent="0.25">
      <c r="B22" s="193" t="s">
        <v>364</v>
      </c>
      <c r="C22" s="425" t="s">
        <v>446</v>
      </c>
      <c r="D22" s="425"/>
      <c r="E22" s="425"/>
      <c r="F22" s="425"/>
      <c r="G22" s="425" t="s">
        <v>462</v>
      </c>
      <c r="H22" s="425"/>
      <c r="I22" s="425"/>
      <c r="J22" s="425"/>
    </row>
    <row r="23" spans="2:10" x14ac:dyDescent="0.25">
      <c r="B23" s="193" t="s">
        <v>365</v>
      </c>
      <c r="C23" s="425" t="s">
        <v>447</v>
      </c>
      <c r="D23" s="425"/>
      <c r="E23" s="425"/>
      <c r="F23" s="425"/>
      <c r="G23" s="425"/>
      <c r="H23" s="425"/>
      <c r="I23" s="425"/>
      <c r="J23" s="425"/>
    </row>
    <row r="24" spans="2:10" x14ac:dyDescent="0.25">
      <c r="B24" s="193" t="s">
        <v>366</v>
      </c>
      <c r="C24" s="425" t="s">
        <v>448</v>
      </c>
      <c r="D24" s="425"/>
      <c r="E24" s="425"/>
      <c r="F24" s="425"/>
      <c r="G24" s="425"/>
      <c r="H24" s="425"/>
      <c r="I24" s="425"/>
      <c r="J24" s="425"/>
    </row>
    <row r="27" spans="2:10" x14ac:dyDescent="0.25">
      <c r="B27" s="196" t="s">
        <v>452</v>
      </c>
    </row>
  </sheetData>
  <sheetProtection selectLockedCells="1"/>
  <mergeCells count="40">
    <mergeCell ref="G19:J19"/>
    <mergeCell ref="G20:J20"/>
    <mergeCell ref="B2:J3"/>
    <mergeCell ref="M3:N3"/>
    <mergeCell ref="G4:J4"/>
    <mergeCell ref="B16:B17"/>
    <mergeCell ref="G7:J8"/>
    <mergeCell ref="G16:J16"/>
    <mergeCell ref="G21:J21"/>
    <mergeCell ref="G22:J22"/>
    <mergeCell ref="G23:J23"/>
    <mergeCell ref="G24:J24"/>
    <mergeCell ref="C4:F4"/>
    <mergeCell ref="C5:F5"/>
    <mergeCell ref="C6:F6"/>
    <mergeCell ref="C14:F14"/>
    <mergeCell ref="C15:F15"/>
    <mergeCell ref="G5:J5"/>
    <mergeCell ref="G6:J6"/>
    <mergeCell ref="G9:J9"/>
    <mergeCell ref="G14:J14"/>
    <mergeCell ref="G15:J15"/>
    <mergeCell ref="G17:J17"/>
    <mergeCell ref="G18:J18"/>
    <mergeCell ref="C23:F23"/>
    <mergeCell ref="C24:F24"/>
    <mergeCell ref="C7:F8"/>
    <mergeCell ref="B6:B8"/>
    <mergeCell ref="C9:F9"/>
    <mergeCell ref="C10:F10"/>
    <mergeCell ref="C11:F11"/>
    <mergeCell ref="C17:F17"/>
    <mergeCell ref="C18:F18"/>
    <mergeCell ref="C19:F19"/>
    <mergeCell ref="C20:F20"/>
    <mergeCell ref="C21:F21"/>
    <mergeCell ref="C22:F22"/>
    <mergeCell ref="C12:F13"/>
    <mergeCell ref="B10:B14"/>
    <mergeCell ref="C16:F16"/>
  </mergeCells>
  <phoneticPr fontId="8" type="noConversion"/>
  <hyperlinks>
    <hyperlink ref="M3" location="Apresentação!A1" display="Voltar"/>
    <hyperlink ref="M3:N3" location="Painel!A1" display="Voltar"/>
  </hyperlink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
  <sheetViews>
    <sheetView showGridLines="0" zoomScaleNormal="100" workbookViewId="0">
      <selection activeCell="I22" sqref="I22"/>
    </sheetView>
  </sheetViews>
  <sheetFormatPr defaultRowHeight="18" x14ac:dyDescent="0.25"/>
  <cols>
    <col min="1" max="1" width="9.140625" style="170"/>
    <col min="2" max="2" width="15.140625" style="170" bestFit="1" customWidth="1"/>
    <col min="3" max="7" width="9.140625" style="170"/>
    <col min="8" max="8" width="12.28515625" style="170" bestFit="1" customWidth="1"/>
    <col min="9" max="9" width="35" style="170" bestFit="1" customWidth="1"/>
    <col min="10" max="10" width="10.140625" style="170" bestFit="1" customWidth="1"/>
    <col min="11" max="11" width="10.7109375" style="170" bestFit="1" customWidth="1"/>
    <col min="12" max="12" width="11.85546875" style="170" bestFit="1" customWidth="1"/>
    <col min="13" max="13" width="15" style="170" bestFit="1" customWidth="1"/>
    <col min="14" max="16384" width="9.140625" style="170"/>
  </cols>
  <sheetData>
    <row r="1" spans="1:16" x14ac:dyDescent="0.25">
      <c r="A1" s="169"/>
    </row>
    <row r="2" spans="1:16" ht="20.25" customHeight="1" x14ac:dyDescent="0.25">
      <c r="B2" s="440" t="s">
        <v>367</v>
      </c>
      <c r="C2" s="440"/>
      <c r="D2" s="440"/>
      <c r="E2" s="440"/>
      <c r="F2" s="440"/>
      <c r="G2" s="191"/>
      <c r="H2" s="191"/>
    </row>
    <row r="3" spans="1:16" ht="20.25" customHeight="1" x14ac:dyDescent="0.25">
      <c r="B3" s="441"/>
      <c r="C3" s="441"/>
      <c r="D3" s="441"/>
      <c r="E3" s="441"/>
      <c r="F3" s="441"/>
      <c r="G3" s="191"/>
      <c r="H3" s="442" t="s">
        <v>136</v>
      </c>
      <c r="I3" s="442" t="s">
        <v>76</v>
      </c>
      <c r="J3" s="442" t="s">
        <v>78</v>
      </c>
      <c r="K3" s="442"/>
      <c r="L3" s="442"/>
      <c r="M3" s="442"/>
      <c r="O3" s="346" t="s">
        <v>311</v>
      </c>
      <c r="P3" s="346"/>
    </row>
    <row r="4" spans="1:16" ht="20.25" customHeight="1" x14ac:dyDescent="0.25">
      <c r="B4" s="193" t="s">
        <v>334</v>
      </c>
      <c r="C4" s="425" t="s">
        <v>373</v>
      </c>
      <c r="D4" s="425"/>
      <c r="E4" s="425"/>
      <c r="F4" s="425"/>
      <c r="H4" s="446"/>
      <c r="I4" s="446"/>
      <c r="J4" s="112" t="s">
        <v>105</v>
      </c>
      <c r="K4" s="112" t="s">
        <v>106</v>
      </c>
      <c r="L4" s="197" t="s">
        <v>107</v>
      </c>
      <c r="M4" s="112" t="s">
        <v>195</v>
      </c>
    </row>
    <row r="5" spans="1:16" x14ac:dyDescent="0.25">
      <c r="B5" s="170" t="s">
        <v>431</v>
      </c>
      <c r="C5" s="437">
        <v>60</v>
      </c>
      <c r="D5" s="437"/>
      <c r="E5" s="437"/>
      <c r="F5" s="437"/>
      <c r="H5" s="443" t="s">
        <v>185</v>
      </c>
      <c r="I5" s="198" t="s">
        <v>137</v>
      </c>
      <c r="J5" s="199">
        <v>51.8</v>
      </c>
      <c r="K5" s="199">
        <v>1</v>
      </c>
      <c r="L5" s="200">
        <v>90.16</v>
      </c>
      <c r="M5" s="199">
        <f t="shared" ref="M5:M17" si="0">J5+K5</f>
        <v>52.8</v>
      </c>
    </row>
    <row r="6" spans="1:16" x14ac:dyDescent="0.25">
      <c r="B6" s="170" t="s">
        <v>357</v>
      </c>
      <c r="C6" s="437">
        <v>50</v>
      </c>
      <c r="D6" s="437"/>
      <c r="E6" s="437"/>
      <c r="F6" s="437"/>
      <c r="G6" s="191"/>
      <c r="H6" s="444"/>
      <c r="I6" s="201" t="s">
        <v>138</v>
      </c>
      <c r="J6" s="202">
        <v>28.8</v>
      </c>
      <c r="K6" s="202">
        <v>17.399999999999999</v>
      </c>
      <c r="L6" s="203">
        <v>89.01</v>
      </c>
      <c r="M6" s="202">
        <f t="shared" si="0"/>
        <v>46.2</v>
      </c>
    </row>
    <row r="7" spans="1:16" x14ac:dyDescent="0.25">
      <c r="B7" s="170" t="s">
        <v>358</v>
      </c>
      <c r="C7" s="437">
        <v>70</v>
      </c>
      <c r="D7" s="437"/>
      <c r="E7" s="437"/>
      <c r="F7" s="437"/>
      <c r="H7" s="444"/>
      <c r="I7" s="201" t="s">
        <v>139</v>
      </c>
      <c r="J7" s="202">
        <v>41.78</v>
      </c>
      <c r="K7" s="202">
        <v>2.2200000000000002</v>
      </c>
      <c r="L7" s="203">
        <v>80.239999999999995</v>
      </c>
      <c r="M7" s="202">
        <f t="shared" si="0"/>
        <v>44</v>
      </c>
    </row>
    <row r="8" spans="1:16" x14ac:dyDescent="0.25">
      <c r="B8" s="170" t="s">
        <v>359</v>
      </c>
      <c r="C8" s="437">
        <v>70</v>
      </c>
      <c r="D8" s="437"/>
      <c r="E8" s="437"/>
      <c r="F8" s="437"/>
      <c r="H8" s="444"/>
      <c r="I8" s="201" t="s">
        <v>140</v>
      </c>
      <c r="J8" s="202">
        <v>28</v>
      </c>
      <c r="K8" s="202">
        <v>15</v>
      </c>
      <c r="L8" s="203">
        <v>80</v>
      </c>
      <c r="M8" s="202">
        <f t="shared" si="0"/>
        <v>43</v>
      </c>
    </row>
    <row r="9" spans="1:16" x14ac:dyDescent="0.25">
      <c r="B9" s="170" t="s">
        <v>360</v>
      </c>
      <c r="C9" s="437">
        <v>70</v>
      </c>
      <c r="D9" s="437"/>
      <c r="E9" s="437"/>
      <c r="F9" s="437"/>
      <c r="H9" s="444"/>
      <c r="I9" s="201" t="s">
        <v>141</v>
      </c>
      <c r="J9" s="202">
        <v>32</v>
      </c>
      <c r="K9" s="202">
        <v>15</v>
      </c>
      <c r="L9" s="203">
        <v>94</v>
      </c>
      <c r="M9" s="202">
        <f t="shared" si="0"/>
        <v>47</v>
      </c>
    </row>
    <row r="10" spans="1:16" x14ac:dyDescent="0.25">
      <c r="B10" s="170" t="s">
        <v>361</v>
      </c>
      <c r="C10" s="437">
        <v>70</v>
      </c>
      <c r="D10" s="437"/>
      <c r="E10" s="437"/>
      <c r="F10" s="437"/>
      <c r="H10" s="444"/>
      <c r="I10" s="201" t="s">
        <v>142</v>
      </c>
      <c r="J10" s="202">
        <v>51.6</v>
      </c>
      <c r="K10" s="202">
        <v>2</v>
      </c>
      <c r="L10" s="203">
        <v>82.1</v>
      </c>
      <c r="M10" s="202">
        <f t="shared" si="0"/>
        <v>53.6</v>
      </c>
    </row>
    <row r="11" spans="1:16" x14ac:dyDescent="0.25">
      <c r="B11" s="170" t="s">
        <v>362</v>
      </c>
      <c r="C11" s="437">
        <v>60</v>
      </c>
      <c r="D11" s="437"/>
      <c r="E11" s="437"/>
      <c r="F11" s="437"/>
      <c r="H11" s="444"/>
      <c r="I11" s="201" t="s">
        <v>143</v>
      </c>
      <c r="J11" s="202">
        <v>29.7</v>
      </c>
      <c r="K11" s="202">
        <v>21.6</v>
      </c>
      <c r="L11" s="203">
        <v>99.3</v>
      </c>
      <c r="M11" s="202">
        <f t="shared" si="0"/>
        <v>51.3</v>
      </c>
    </row>
    <row r="12" spans="1:16" x14ac:dyDescent="0.25">
      <c r="B12" s="170" t="s">
        <v>363</v>
      </c>
      <c r="C12" s="437">
        <v>80</v>
      </c>
      <c r="D12" s="437"/>
      <c r="E12" s="437"/>
      <c r="F12" s="437"/>
      <c r="H12" s="444"/>
      <c r="I12" s="201" t="s">
        <v>144</v>
      </c>
      <c r="J12" s="202">
        <v>40</v>
      </c>
      <c r="K12" s="202">
        <v>20</v>
      </c>
      <c r="L12" s="203">
        <v>96</v>
      </c>
      <c r="M12" s="202">
        <f t="shared" si="0"/>
        <v>60</v>
      </c>
    </row>
    <row r="13" spans="1:16" x14ac:dyDescent="0.25">
      <c r="B13" s="170" t="s">
        <v>368</v>
      </c>
      <c r="C13" s="437">
        <v>70</v>
      </c>
      <c r="D13" s="437"/>
      <c r="E13" s="437"/>
      <c r="F13" s="437"/>
      <c r="H13" s="444"/>
      <c r="I13" s="201" t="s">
        <v>145</v>
      </c>
      <c r="J13" s="202">
        <v>34.299999999999997</v>
      </c>
      <c r="K13" s="202">
        <v>16.2</v>
      </c>
      <c r="L13" s="203">
        <v>95.25</v>
      </c>
      <c r="M13" s="202">
        <f t="shared" si="0"/>
        <v>50.5</v>
      </c>
    </row>
    <row r="14" spans="1:16" x14ac:dyDescent="0.25">
      <c r="B14" s="170" t="s">
        <v>369</v>
      </c>
      <c r="C14" s="437">
        <v>70</v>
      </c>
      <c r="D14" s="437"/>
      <c r="E14" s="437"/>
      <c r="F14" s="437"/>
      <c r="H14" s="444"/>
      <c r="I14" s="201" t="s">
        <v>149</v>
      </c>
      <c r="J14" s="202">
        <v>53.2</v>
      </c>
      <c r="K14" s="202">
        <v>1</v>
      </c>
      <c r="L14" s="203">
        <v>90.52</v>
      </c>
      <c r="M14" s="202">
        <f t="shared" si="0"/>
        <v>54.2</v>
      </c>
    </row>
    <row r="15" spans="1:16" x14ac:dyDescent="0.25">
      <c r="B15" s="170" t="s">
        <v>364</v>
      </c>
      <c r="C15" s="437">
        <v>60</v>
      </c>
      <c r="D15" s="437"/>
      <c r="E15" s="437"/>
      <c r="F15" s="437"/>
      <c r="H15" s="444"/>
      <c r="I15" s="201" t="s">
        <v>148</v>
      </c>
      <c r="J15" s="202">
        <v>42.1</v>
      </c>
      <c r="K15" s="202">
        <v>5.25</v>
      </c>
      <c r="L15" s="203">
        <v>77.8</v>
      </c>
      <c r="M15" s="202">
        <f t="shared" si="0"/>
        <v>47.35</v>
      </c>
    </row>
    <row r="16" spans="1:16" x14ac:dyDescent="0.25">
      <c r="B16" s="170" t="s">
        <v>365</v>
      </c>
      <c r="C16" s="437">
        <v>50</v>
      </c>
      <c r="D16" s="437"/>
      <c r="E16" s="437"/>
      <c r="F16" s="437"/>
      <c r="H16" s="444"/>
      <c r="I16" s="201" t="s">
        <v>147</v>
      </c>
      <c r="J16" s="202">
        <v>48</v>
      </c>
      <c r="K16" s="202">
        <v>5</v>
      </c>
      <c r="L16" s="203">
        <v>90.62</v>
      </c>
      <c r="M16" s="202">
        <f t="shared" si="0"/>
        <v>53</v>
      </c>
    </row>
    <row r="17" spans="2:13" x14ac:dyDescent="0.25">
      <c r="B17" s="204" t="s">
        <v>366</v>
      </c>
      <c r="C17" s="433">
        <v>50</v>
      </c>
      <c r="D17" s="433"/>
      <c r="E17" s="433"/>
      <c r="F17" s="433"/>
      <c r="H17" s="445"/>
      <c r="I17" s="205" t="s">
        <v>146</v>
      </c>
      <c r="J17" s="206">
        <v>36</v>
      </c>
      <c r="K17" s="206">
        <v>15</v>
      </c>
      <c r="L17" s="207">
        <v>92.54</v>
      </c>
      <c r="M17" s="206">
        <f t="shared" si="0"/>
        <v>51</v>
      </c>
    </row>
  </sheetData>
  <sheetProtection selectLockedCells="1"/>
  <mergeCells count="20">
    <mergeCell ref="C17:F17"/>
    <mergeCell ref="O3:P3"/>
    <mergeCell ref="C9:F9"/>
    <mergeCell ref="C10:F10"/>
    <mergeCell ref="C11:F11"/>
    <mergeCell ref="C12:F12"/>
    <mergeCell ref="C4:F4"/>
    <mergeCell ref="C5:F5"/>
    <mergeCell ref="C6:F6"/>
    <mergeCell ref="C7:F7"/>
    <mergeCell ref="C8:F8"/>
    <mergeCell ref="J3:M3"/>
    <mergeCell ref="H5:H17"/>
    <mergeCell ref="H3:H4"/>
    <mergeCell ref="I3:I4"/>
    <mergeCell ref="B2:F3"/>
    <mergeCell ref="C13:F13"/>
    <mergeCell ref="C14:F14"/>
    <mergeCell ref="C15:F15"/>
    <mergeCell ref="C16:F16"/>
  </mergeCells>
  <phoneticPr fontId="8" type="noConversion"/>
  <hyperlinks>
    <hyperlink ref="O3" location="Apresentação!A1" display="Voltar"/>
    <hyperlink ref="O3:P3" location="Painel!A1" display="Voltar"/>
  </hyperlinks>
  <pageMargins left="0.511811024" right="0.511811024" top="0.78740157499999996" bottom="0.78740157499999996" header="0.31496062000000002" footer="0.31496062000000002"/>
  <pageSetup paperSize="9" orientation="portrait" verticalDpi="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X344"/>
  <sheetViews>
    <sheetView tabSelected="1" zoomScale="10" zoomScaleNormal="10" workbookViewId="0">
      <selection activeCell="CT285" sqref="CT285"/>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18.7109375" style="11" customWidth="1"/>
    <col min="17" max="17" width="49.28515625" style="11" customWidth="1"/>
    <col min="18" max="18" width="8.7109375" style="11" customWidth="1"/>
    <col min="19" max="19" width="11.42578125" style="11" bestFit="1" customWidth="1"/>
    <col min="20" max="20" width="30.140625" style="11" customWidth="1" outlineLevel="1"/>
    <col min="21" max="21" width="74.28515625" style="11" bestFit="1" customWidth="1" outlineLevel="1"/>
    <col min="22" max="22" width="65" style="11" customWidth="1" outlineLevel="1"/>
    <col min="23" max="23" width="21.28515625" style="11" customWidth="1" outlineLevel="1"/>
    <col min="24" max="24" width="20.28515625" style="11" customWidth="1" outlineLevel="1"/>
    <col min="25" max="25" width="22.42578125" style="11" customWidth="1" outlineLevel="1"/>
    <col min="26" max="26" width="18.85546875" style="11" customWidth="1" outlineLevel="1"/>
    <col min="27" max="27" width="16.85546875" style="11" customWidth="1" outlineLevel="1"/>
    <col min="28" max="28" width="21.5703125" style="11" customWidth="1" outlineLevel="1"/>
    <col min="29" max="29" width="16.85546875" style="11" customWidth="1" outlineLevel="1"/>
    <col min="30" max="30" width="24.42578125" style="11" customWidth="1" outlineLevel="1"/>
    <col min="31" max="31" width="25.42578125" style="11" customWidth="1" outlineLevel="1"/>
    <col min="32" max="32" width="25.5703125" style="11" customWidth="1" outlineLevel="1"/>
    <col min="33" max="33" width="21.42578125" style="11" customWidth="1" outlineLevel="1"/>
    <col min="34" max="34" width="21.5703125" style="11" customWidth="1" outlineLevel="1"/>
    <col min="35" max="36" width="14.28515625" style="11" customWidth="1" outlineLevel="1"/>
    <col min="37" max="37" width="31.42578125" style="11" customWidth="1" outlineLevel="1"/>
    <col min="38" max="38" width="11.42578125" style="11" customWidth="1" outlineLevel="1"/>
    <col min="39" max="39" width="34.28515625" style="11" customWidth="1" outlineLevel="1"/>
    <col min="40" max="40" width="20.85546875" style="11" customWidth="1" outlineLevel="1"/>
    <col min="41" max="41" width="21.28515625" style="11" customWidth="1" outlineLevel="1"/>
    <col min="42" max="42" width="65" style="11" customWidth="1" outlineLevel="1"/>
    <col min="43" max="43" width="31.42578125" style="11" customWidth="1" outlineLevel="1"/>
    <col min="44" max="44" width="45.85546875" style="11" customWidth="1" outlineLevel="1"/>
    <col min="45" max="45" width="16.7109375" style="11" customWidth="1" outlineLevel="1"/>
    <col min="46" max="46" width="29.28515625" style="11" customWidth="1" outlineLevel="1"/>
    <col min="47" max="47" width="31.42578125" style="11" customWidth="1" outlineLevel="1"/>
    <col min="48" max="48" width="35.42578125" style="11" customWidth="1" outlineLevel="1"/>
    <col min="49" max="49" width="23.5703125" style="11" customWidth="1" outlineLevel="1"/>
    <col min="50" max="50" width="22.42578125" style="11" customWidth="1" outlineLevel="1"/>
    <col min="51" max="51" width="28.5703125" style="11" customWidth="1" outlineLevel="1"/>
    <col min="52" max="52" width="23" style="11" customWidth="1" outlineLevel="1"/>
    <col min="53" max="54" width="16.7109375" style="11" customWidth="1" outlineLevel="1"/>
    <col min="55" max="55" width="9.140625" style="11" customWidth="1" outlineLevel="1"/>
    <col min="56" max="16384" width="9.140625" style="11"/>
  </cols>
  <sheetData>
    <row r="1" spans="1:48" ht="20.25" customHeight="1" thickBot="1" x14ac:dyDescent="0.3">
      <c r="A1" s="23"/>
    </row>
    <row r="2" spans="1:48" ht="20.25" customHeight="1" thickBot="1" x14ac:dyDescent="0.3">
      <c r="M2" s="478" t="s">
        <v>271</v>
      </c>
      <c r="N2" s="479"/>
      <c r="O2" s="479"/>
      <c r="P2" s="479"/>
      <c r="Q2" s="479"/>
      <c r="R2" s="480"/>
      <c r="AO2" s="47"/>
      <c r="AP2" s="47"/>
      <c r="AQ2" s="47"/>
      <c r="AR2" s="47"/>
      <c r="AS2" s="47"/>
      <c r="AT2" s="47"/>
      <c r="AU2" s="47"/>
      <c r="AV2" s="47"/>
    </row>
    <row r="3" spans="1:48" ht="20.25" customHeight="1" thickBot="1" x14ac:dyDescent="0.3">
      <c r="M3" s="48"/>
      <c r="N3" s="49"/>
      <c r="O3" s="49"/>
      <c r="P3" s="49"/>
      <c r="Q3" s="49"/>
      <c r="R3" s="50"/>
    </row>
    <row r="4" spans="1:48" ht="20.25" customHeight="1" x14ac:dyDescent="0.25">
      <c r="M4" s="520" t="s">
        <v>311</v>
      </c>
      <c r="N4" s="346"/>
      <c r="O4" s="489" t="s">
        <v>196</v>
      </c>
      <c r="P4" s="489"/>
      <c r="Q4" s="52" t="s">
        <v>0</v>
      </c>
      <c r="R4" s="53"/>
      <c r="T4" s="223"/>
      <c r="U4" s="224"/>
      <c r="V4" s="224"/>
      <c r="W4" s="224"/>
      <c r="X4" s="225"/>
      <c r="AB4" s="607"/>
      <c r="AC4" s="608"/>
      <c r="AD4" s="608"/>
      <c r="AE4" s="608"/>
      <c r="AF4" s="608"/>
      <c r="AG4" s="608"/>
      <c r="AH4" s="608"/>
      <c r="AI4" s="608"/>
      <c r="AJ4" s="608"/>
      <c r="AK4" s="608"/>
      <c r="AL4" s="608"/>
      <c r="AM4" s="609"/>
    </row>
    <row r="5" spans="1:48" ht="20.25" customHeight="1" x14ac:dyDescent="0.25">
      <c r="M5" s="364" t="s">
        <v>210</v>
      </c>
      <c r="N5" s="453"/>
      <c r="O5" s="51" t="s">
        <v>1</v>
      </c>
      <c r="P5" s="32">
        <v>5.5</v>
      </c>
      <c r="Q5" s="51" t="s">
        <v>2</v>
      </c>
      <c r="R5" s="53"/>
      <c r="T5" s="226"/>
      <c r="U5" s="465" t="s">
        <v>630</v>
      </c>
      <c r="V5" s="465"/>
      <c r="W5" s="465"/>
      <c r="X5" s="228"/>
      <c r="AB5" s="610"/>
      <c r="AC5" s="611" t="s">
        <v>56</v>
      </c>
      <c r="AD5" s="611"/>
      <c r="AE5" s="611"/>
      <c r="AF5" s="611"/>
      <c r="AG5" s="612" t="s">
        <v>59</v>
      </c>
      <c r="AH5" s="612"/>
      <c r="AI5" s="612"/>
      <c r="AJ5" s="612"/>
      <c r="AK5" s="612"/>
      <c r="AL5" s="612"/>
      <c r="AM5" s="613"/>
    </row>
    <row r="6" spans="1:48" ht="20.25" customHeight="1" x14ac:dyDescent="0.25">
      <c r="M6" s="364"/>
      <c r="N6" s="453"/>
      <c r="O6" s="51" t="s">
        <v>3</v>
      </c>
      <c r="P6" s="56">
        <v>2</v>
      </c>
      <c r="Q6" s="51" t="s">
        <v>55</v>
      </c>
      <c r="R6" s="53"/>
      <c r="T6" s="226"/>
      <c r="U6" s="465"/>
      <c r="V6" s="465"/>
      <c r="W6" s="465"/>
      <c r="X6" s="228"/>
      <c r="AB6" s="610"/>
      <c r="AC6" s="611"/>
      <c r="AD6" s="611"/>
      <c r="AE6" s="611"/>
      <c r="AF6" s="611"/>
      <c r="AG6" s="612"/>
      <c r="AH6" s="612"/>
      <c r="AI6" s="612"/>
      <c r="AJ6" s="612"/>
      <c r="AK6" s="612"/>
      <c r="AL6" s="612"/>
      <c r="AM6" s="613"/>
    </row>
    <row r="7" spans="1:48" ht="20.25" customHeight="1" x14ac:dyDescent="0.25">
      <c r="M7" s="364"/>
      <c r="N7" s="453"/>
      <c r="O7" s="51" t="s">
        <v>4</v>
      </c>
      <c r="P7" s="32">
        <v>1</v>
      </c>
      <c r="Q7" s="51" t="s">
        <v>55</v>
      </c>
      <c r="R7" s="53"/>
      <c r="T7" s="226"/>
      <c r="U7" s="465"/>
      <c r="V7" s="465"/>
      <c r="W7" s="465"/>
      <c r="X7" s="228"/>
      <c r="AB7" s="610"/>
      <c r="AC7" s="611"/>
      <c r="AD7" s="611"/>
      <c r="AE7" s="611"/>
      <c r="AF7" s="611"/>
      <c r="AG7" s="612"/>
      <c r="AH7" s="612"/>
      <c r="AI7" s="612"/>
      <c r="AJ7" s="612"/>
      <c r="AK7" s="612"/>
      <c r="AL7" s="612"/>
      <c r="AM7" s="613"/>
    </row>
    <row r="8" spans="1:48" ht="20.25" customHeight="1" thickBot="1" x14ac:dyDescent="0.3">
      <c r="M8" s="364"/>
      <c r="N8" s="453"/>
      <c r="O8" s="51" t="s">
        <v>5</v>
      </c>
      <c r="P8" s="56">
        <v>0.2</v>
      </c>
      <c r="Q8" s="57" t="s">
        <v>55</v>
      </c>
      <c r="R8" s="53"/>
      <c r="T8" s="226"/>
      <c r="U8" s="465"/>
      <c r="V8" s="465"/>
      <c r="W8" s="465"/>
      <c r="X8" s="228"/>
      <c r="AB8" s="610"/>
      <c r="AC8" s="614" t="s">
        <v>29</v>
      </c>
      <c r="AD8" s="612" t="s">
        <v>51</v>
      </c>
      <c r="AE8" s="612"/>
      <c r="AF8" s="612"/>
      <c r="AG8" s="612"/>
      <c r="AH8" s="612"/>
      <c r="AI8" s="612"/>
      <c r="AJ8" s="612"/>
      <c r="AK8" s="612"/>
      <c r="AL8" s="612"/>
      <c r="AM8" s="613"/>
    </row>
    <row r="9" spans="1:48" ht="20.25" customHeight="1" thickBot="1" x14ac:dyDescent="0.3">
      <c r="A9" s="18"/>
      <c r="B9" s="348" t="s">
        <v>119</v>
      </c>
      <c r="C9" s="349"/>
      <c r="D9" s="349"/>
      <c r="E9" s="349"/>
      <c r="F9" s="349"/>
      <c r="G9" s="349"/>
      <c r="H9" s="349"/>
      <c r="I9" s="350"/>
      <c r="M9" s="364"/>
      <c r="N9" s="453"/>
      <c r="O9" s="51" t="s">
        <v>6</v>
      </c>
      <c r="P9" s="32">
        <v>0.44</v>
      </c>
      <c r="Q9" s="51" t="s">
        <v>55</v>
      </c>
      <c r="R9" s="53"/>
      <c r="T9" s="226"/>
      <c r="U9" s="465"/>
      <c r="V9" s="465"/>
      <c r="W9" s="465"/>
      <c r="X9" s="228"/>
      <c r="AB9" s="610"/>
      <c r="AC9" s="614" t="s">
        <v>23</v>
      </c>
      <c r="AD9" s="614" t="s">
        <v>25</v>
      </c>
      <c r="AE9" s="614" t="s">
        <v>26</v>
      </c>
      <c r="AF9" s="614" t="s">
        <v>31</v>
      </c>
      <c r="AG9" s="614" t="s">
        <v>53</v>
      </c>
      <c r="AH9" s="612" t="s">
        <v>54</v>
      </c>
      <c r="AI9" s="612"/>
      <c r="AJ9" s="612"/>
      <c r="AK9" s="614" t="s">
        <v>57</v>
      </c>
      <c r="AL9" s="614" t="s">
        <v>58</v>
      </c>
      <c r="AM9" s="613"/>
    </row>
    <row r="10" spans="1:48" ht="20.25" customHeight="1" x14ac:dyDescent="0.25">
      <c r="M10" s="364"/>
      <c r="N10" s="453"/>
      <c r="O10" s="51" t="s">
        <v>7</v>
      </c>
      <c r="P10" s="56">
        <v>0.1</v>
      </c>
      <c r="Q10" s="51" t="s">
        <v>55</v>
      </c>
      <c r="R10" s="53"/>
      <c r="T10" s="226"/>
      <c r="U10" s="465"/>
      <c r="V10" s="465"/>
      <c r="W10" s="465"/>
      <c r="X10" s="228"/>
      <c r="AB10" s="610"/>
      <c r="AC10" s="614" t="s">
        <v>37</v>
      </c>
      <c r="AD10" s="614" t="s">
        <v>39</v>
      </c>
      <c r="AE10" s="614" t="s">
        <v>30</v>
      </c>
      <c r="AF10" s="614" t="s">
        <v>43</v>
      </c>
      <c r="AG10" s="614" t="str">
        <f>IF($P$21&lt;=15.99,"correto","erro")</f>
        <v>erro</v>
      </c>
      <c r="AH10" s="614" t="str">
        <f>IF($P$13&lt;=12,"baixo","erro")</f>
        <v>erro</v>
      </c>
      <c r="AI10" s="614" t="str">
        <f>IF(AND($P$13&gt;=12.01,$P$13&lt;=18),"medio","erro")</f>
        <v>erro</v>
      </c>
      <c r="AJ10" s="614" t="str">
        <f>IF($P$13&gt;18,"adequado","erro")</f>
        <v>adequado</v>
      </c>
      <c r="AK10" s="614" t="str">
        <f>IF(AH10="baixo","baixo",IF(AI10="medio","medio",IF(AJ10="adequado","adequado",0)))</f>
        <v>adequado</v>
      </c>
      <c r="AL10" s="612" t="str">
        <f>VLOOKUP("correto",AG10:AK13,5,0)</f>
        <v>adequado</v>
      </c>
      <c r="AM10" s="613"/>
    </row>
    <row r="11" spans="1:48" ht="20.25" customHeight="1" x14ac:dyDescent="0.25">
      <c r="B11" s="51" t="s">
        <v>120</v>
      </c>
      <c r="C11" s="353"/>
      <c r="D11" s="353"/>
      <c r="E11" s="353"/>
      <c r="F11" s="353"/>
      <c r="G11" s="353"/>
      <c r="H11" s="353"/>
      <c r="I11" s="354"/>
      <c r="M11" s="364"/>
      <c r="N11" s="453"/>
      <c r="O11" s="51" t="s">
        <v>8</v>
      </c>
      <c r="P11" s="32">
        <v>2.7</v>
      </c>
      <c r="Q11" s="51" t="s">
        <v>55</v>
      </c>
      <c r="R11" s="53"/>
      <c r="T11" s="226"/>
      <c r="U11" s="232" t="s">
        <v>5</v>
      </c>
      <c r="V11" s="56">
        <v>0.2</v>
      </c>
      <c r="W11" s="57" t="s">
        <v>55</v>
      </c>
      <c r="X11" s="228"/>
      <c r="AB11" s="610"/>
      <c r="AC11" s="614" t="s">
        <v>27</v>
      </c>
      <c r="AD11" s="614" t="s">
        <v>40</v>
      </c>
      <c r="AE11" s="614" t="s">
        <v>44</v>
      </c>
      <c r="AF11" s="614" t="s">
        <v>47</v>
      </c>
      <c r="AG11" s="614" t="str">
        <f>IF(AND($P$21&gt;15.99,P21&lt;34.99),"correto","erro")</f>
        <v>erro</v>
      </c>
      <c r="AH11" s="614" t="str">
        <f>IF($P$13&lt;=10,"baixo","erro")</f>
        <v>erro</v>
      </c>
      <c r="AI11" s="614" t="str">
        <f>IF(AND($P$13&gt;=10.01,$P$13&lt;=15),"medio","erro")</f>
        <v>erro</v>
      </c>
      <c r="AJ11" s="614" t="str">
        <f>IF($P$13&gt;15,"adequado","erro")</f>
        <v>adequado</v>
      </c>
      <c r="AK11" s="614" t="str">
        <f>IF(AH11="baixo","baixo",IF(AI11="medio","medio",IF(AJ11="adequado","adequado",0)))</f>
        <v>adequado</v>
      </c>
      <c r="AL11" s="612"/>
      <c r="AM11" s="613"/>
    </row>
    <row r="12" spans="1:48" ht="20.25" customHeight="1" x14ac:dyDescent="0.25">
      <c r="B12" s="62" t="s">
        <v>121</v>
      </c>
      <c r="C12" s="352"/>
      <c r="D12" s="353"/>
      <c r="E12" s="353"/>
      <c r="F12" s="353"/>
      <c r="G12" s="353"/>
      <c r="H12" s="353"/>
      <c r="I12" s="354"/>
      <c r="M12" s="364"/>
      <c r="N12" s="453"/>
      <c r="O12" s="51" t="s">
        <v>9</v>
      </c>
      <c r="P12" s="56">
        <v>27.7</v>
      </c>
      <c r="Q12" s="51" t="s">
        <v>10</v>
      </c>
      <c r="R12" s="53"/>
      <c r="T12" s="226"/>
      <c r="U12" s="227"/>
      <c r="V12" s="227"/>
      <c r="W12" s="227"/>
      <c r="X12" s="228"/>
      <c r="AB12" s="610"/>
      <c r="AC12" s="614" t="s">
        <v>28</v>
      </c>
      <c r="AD12" s="614" t="s">
        <v>41</v>
      </c>
      <c r="AE12" s="614" t="s">
        <v>45</v>
      </c>
      <c r="AF12" s="614" t="s">
        <v>48</v>
      </c>
      <c r="AG12" s="614" t="str">
        <f>IF(AND($P$21&gt;34.99,P21&lt;59.99),"correto","erro")</f>
        <v>correto</v>
      </c>
      <c r="AH12" s="614" t="str">
        <f>IF($P$13&lt;=5,"baixo","erro")</f>
        <v>erro</v>
      </c>
      <c r="AI12" s="614" t="str">
        <f>IF(AND($P$13&gt;=5.01,$P$13&lt;=8),"medio","erro")</f>
        <v>erro</v>
      </c>
      <c r="AJ12" s="614" t="str">
        <f>IF($P$13&gt;8,"adequado","erro")</f>
        <v>adequado</v>
      </c>
      <c r="AK12" s="614" t="str">
        <f>IF(AH12="baixo","baixo",IF(AI12="medio","medio",IF(AJ12="adequado","adequado",0)))</f>
        <v>adequado</v>
      </c>
      <c r="AL12" s="612"/>
      <c r="AM12" s="613"/>
    </row>
    <row r="13" spans="1:48" ht="20.25" customHeight="1" x14ac:dyDescent="0.25">
      <c r="B13" s="62" t="s">
        <v>122</v>
      </c>
      <c r="C13" s="352"/>
      <c r="D13" s="353"/>
      <c r="E13" s="353"/>
      <c r="F13" s="353"/>
      <c r="G13" s="353"/>
      <c r="H13" s="353"/>
      <c r="I13" s="354"/>
      <c r="M13" s="364"/>
      <c r="N13" s="453"/>
      <c r="O13" s="51" t="s">
        <v>11</v>
      </c>
      <c r="P13" s="32">
        <v>38.299999999999997</v>
      </c>
      <c r="Q13" s="51" t="s">
        <v>12</v>
      </c>
      <c r="R13" s="53"/>
      <c r="T13" s="226"/>
      <c r="U13" s="232" t="s">
        <v>11</v>
      </c>
      <c r="V13" s="32">
        <v>38.299999999999997</v>
      </c>
      <c r="W13" s="232" t="s">
        <v>12</v>
      </c>
      <c r="X13" s="228"/>
      <c r="AB13" s="610"/>
      <c r="AC13" s="614" t="s">
        <v>38</v>
      </c>
      <c r="AD13" s="614" t="s">
        <v>42</v>
      </c>
      <c r="AE13" s="614" t="s">
        <v>46</v>
      </c>
      <c r="AF13" s="614" t="s">
        <v>49</v>
      </c>
      <c r="AG13" s="614" t="str">
        <f>IF($P$21&gt;59.99,"correto","erro")</f>
        <v>erro</v>
      </c>
      <c r="AH13" s="614" t="str">
        <f>IF($P$13&lt;=3,"baixo","erro")</f>
        <v>erro</v>
      </c>
      <c r="AI13" s="614" t="str">
        <f>IF(AND($P$13&gt;=3.01,$P$13&lt;=6),"medio","erro")</f>
        <v>erro</v>
      </c>
      <c r="AJ13" s="614" t="str">
        <f>IF($P$13&gt;6,"adequado","erro")</f>
        <v>adequado</v>
      </c>
      <c r="AK13" s="614" t="str">
        <f>IF(AH13="baixo","baixo",IF(AI13="medio","medio",IF(AJ13="adequado","adequado",0)))</f>
        <v>adequado</v>
      </c>
      <c r="AL13" s="612"/>
      <c r="AM13" s="613"/>
    </row>
    <row r="14" spans="1:48" ht="20.25" customHeight="1" x14ac:dyDescent="0.25">
      <c r="B14" s="62" t="s">
        <v>123</v>
      </c>
      <c r="C14" s="352"/>
      <c r="D14" s="353"/>
      <c r="E14" s="353"/>
      <c r="F14" s="353"/>
      <c r="G14" s="354"/>
      <c r="H14" s="21" t="s">
        <v>124</v>
      </c>
      <c r="I14" s="22">
        <f ca="1">TODAY()</f>
        <v>44057</v>
      </c>
      <c r="M14" s="364"/>
      <c r="N14" s="453"/>
      <c r="O14" s="51" t="s">
        <v>13</v>
      </c>
      <c r="P14" s="56">
        <v>0.04</v>
      </c>
      <c r="Q14" s="51" t="s">
        <v>12</v>
      </c>
      <c r="R14" s="53"/>
      <c r="T14" s="226"/>
      <c r="U14" s="227"/>
      <c r="V14" s="227"/>
      <c r="W14" s="227"/>
      <c r="X14" s="228"/>
      <c r="Z14" s="11" t="s">
        <v>631</v>
      </c>
      <c r="AB14" s="610"/>
      <c r="AC14" s="615"/>
      <c r="AD14" s="615"/>
      <c r="AE14" s="615"/>
      <c r="AF14" s="615"/>
      <c r="AG14" s="615"/>
      <c r="AH14" s="615"/>
      <c r="AI14" s="615"/>
      <c r="AJ14" s="615"/>
      <c r="AK14" s="615"/>
      <c r="AL14" s="615"/>
      <c r="AM14" s="613"/>
    </row>
    <row r="15" spans="1:48" ht="20.25" customHeight="1" thickBot="1" x14ac:dyDescent="0.3">
      <c r="M15" s="364"/>
      <c r="N15" s="453"/>
      <c r="O15" s="51" t="s">
        <v>14</v>
      </c>
      <c r="P15" s="32">
        <v>20</v>
      </c>
      <c r="Q15" s="51" t="s">
        <v>12</v>
      </c>
      <c r="R15" s="53"/>
      <c r="T15" s="226"/>
      <c r="U15" s="232" t="s">
        <v>52</v>
      </c>
      <c r="V15" s="32">
        <v>47.5</v>
      </c>
      <c r="W15" s="57" t="s">
        <v>23</v>
      </c>
      <c r="X15" s="228"/>
      <c r="AB15" s="610"/>
      <c r="AC15" s="615"/>
      <c r="AD15" s="615"/>
      <c r="AE15" s="615"/>
      <c r="AF15" s="615"/>
      <c r="AG15" s="615"/>
      <c r="AH15" s="615"/>
      <c r="AI15" s="615"/>
      <c r="AJ15" s="615"/>
      <c r="AK15" s="615"/>
      <c r="AL15" s="615"/>
      <c r="AM15" s="613"/>
    </row>
    <row r="16" spans="1:48" ht="20.25" customHeight="1" thickBot="1" x14ac:dyDescent="0.3">
      <c r="B16" s="355" t="s">
        <v>309</v>
      </c>
      <c r="C16" s="356"/>
      <c r="D16" s="356"/>
      <c r="E16" s="356"/>
      <c r="F16" s="356"/>
      <c r="G16" s="356"/>
      <c r="H16" s="356"/>
      <c r="I16" s="357"/>
      <c r="M16" s="364"/>
      <c r="N16" s="453"/>
      <c r="O16" s="51" t="s">
        <v>15</v>
      </c>
      <c r="P16" s="56">
        <v>4</v>
      </c>
      <c r="Q16" s="51" t="s">
        <v>12</v>
      </c>
      <c r="R16" s="53"/>
      <c r="T16" s="226"/>
      <c r="X16" s="228"/>
      <c r="AB16" s="610"/>
      <c r="AC16" s="615"/>
      <c r="AD16" s="615"/>
      <c r="AE16" s="615"/>
      <c r="AF16" s="615"/>
      <c r="AG16" s="615"/>
      <c r="AH16" s="615"/>
      <c r="AI16" s="615"/>
      <c r="AJ16" s="615"/>
      <c r="AK16" s="615"/>
      <c r="AL16" s="615"/>
      <c r="AM16" s="613"/>
    </row>
    <row r="17" spans="2:39" ht="20.25" customHeight="1" x14ac:dyDescent="0.25">
      <c r="M17" s="364"/>
      <c r="N17" s="453"/>
      <c r="O17" s="51" t="s">
        <v>16</v>
      </c>
      <c r="P17" s="32">
        <v>58.4</v>
      </c>
      <c r="Q17" s="51" t="s">
        <v>12</v>
      </c>
      <c r="R17" s="53"/>
      <c r="T17" s="226"/>
      <c r="U17" s="232" t="s">
        <v>15</v>
      </c>
      <c r="V17" s="56">
        <v>4</v>
      </c>
      <c r="W17" s="232" t="s">
        <v>12</v>
      </c>
      <c r="X17" s="228"/>
      <c r="AB17" s="610"/>
      <c r="AC17" s="615"/>
      <c r="AD17" s="615"/>
      <c r="AE17" s="615"/>
      <c r="AF17" s="615"/>
      <c r="AG17" s="615"/>
      <c r="AH17" s="615"/>
      <c r="AI17" s="615"/>
      <c r="AJ17" s="615"/>
      <c r="AK17" s="615"/>
      <c r="AL17" s="615"/>
      <c r="AM17" s="613"/>
    </row>
    <row r="18" spans="2:39" ht="20.25" customHeight="1" x14ac:dyDescent="0.25">
      <c r="B18" s="457" t="s">
        <v>134</v>
      </c>
      <c r="C18" s="457"/>
      <c r="D18" s="457"/>
      <c r="E18" s="60">
        <f>IFERROR(IF(ISERR(P35),Q35,IF(ISERR(Q35),P35)),"-")</f>
        <v>208.33333333333334</v>
      </c>
      <c r="F18" s="457" t="s">
        <v>125</v>
      </c>
      <c r="G18" s="457"/>
      <c r="H18" s="457"/>
      <c r="I18" s="51">
        <f>O34</f>
        <v>1</v>
      </c>
      <c r="M18" s="364"/>
      <c r="N18" s="453"/>
      <c r="O18" s="51" t="s">
        <v>17</v>
      </c>
      <c r="P18" s="56">
        <v>43.1</v>
      </c>
      <c r="Q18" s="51" t="s">
        <v>12</v>
      </c>
      <c r="R18" s="53"/>
      <c r="T18" s="226"/>
      <c r="U18" s="232" t="s">
        <v>16</v>
      </c>
      <c r="V18" s="32">
        <v>58.4</v>
      </c>
      <c r="W18" s="232" t="s">
        <v>12</v>
      </c>
      <c r="X18" s="228"/>
      <c r="AB18" s="610"/>
      <c r="AC18" s="615"/>
      <c r="AD18" s="615"/>
      <c r="AE18" s="615"/>
      <c r="AF18" s="615"/>
      <c r="AG18" s="615"/>
      <c r="AH18" s="615"/>
      <c r="AI18" s="615"/>
      <c r="AJ18" s="615"/>
      <c r="AK18" s="615"/>
      <c r="AL18" s="615"/>
      <c r="AM18" s="613"/>
    </row>
    <row r="19" spans="2:39" ht="20.25" customHeight="1" x14ac:dyDescent="0.25">
      <c r="M19" s="364"/>
      <c r="N19" s="453"/>
      <c r="O19" s="51" t="s">
        <v>18</v>
      </c>
      <c r="P19" s="32">
        <v>20.100000000000001</v>
      </c>
      <c r="Q19" s="51" t="s">
        <v>12</v>
      </c>
      <c r="R19" s="53"/>
      <c r="S19" s="61"/>
      <c r="T19" s="226"/>
      <c r="U19" s="232" t="s">
        <v>17</v>
      </c>
      <c r="V19" s="56">
        <v>43.1</v>
      </c>
      <c r="W19" s="232" t="s">
        <v>12</v>
      </c>
      <c r="X19" s="228"/>
      <c r="AB19" s="610"/>
      <c r="AC19" s="611" t="s">
        <v>60</v>
      </c>
      <c r="AD19" s="611"/>
      <c r="AE19" s="611"/>
      <c r="AF19" s="611"/>
      <c r="AG19" s="612" t="s">
        <v>59</v>
      </c>
      <c r="AH19" s="612"/>
      <c r="AI19" s="612"/>
      <c r="AJ19" s="612"/>
      <c r="AK19" s="612"/>
      <c r="AL19" s="612"/>
      <c r="AM19" s="613"/>
    </row>
    <row r="20" spans="2:39" ht="20.25" customHeight="1" x14ac:dyDescent="0.25">
      <c r="B20" s="459" t="s">
        <v>183</v>
      </c>
      <c r="C20" s="512"/>
      <c r="D20" s="512"/>
      <c r="E20" s="460"/>
      <c r="F20" s="63" t="s">
        <v>126</v>
      </c>
      <c r="G20" s="63">
        <f>P24</f>
        <v>57.413249211356465</v>
      </c>
      <c r="H20" s="63" t="s">
        <v>52</v>
      </c>
      <c r="I20" s="60">
        <f>P21</f>
        <v>47.5</v>
      </c>
      <c r="M20" s="364"/>
      <c r="N20" s="453"/>
      <c r="O20" s="51" t="s">
        <v>19</v>
      </c>
      <c r="P20" s="56">
        <v>27.5</v>
      </c>
      <c r="Q20" s="57" t="s">
        <v>23</v>
      </c>
      <c r="R20" s="53"/>
      <c r="T20" s="226"/>
      <c r="U20" s="232" t="s">
        <v>18</v>
      </c>
      <c r="V20" s="32">
        <v>20.100000000000001</v>
      </c>
      <c r="W20" s="232" t="s">
        <v>12</v>
      </c>
      <c r="X20" s="228"/>
      <c r="AB20" s="610"/>
      <c r="AC20" s="611"/>
      <c r="AD20" s="611"/>
      <c r="AE20" s="611"/>
      <c r="AF20" s="611"/>
      <c r="AG20" s="612"/>
      <c r="AH20" s="612"/>
      <c r="AI20" s="612"/>
      <c r="AJ20" s="612"/>
      <c r="AK20" s="612"/>
      <c r="AL20" s="612"/>
      <c r="AM20" s="613"/>
    </row>
    <row r="21" spans="2:39"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T21" s="226"/>
      <c r="U21" s="232" t="s">
        <v>13</v>
      </c>
      <c r="V21" s="56">
        <v>0.04</v>
      </c>
      <c r="W21" s="232" t="s">
        <v>12</v>
      </c>
      <c r="X21" s="228"/>
      <c r="AB21" s="610"/>
      <c r="AC21" s="611"/>
      <c r="AD21" s="611"/>
      <c r="AE21" s="611"/>
      <c r="AF21" s="611"/>
      <c r="AG21" s="612"/>
      <c r="AH21" s="612"/>
      <c r="AI21" s="612"/>
      <c r="AJ21" s="612"/>
      <c r="AK21" s="612"/>
      <c r="AL21" s="612"/>
      <c r="AM21" s="613"/>
    </row>
    <row r="22" spans="2:39" ht="20.25" customHeight="1" x14ac:dyDescent="0.25">
      <c r="B22" s="64" t="s">
        <v>81</v>
      </c>
      <c r="C22" s="65">
        <f>P6</f>
        <v>2</v>
      </c>
      <c r="D22" s="63" t="s">
        <v>79</v>
      </c>
      <c r="E22" s="63">
        <f>P13</f>
        <v>38.299999999999997</v>
      </c>
      <c r="F22" s="63" t="s">
        <v>84</v>
      </c>
      <c r="G22" s="63">
        <f>P14</f>
        <v>0.04</v>
      </c>
      <c r="H22" s="63" t="s">
        <v>86</v>
      </c>
      <c r="I22" s="63">
        <f>P19</f>
        <v>20.100000000000001</v>
      </c>
      <c r="M22" s="364"/>
      <c r="N22" s="453"/>
      <c r="O22" s="51" t="s">
        <v>20</v>
      </c>
      <c r="P22" s="56">
        <v>25</v>
      </c>
      <c r="Q22" s="57" t="s">
        <v>23</v>
      </c>
      <c r="R22" s="53"/>
      <c r="T22" s="226"/>
      <c r="U22" s="227"/>
      <c r="V22" s="227"/>
      <c r="W22" s="227"/>
      <c r="X22" s="228"/>
      <c r="AB22" s="610"/>
      <c r="AC22" s="614" t="s">
        <v>29</v>
      </c>
      <c r="AD22" s="612" t="s">
        <v>74</v>
      </c>
      <c r="AE22" s="612"/>
      <c r="AF22" s="612"/>
      <c r="AG22" s="612"/>
      <c r="AH22" s="612"/>
      <c r="AI22" s="612"/>
      <c r="AJ22" s="612"/>
      <c r="AK22" s="612"/>
      <c r="AL22" s="612"/>
      <c r="AM22" s="613"/>
    </row>
    <row r="23" spans="2:39" ht="20.25" customHeight="1" x14ac:dyDescent="0.25">
      <c r="B23" s="64" t="s">
        <v>82</v>
      </c>
      <c r="C23" s="65">
        <f>P7</f>
        <v>1</v>
      </c>
      <c r="D23" s="63" t="s">
        <v>129</v>
      </c>
      <c r="E23" s="63">
        <f>P11</f>
        <v>2.7</v>
      </c>
      <c r="F23" s="63" t="s">
        <v>87</v>
      </c>
      <c r="G23" s="63">
        <f>P16</f>
        <v>4</v>
      </c>
      <c r="H23" s="63" t="s">
        <v>83</v>
      </c>
      <c r="I23" s="63">
        <f>P15</f>
        <v>20</v>
      </c>
      <c r="J23" s="66"/>
      <c r="M23" s="364"/>
      <c r="N23" s="453"/>
      <c r="O23" s="51" t="s">
        <v>21</v>
      </c>
      <c r="P23" s="32">
        <v>47.6</v>
      </c>
      <c r="Q23" s="51" t="s">
        <v>10</v>
      </c>
      <c r="R23" s="53"/>
      <c r="T23" s="226"/>
      <c r="U23" s="227"/>
      <c r="V23" s="227"/>
      <c r="W23" s="227"/>
      <c r="X23" s="228"/>
      <c r="AB23" s="610"/>
      <c r="AC23" s="614" t="s">
        <v>23</v>
      </c>
      <c r="AD23" s="614" t="s">
        <v>25</v>
      </c>
      <c r="AE23" s="614" t="s">
        <v>26</v>
      </c>
      <c r="AF23" s="614" t="s">
        <v>31</v>
      </c>
      <c r="AG23" s="614" t="s">
        <v>53</v>
      </c>
      <c r="AH23" s="612" t="s">
        <v>62</v>
      </c>
      <c r="AI23" s="612"/>
      <c r="AJ23" s="612"/>
      <c r="AK23" s="614" t="s">
        <v>57</v>
      </c>
      <c r="AL23" s="614" t="s">
        <v>58</v>
      </c>
      <c r="AM23" s="613"/>
    </row>
    <row r="24" spans="2:39" ht="20.25" customHeight="1" x14ac:dyDescent="0.25">
      <c r="B24" s="64" t="s">
        <v>80</v>
      </c>
      <c r="C24" s="65">
        <f>P8</f>
        <v>0.2</v>
      </c>
      <c r="D24" s="63" t="s">
        <v>130</v>
      </c>
      <c r="E24" s="63">
        <f>P10</f>
        <v>0.1</v>
      </c>
      <c r="F24" s="63" t="s">
        <v>89</v>
      </c>
      <c r="G24" s="63">
        <f>P17</f>
        <v>58.4</v>
      </c>
      <c r="H24" s="63" t="s">
        <v>131</v>
      </c>
      <c r="I24" s="63">
        <f>P25</f>
        <v>6.34</v>
      </c>
      <c r="J24" s="66"/>
      <c r="M24" s="364"/>
      <c r="N24" s="453"/>
      <c r="O24" s="51" t="s">
        <v>22</v>
      </c>
      <c r="P24" s="63">
        <f>100*(P6+P7+P8+P9)/P25</f>
        <v>57.413249211356465</v>
      </c>
      <c r="Q24" s="51" t="s">
        <v>23</v>
      </c>
      <c r="R24" s="53"/>
      <c r="T24" s="226"/>
      <c r="U24" s="227"/>
      <c r="V24" s="227"/>
      <c r="W24" s="227"/>
      <c r="X24" s="228"/>
      <c r="AB24" s="610"/>
      <c r="AC24" s="614" t="s">
        <v>50</v>
      </c>
      <c r="AD24" s="614" t="s">
        <v>274</v>
      </c>
      <c r="AE24" s="614" t="s">
        <v>276</v>
      </c>
      <c r="AF24" s="614" t="s">
        <v>277</v>
      </c>
      <c r="AG24" s="614" t="str">
        <f>IF($P$21&lt;=20,"correto","erro")</f>
        <v>erro</v>
      </c>
      <c r="AH24" s="614" t="str">
        <f>IF($P$8&lt;=0.04,"baixo","erro")</f>
        <v>erro</v>
      </c>
      <c r="AI24" s="614" t="str">
        <f>IF(AND($P$8&gt;=0.041,$P$8&lt;=0.1),"medio","erro")</f>
        <v>erro</v>
      </c>
      <c r="AJ24" s="614" t="str">
        <f>IF($P$8&gt;0.101,"adequado","erro")</f>
        <v>adequado</v>
      </c>
      <c r="AK24" s="614" t="str">
        <f>IF(AH24="baixo","baixo",IF(AI24="medio","medio",IF(AJ24="adequado","adequado",0)))</f>
        <v>adequado</v>
      </c>
      <c r="AL24" s="616" t="str">
        <f>VLOOKUP("correto",AG24:AK25,5,0)</f>
        <v>medio</v>
      </c>
      <c r="AM24" s="613"/>
    </row>
    <row r="25" spans="2:39" ht="20.25" customHeight="1" thickBot="1" x14ac:dyDescent="0.3">
      <c r="J25" s="66"/>
      <c r="M25" s="364"/>
      <c r="N25" s="453"/>
      <c r="O25" s="51" t="s">
        <v>24</v>
      </c>
      <c r="P25" s="67">
        <f>(P6+P7+P8+P9+P11)</f>
        <v>6.34</v>
      </c>
      <c r="Q25" s="51" t="s">
        <v>55</v>
      </c>
      <c r="R25" s="53"/>
      <c r="T25" s="229"/>
      <c r="U25" s="230"/>
      <c r="V25" s="230"/>
      <c r="W25" s="230"/>
      <c r="X25" s="231"/>
      <c r="AB25" s="610"/>
      <c r="AC25" s="614" t="s">
        <v>61</v>
      </c>
      <c r="AD25" s="614" t="s">
        <v>275</v>
      </c>
      <c r="AE25" s="614" t="s">
        <v>278</v>
      </c>
      <c r="AF25" s="614" t="s">
        <v>279</v>
      </c>
      <c r="AG25" s="614" t="str">
        <f>IF($P$21&gt;20,"correto","erro")</f>
        <v>correto</v>
      </c>
      <c r="AH25" s="614" t="str">
        <f>IF($P$8&lt;=0.06,"baixo","erro")</f>
        <v>erro</v>
      </c>
      <c r="AI25" s="614" t="str">
        <f>IF(AND($P$8&gt;=0.061,$P$8&lt;=0.2),"medio","erro")</f>
        <v>medio</v>
      </c>
      <c r="AJ25" s="614" t="str">
        <f>IF($P$8&gt;0.201,"adequado","erro")</f>
        <v>erro</v>
      </c>
      <c r="AK25" s="614" t="str">
        <f>IF(AH25="baixo","baixo",IF(AI25="medio","medio",IF(AJ25="adequado","adequado",0)))</f>
        <v>medio</v>
      </c>
      <c r="AL25" s="617"/>
      <c r="AM25" s="613"/>
    </row>
    <row r="26" spans="2:39" ht="20.25" customHeight="1" thickBot="1" x14ac:dyDescent="0.3">
      <c r="B26" s="485" t="s">
        <v>272</v>
      </c>
      <c r="C26" s="486"/>
      <c r="D26" s="486"/>
      <c r="E26" s="486"/>
      <c r="F26" s="486"/>
      <c r="G26" s="486"/>
      <c r="H26" s="486"/>
      <c r="I26" s="487"/>
      <c r="J26" s="66"/>
      <c r="M26" s="69"/>
      <c r="N26" s="70"/>
      <c r="O26" s="70"/>
      <c r="P26" s="70"/>
      <c r="Q26" s="70"/>
      <c r="R26" s="71"/>
      <c r="AB26" s="610"/>
      <c r="AC26" s="615"/>
      <c r="AD26" s="615"/>
      <c r="AE26" s="615"/>
      <c r="AF26" s="615"/>
      <c r="AG26" s="615"/>
      <c r="AH26" s="615"/>
      <c r="AI26" s="615"/>
      <c r="AJ26" s="615"/>
      <c r="AK26" s="615"/>
      <c r="AL26" s="615"/>
      <c r="AM26" s="613"/>
    </row>
    <row r="27" spans="2:39" ht="20.25" customHeight="1" thickBot="1" x14ac:dyDescent="0.3">
      <c r="B27" s="488" t="str">
        <f>IF($O$47&gt;0,$O$47,"-")</f>
        <v>ARAGUAIA Calcítico</v>
      </c>
      <c r="C27" s="488"/>
      <c r="D27" s="73">
        <f>IF(J27&gt;0,J27,"-")</f>
        <v>0.14551907719609591</v>
      </c>
      <c r="E27" s="365" t="str">
        <f>IF(J27&gt;0,"toneladas por hectare ou,","-")</f>
        <v>toneladas por hectare ou,</v>
      </c>
      <c r="F27" s="365"/>
      <c r="G27" s="365"/>
      <c r="H27" s="365"/>
      <c r="I27" s="365"/>
      <c r="J27" s="74">
        <f>AC152</f>
        <v>0.14551907719609591</v>
      </c>
      <c r="AB27" s="610"/>
      <c r="AC27" s="615"/>
      <c r="AD27" s="615"/>
      <c r="AE27" s="615"/>
      <c r="AF27" s="615"/>
      <c r="AG27" s="615"/>
      <c r="AH27" s="615"/>
      <c r="AI27" s="615"/>
      <c r="AJ27" s="615"/>
      <c r="AK27" s="615"/>
      <c r="AL27" s="615"/>
      <c r="AM27" s="613"/>
    </row>
    <row r="28" spans="2:39" ht="20.25" customHeight="1" x14ac:dyDescent="0.25">
      <c r="B28" s="488"/>
      <c r="C28" s="488"/>
      <c r="D28" s="73">
        <f>IF(J28&gt;0,J28,"-")</f>
        <v>1.4551907719609592E-2</v>
      </c>
      <c r="E28" s="365" t="str">
        <f>IF(J28&gt;0,"quilos por metro quadrado","-")</f>
        <v>quilos por metro quadrado</v>
      </c>
      <c r="F28" s="365"/>
      <c r="G28" s="365"/>
      <c r="H28" s="365"/>
      <c r="I28" s="365"/>
      <c r="J28" s="74">
        <f>J27/10</f>
        <v>1.4551907719609592E-2</v>
      </c>
      <c r="M28" s="48"/>
      <c r="N28" s="49"/>
      <c r="O28" s="49"/>
      <c r="P28" s="49"/>
      <c r="Q28" s="49"/>
      <c r="R28" s="50"/>
      <c r="AB28" s="610"/>
      <c r="AC28" s="615"/>
      <c r="AD28" s="615"/>
      <c r="AE28" s="615"/>
      <c r="AF28" s="615"/>
      <c r="AG28" s="615"/>
      <c r="AH28" s="615"/>
      <c r="AI28" s="615"/>
      <c r="AJ28" s="615"/>
      <c r="AK28" s="615"/>
      <c r="AL28" s="615"/>
      <c r="AM28" s="613"/>
    </row>
    <row r="29" spans="2:39" ht="20.25" customHeight="1" x14ac:dyDescent="0.25">
      <c r="B29" s="488" t="str">
        <f>IF($O$50&gt;0,$O$50,"-")</f>
        <v>Micaxisto (61) 3233-9368</v>
      </c>
      <c r="C29" s="488"/>
      <c r="D29" s="73">
        <f>IF(J29&gt;0,J29,"-")</f>
        <v>0.28292933173032769</v>
      </c>
      <c r="E29" s="365" t="str">
        <f>IF(J29&gt;0,"toneladas por hectare ou,","-")</f>
        <v>toneladas por hectare ou,</v>
      </c>
      <c r="F29" s="365"/>
      <c r="G29" s="365"/>
      <c r="H29" s="365"/>
      <c r="I29" s="365"/>
      <c r="J29" s="74">
        <f>AG150</f>
        <v>0.28292933173032769</v>
      </c>
      <c r="M29" s="364" t="s">
        <v>211</v>
      </c>
      <c r="N29" s="453"/>
      <c r="O29" s="489" t="s">
        <v>197</v>
      </c>
      <c r="P29" s="489"/>
      <c r="Q29" s="489"/>
      <c r="R29" s="53"/>
      <c r="AB29" s="610"/>
      <c r="AC29" s="615"/>
      <c r="AD29" s="615"/>
      <c r="AE29" s="612" t="s">
        <v>247</v>
      </c>
      <c r="AF29" s="612"/>
      <c r="AG29" s="612"/>
      <c r="AH29" s="612"/>
      <c r="AI29" s="612"/>
      <c r="AJ29" s="612"/>
      <c r="AK29" s="612"/>
      <c r="AL29" s="612"/>
      <c r="AM29" s="613"/>
    </row>
    <row r="30" spans="2:39" ht="20.25" customHeight="1" x14ac:dyDescent="0.25">
      <c r="B30" s="488"/>
      <c r="C30" s="488"/>
      <c r="D30" s="73">
        <f>IF(J30&gt;0,J30,"-")</f>
        <v>2.8292933173032768E-2</v>
      </c>
      <c r="E30" s="365" t="str">
        <f>IF(J30&gt;0,"quilos por metro quadrado","-")</f>
        <v>quilos por metro quadrado</v>
      </c>
      <c r="F30" s="365"/>
      <c r="G30" s="365"/>
      <c r="H30" s="365"/>
      <c r="I30" s="365"/>
      <c r="J30" s="74">
        <f>J29/10</f>
        <v>2.8292933173032768E-2</v>
      </c>
      <c r="M30" s="364"/>
      <c r="N30" s="453"/>
      <c r="O30" s="32">
        <v>8</v>
      </c>
      <c r="P30" s="77" t="s">
        <v>200</v>
      </c>
      <c r="Q30" s="32">
        <v>6</v>
      </c>
      <c r="R30" s="53"/>
      <c r="AB30" s="610"/>
      <c r="AC30" s="615"/>
      <c r="AD30" s="615"/>
      <c r="AE30" s="614" t="s">
        <v>250</v>
      </c>
      <c r="AF30" s="612" t="s">
        <v>248</v>
      </c>
      <c r="AG30" s="612"/>
      <c r="AH30" s="612" t="s">
        <v>249</v>
      </c>
      <c r="AI30" s="612"/>
      <c r="AJ30" s="614" t="s">
        <v>58</v>
      </c>
      <c r="AK30" s="614" t="s">
        <v>263</v>
      </c>
      <c r="AL30" s="614" t="s">
        <v>266</v>
      </c>
      <c r="AM30" s="613"/>
    </row>
    <row r="31" spans="2:39" ht="20.25" customHeight="1" x14ac:dyDescent="0.25">
      <c r="B31" s="514" t="s">
        <v>533</v>
      </c>
      <c r="C31" s="514"/>
      <c r="D31" s="514"/>
      <c r="E31" s="514"/>
      <c r="F31" s="514"/>
      <c r="G31" s="514"/>
      <c r="H31" s="514"/>
      <c r="I31" s="514"/>
      <c r="J31" s="74"/>
      <c r="M31" s="364"/>
      <c r="N31" s="365"/>
      <c r="O31" s="454"/>
      <c r="P31" s="454"/>
      <c r="Q31" s="454"/>
      <c r="R31" s="53"/>
      <c r="AB31" s="610"/>
      <c r="AC31" s="615"/>
      <c r="AD31" s="615"/>
      <c r="AE31" s="612" t="s">
        <v>246</v>
      </c>
      <c r="AF31" s="614" t="s">
        <v>25</v>
      </c>
      <c r="AG31" s="614" t="s">
        <v>242</v>
      </c>
      <c r="AH31" s="614" t="str">
        <f>IF($P$14&lt;=0.2,"baixo","erro")</f>
        <v>baixo</v>
      </c>
      <c r="AI31" s="612" t="str">
        <f>IF($AH$31="baixo","baixo",IF($AH$32="medio","medio",IF($AH$33="adequado","adequado",0)))</f>
        <v>baixo</v>
      </c>
      <c r="AJ31" s="612">
        <f>IF(AI31="Baixo",AK31,0)</f>
        <v>9.6</v>
      </c>
      <c r="AK31" s="612">
        <f>(AL31*1000)/$E$18</f>
        <v>9.6</v>
      </c>
      <c r="AL31" s="612">
        <v>2</v>
      </c>
      <c r="AM31" s="613"/>
    </row>
    <row r="32" spans="2:39" ht="20.25" customHeight="1" x14ac:dyDescent="0.25">
      <c r="B32" s="514"/>
      <c r="C32" s="514"/>
      <c r="D32" s="514"/>
      <c r="E32" s="514"/>
      <c r="F32" s="514"/>
      <c r="G32" s="514"/>
      <c r="H32" s="514"/>
      <c r="I32" s="514"/>
      <c r="J32" s="74"/>
      <c r="M32" s="364"/>
      <c r="N32" s="365"/>
      <c r="O32" s="80"/>
      <c r="P32" s="80"/>
      <c r="Q32" s="80"/>
      <c r="R32" s="53"/>
      <c r="AB32" s="610"/>
      <c r="AC32" s="615"/>
      <c r="AD32" s="615"/>
      <c r="AE32" s="612"/>
      <c r="AF32" s="614" t="s">
        <v>26</v>
      </c>
      <c r="AG32" s="614" t="s">
        <v>238</v>
      </c>
      <c r="AH32" s="614" t="str">
        <f>IF(AND($P$14&gt;=0.201,$P$14&lt;=0.5),"medio","erro")</f>
        <v>erro</v>
      </c>
      <c r="AI32" s="612"/>
      <c r="AJ32" s="612"/>
      <c r="AK32" s="612"/>
      <c r="AL32" s="612"/>
      <c r="AM32" s="613"/>
    </row>
    <row r="33" spans="2:39" ht="20.25" customHeight="1" thickBot="1" x14ac:dyDescent="0.3">
      <c r="B33" s="515"/>
      <c r="C33" s="515"/>
      <c r="D33" s="515"/>
      <c r="E33" s="515"/>
      <c r="F33" s="515"/>
      <c r="G33" s="515"/>
      <c r="H33" s="515"/>
      <c r="I33" s="515"/>
      <c r="J33" s="74"/>
      <c r="M33" s="364"/>
      <c r="N33" s="453"/>
      <c r="O33" s="489" t="s">
        <v>282</v>
      </c>
      <c r="P33" s="489"/>
      <c r="Q33" s="489"/>
      <c r="R33" s="53"/>
      <c r="AB33" s="610"/>
      <c r="AC33" s="615"/>
      <c r="AD33" s="615"/>
      <c r="AE33" s="612"/>
      <c r="AF33" s="614" t="s">
        <v>234</v>
      </c>
      <c r="AG33" s="614" t="s">
        <v>233</v>
      </c>
      <c r="AH33" s="614" t="str">
        <f>IF($P$14&gt;0.5,"adequado","erro")</f>
        <v>erro</v>
      </c>
      <c r="AI33" s="612"/>
      <c r="AJ33" s="612"/>
      <c r="AK33" s="612"/>
      <c r="AL33" s="612"/>
      <c r="AM33" s="613"/>
    </row>
    <row r="34" spans="2:39" ht="20.25" customHeight="1" thickBot="1" x14ac:dyDescent="0.3">
      <c r="B34" s="485" t="s">
        <v>184</v>
      </c>
      <c r="C34" s="486"/>
      <c r="D34" s="486"/>
      <c r="E34" s="486"/>
      <c r="F34" s="486"/>
      <c r="G34" s="486"/>
      <c r="H34" s="486"/>
      <c r="I34" s="487"/>
      <c r="J34" s="81">
        <f>IF(O68="Sim",P21*7.5,0)</f>
        <v>356.25</v>
      </c>
      <c r="M34" s="364"/>
      <c r="N34" s="453"/>
      <c r="O34" s="448">
        <v>1</v>
      </c>
      <c r="P34" s="448"/>
      <c r="Q34" s="448"/>
      <c r="R34" s="53"/>
      <c r="AB34" s="610"/>
      <c r="AC34" s="615"/>
      <c r="AD34" s="615"/>
      <c r="AE34" s="612" t="s">
        <v>245</v>
      </c>
      <c r="AF34" s="614" t="s">
        <v>25</v>
      </c>
      <c r="AG34" s="614" t="s">
        <v>241</v>
      </c>
      <c r="AH34" s="614" t="str">
        <f>IF($P$16&lt;=0.4,"baixo","erro")</f>
        <v>erro</v>
      </c>
      <c r="AI34" s="612" t="str">
        <f>IF($AH$34="baixo","baixo",IF($AH$35="medio","medio",IF($AH$36="adequado","adequado",0)))</f>
        <v>adequado</v>
      </c>
      <c r="AJ34" s="612">
        <f>IF(AI34="Baixo",AK34,0)</f>
        <v>0</v>
      </c>
      <c r="AK34" s="612">
        <f>(AL34*1000)/$E$18</f>
        <v>9.6</v>
      </c>
      <c r="AL34" s="612">
        <v>2</v>
      </c>
      <c r="AM34" s="613"/>
    </row>
    <row r="35" spans="2:39" ht="20.25" customHeight="1" thickBot="1" x14ac:dyDescent="0.3">
      <c r="B35" s="488" t="str">
        <f>IF($O$55&gt;0,$O$55,"-")</f>
        <v>Gesso Agronelli</v>
      </c>
      <c r="C35" s="488"/>
      <c r="D35" s="82">
        <f>IF(J34&gt;0,J34,"-")</f>
        <v>356.25</v>
      </c>
      <c r="E35" s="365" t="str">
        <f>IF(J34&gt;0,"quilos por hectare ou,","-")</f>
        <v>quilos por hectare ou,</v>
      </c>
      <c r="F35" s="365"/>
      <c r="G35" s="365"/>
      <c r="H35" s="365"/>
      <c r="I35" s="365"/>
      <c r="J35" s="81">
        <f>J34/10</f>
        <v>35.625</v>
      </c>
      <c r="M35" s="69"/>
      <c r="N35" s="70"/>
      <c r="O35" s="70"/>
      <c r="P35" s="83">
        <f>10000/($O$30*$Q$30)</f>
        <v>208.33333333333334</v>
      </c>
      <c r="Q35" s="83" t="e">
        <f>10000/((($O$32/2)+($P$32/2))*$Q$32)</f>
        <v>#DIV/0!</v>
      </c>
      <c r="R35" s="71"/>
      <c r="AB35" s="610"/>
      <c r="AC35" s="615"/>
      <c r="AD35" s="615"/>
      <c r="AE35" s="612"/>
      <c r="AF35" s="614" t="s">
        <v>26</v>
      </c>
      <c r="AG35" s="614" t="s">
        <v>237</v>
      </c>
      <c r="AH35" s="614" t="str">
        <f>IF(AND($P$16&gt;=0.401,$P$16&lt;=0.8),"medio","erro")</f>
        <v>erro</v>
      </c>
      <c r="AI35" s="612"/>
      <c r="AJ35" s="612"/>
      <c r="AK35" s="612"/>
      <c r="AL35" s="612"/>
      <c r="AM35" s="613"/>
    </row>
    <row r="36" spans="2:39"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AB36" s="610"/>
      <c r="AC36" s="615"/>
      <c r="AD36" s="615"/>
      <c r="AE36" s="612"/>
      <c r="AF36" s="614" t="s">
        <v>234</v>
      </c>
      <c r="AG36" s="614" t="s">
        <v>232</v>
      </c>
      <c r="AH36" s="614" t="str">
        <f>IF($P$16&gt;0.8,"adequado","erro")</f>
        <v>adequado</v>
      </c>
      <c r="AI36" s="612"/>
      <c r="AJ36" s="612"/>
      <c r="AK36" s="612"/>
      <c r="AL36" s="612"/>
      <c r="AM36" s="613"/>
    </row>
    <row r="37" spans="2:39" ht="20.25" customHeight="1" x14ac:dyDescent="0.25">
      <c r="B37" s="516" t="s">
        <v>534</v>
      </c>
      <c r="C37" s="516"/>
      <c r="D37" s="516"/>
      <c r="E37" s="516"/>
      <c r="F37" s="516"/>
      <c r="G37" s="516"/>
      <c r="H37" s="516"/>
      <c r="I37" s="516"/>
      <c r="J37" s="81"/>
      <c r="M37" s="48"/>
      <c r="N37" s="49"/>
      <c r="O37" s="49"/>
      <c r="P37" s="49"/>
      <c r="Q37" s="49"/>
      <c r="R37" s="50"/>
      <c r="AB37" s="610"/>
      <c r="AC37" s="615"/>
      <c r="AD37" s="615"/>
      <c r="AE37" s="612" t="s">
        <v>244</v>
      </c>
      <c r="AF37" s="614" t="s">
        <v>25</v>
      </c>
      <c r="AG37" s="614" t="s">
        <v>240</v>
      </c>
      <c r="AH37" s="614" t="str">
        <f>IF($P$18&lt;=1.9,"baixo","erro")</f>
        <v>erro</v>
      </c>
      <c r="AI37" s="612" t="str">
        <f>IF($AH$37="baixo","baixo",IF($AH$38="medio","medio",IF($AH$39="adequado","adequado",0)))</f>
        <v>adequado</v>
      </c>
      <c r="AJ37" s="612">
        <f>IF(AI37="Baixo",AK37,0)</f>
        <v>0</v>
      </c>
      <c r="AK37" s="612">
        <f>(AL37*1000)/$E$18</f>
        <v>28.799999999999997</v>
      </c>
      <c r="AL37" s="612">
        <v>6</v>
      </c>
      <c r="AM37" s="613"/>
    </row>
    <row r="38" spans="2:39" ht="20.25" customHeight="1" thickBot="1" x14ac:dyDescent="0.3">
      <c r="B38" s="516"/>
      <c r="C38" s="516"/>
      <c r="D38" s="516"/>
      <c r="E38" s="516"/>
      <c r="F38" s="516"/>
      <c r="G38" s="516"/>
      <c r="H38" s="516"/>
      <c r="I38" s="516"/>
      <c r="J38" s="81"/>
      <c r="M38" s="364" t="s">
        <v>212</v>
      </c>
      <c r="N38" s="365"/>
      <c r="O38" s="489" t="s">
        <v>198</v>
      </c>
      <c r="P38" s="489"/>
      <c r="Q38" s="489"/>
      <c r="R38" s="53"/>
      <c r="AB38" s="610"/>
      <c r="AC38" s="615"/>
      <c r="AD38" s="615"/>
      <c r="AE38" s="612"/>
      <c r="AF38" s="614" t="s">
        <v>26</v>
      </c>
      <c r="AG38" s="614" t="s">
        <v>236</v>
      </c>
      <c r="AH38" s="614" t="str">
        <f>IF(AND($P$18&gt;=1.901,$P$18&lt;=5),"medio","erro")</f>
        <v>erro</v>
      </c>
      <c r="AI38" s="612"/>
      <c r="AJ38" s="612"/>
      <c r="AK38" s="612"/>
      <c r="AL38" s="612"/>
      <c r="AM38" s="613"/>
    </row>
    <row r="39" spans="2:39" ht="20.25" customHeight="1" thickBot="1" x14ac:dyDescent="0.3">
      <c r="B39" s="355" t="s">
        <v>267</v>
      </c>
      <c r="C39" s="356"/>
      <c r="D39" s="356"/>
      <c r="E39" s="356"/>
      <c r="F39" s="356"/>
      <c r="G39" s="356"/>
      <c r="H39" s="356"/>
      <c r="I39" s="357"/>
      <c r="J39" s="81">
        <f>AG215</f>
        <v>285.71428571428572</v>
      </c>
      <c r="M39" s="364"/>
      <c r="N39" s="365"/>
      <c r="O39" s="51" t="s">
        <v>182</v>
      </c>
      <c r="P39" s="448">
        <v>4</v>
      </c>
      <c r="Q39" s="448"/>
      <c r="R39" s="53"/>
      <c r="AB39" s="610"/>
      <c r="AC39" s="615"/>
      <c r="AD39" s="615"/>
      <c r="AE39" s="612"/>
      <c r="AF39" s="614" t="s">
        <v>234</v>
      </c>
      <c r="AG39" s="614" t="s">
        <v>231</v>
      </c>
      <c r="AH39" s="614" t="str">
        <f>IF($P$18&gt;5,"adequado","erro")</f>
        <v>adequado</v>
      </c>
      <c r="AI39" s="612"/>
      <c r="AJ39" s="612"/>
      <c r="AK39" s="612"/>
      <c r="AL39" s="612"/>
      <c r="AM39" s="613"/>
    </row>
    <row r="40" spans="2:39" ht="20.25" customHeight="1" x14ac:dyDescent="0.25">
      <c r="B40" s="449" t="str">
        <f>IF(O42&gt;0,O42,"-")</f>
        <v>Composto de lixo (COL)</v>
      </c>
      <c r="C40" s="449"/>
      <c r="D40" s="86">
        <f>IF(AE98&gt;0,AE98,"-")</f>
        <v>5</v>
      </c>
      <c r="E40" s="362" t="str">
        <f>IF(AE98&gt;0,"quilos por cova ou planta","-")</f>
        <v>quilos por cova ou planta</v>
      </c>
      <c r="F40" s="362"/>
      <c r="G40" s="362"/>
      <c r="H40" s="362"/>
      <c r="I40" s="362"/>
      <c r="J40" s="81">
        <f>AG216</f>
        <v>277.77777777777777</v>
      </c>
      <c r="M40" s="364"/>
      <c r="N40" s="365"/>
      <c r="O40" s="25"/>
      <c r="P40" s="25"/>
      <c r="Q40" s="25"/>
      <c r="R40" s="53"/>
      <c r="AB40" s="610"/>
      <c r="AC40" s="615"/>
      <c r="AD40" s="615"/>
      <c r="AE40" s="612" t="s">
        <v>243</v>
      </c>
      <c r="AF40" s="614" t="s">
        <v>25</v>
      </c>
      <c r="AG40" s="614" t="s">
        <v>239</v>
      </c>
      <c r="AH40" s="614" t="str">
        <f>IF($P$19&lt;=1,"baixo","erro")</f>
        <v>erro</v>
      </c>
      <c r="AI40" s="612" t="str">
        <f>IF($AH$40="baixo","baixo",IF($AH$41="medio","medio",IF($AH$42="adequado","adequado",0)))</f>
        <v>adequado</v>
      </c>
      <c r="AJ40" s="612">
        <f>IF(AI40="Baixo",AK40,0)</f>
        <v>0</v>
      </c>
      <c r="AK40" s="612">
        <f>(AL40*1000)/$E$18</f>
        <v>28.799999999999997</v>
      </c>
      <c r="AL40" s="612">
        <v>6</v>
      </c>
      <c r="AM40" s="613"/>
    </row>
    <row r="41" spans="2:39" ht="20.25" customHeight="1" x14ac:dyDescent="0.25">
      <c r="B41" s="449" t="str">
        <f>IF(AB215&gt;0,AB215,"-")</f>
        <v>Termofosfato YOORIN</v>
      </c>
      <c r="C41" s="449"/>
      <c r="D41" s="87">
        <f t="shared" ref="D41:D49" si="0">IF(J39&gt;0,J39,"-")</f>
        <v>285.71428571428572</v>
      </c>
      <c r="E41" s="365" t="str">
        <f t="shared" ref="E41:E49" si="1">IF(J39&gt;0,"gramas por planta","-")</f>
        <v>gramas por planta</v>
      </c>
      <c r="F41" s="365"/>
      <c r="G41" s="365"/>
      <c r="H41" s="365"/>
      <c r="I41" s="365"/>
      <c r="J41" s="81">
        <f>AG217</f>
        <v>0</v>
      </c>
      <c r="M41" s="364"/>
      <c r="N41" s="365"/>
      <c r="O41" s="489" t="s">
        <v>308</v>
      </c>
      <c r="P41" s="489"/>
      <c r="Q41" s="489"/>
      <c r="R41" s="53"/>
      <c r="AB41" s="610"/>
      <c r="AC41" s="615"/>
      <c r="AD41" s="615"/>
      <c r="AE41" s="612"/>
      <c r="AF41" s="614" t="s">
        <v>26</v>
      </c>
      <c r="AG41" s="614" t="s">
        <v>235</v>
      </c>
      <c r="AH41" s="614" t="str">
        <f>IF(AND($P$19&gt;=1.01,$P$19&lt;=1.6),"medio","erro")</f>
        <v>erro</v>
      </c>
      <c r="AI41" s="612"/>
      <c r="AJ41" s="612"/>
      <c r="AK41" s="612"/>
      <c r="AL41" s="612"/>
      <c r="AM41" s="613"/>
    </row>
    <row r="42" spans="2:39" ht="20.25" customHeight="1" x14ac:dyDescent="0.25">
      <c r="B42" s="449" t="str">
        <f>IF(AB216&gt;0,AB216,"-")</f>
        <v>Superfosfato simples</v>
      </c>
      <c r="C42" s="449"/>
      <c r="D42" s="87">
        <f t="shared" si="0"/>
        <v>277.77777777777777</v>
      </c>
      <c r="E42" s="365" t="str">
        <f t="shared" si="1"/>
        <v>gramas por planta</v>
      </c>
      <c r="F42" s="365"/>
      <c r="G42" s="365"/>
      <c r="H42" s="365"/>
      <c r="I42" s="365"/>
      <c r="J42" s="81">
        <f>AG221</f>
        <v>108.33333333333334</v>
      </c>
      <c r="M42" s="364"/>
      <c r="N42" s="365"/>
      <c r="O42" s="483" t="s">
        <v>286</v>
      </c>
      <c r="P42" s="513"/>
      <c r="Q42" s="484"/>
      <c r="R42" s="53"/>
      <c r="AB42" s="610"/>
      <c r="AC42" s="615"/>
      <c r="AD42" s="615"/>
      <c r="AE42" s="612"/>
      <c r="AF42" s="614" t="s">
        <v>234</v>
      </c>
      <c r="AG42" s="614" t="s">
        <v>230</v>
      </c>
      <c r="AH42" s="614" t="str">
        <f>IF($P$19&gt;1.6,"adequado","erro")</f>
        <v>adequado</v>
      </c>
      <c r="AI42" s="612"/>
      <c r="AJ42" s="612"/>
      <c r="AK42" s="612"/>
      <c r="AL42" s="612"/>
      <c r="AM42" s="613"/>
    </row>
    <row r="43" spans="2:39" ht="20.25" customHeight="1" thickBot="1" x14ac:dyDescent="0.3">
      <c r="B43" s="449" t="str">
        <f>IF(AB217&gt;0,AB217,"-")</f>
        <v>-</v>
      </c>
      <c r="C43" s="449"/>
      <c r="D43" s="87" t="str">
        <f t="shared" si="0"/>
        <v>-</v>
      </c>
      <c r="E43" s="365" t="str">
        <f t="shared" si="1"/>
        <v>-</v>
      </c>
      <c r="F43" s="365"/>
      <c r="G43" s="365"/>
      <c r="H43" s="365"/>
      <c r="I43" s="365"/>
      <c r="J43" s="81">
        <f>AG222</f>
        <v>812.5</v>
      </c>
      <c r="M43" s="69"/>
      <c r="N43" s="70"/>
      <c r="O43" s="70"/>
      <c r="P43" s="70"/>
      <c r="Q43" s="70"/>
      <c r="R43" s="71"/>
      <c r="AB43" s="610"/>
      <c r="AC43" s="615"/>
      <c r="AD43" s="615"/>
      <c r="AE43" s="615"/>
      <c r="AF43" s="615"/>
      <c r="AG43" s="615"/>
      <c r="AH43" s="615"/>
      <c r="AI43" s="615"/>
      <c r="AJ43" s="615"/>
      <c r="AK43" s="615"/>
      <c r="AL43" s="615"/>
      <c r="AM43" s="613"/>
    </row>
    <row r="44" spans="2:39" ht="20.25" customHeight="1" thickBot="1" x14ac:dyDescent="0.3">
      <c r="B44" s="449" t="str">
        <f>IF(AB221&gt;0,AB221,"-")</f>
        <v>Cloreto de potássio</v>
      </c>
      <c r="C44" s="449"/>
      <c r="D44" s="87">
        <f t="shared" si="0"/>
        <v>108.33333333333334</v>
      </c>
      <c r="E44" s="365" t="str">
        <f t="shared" si="1"/>
        <v>gramas por planta</v>
      </c>
      <c r="F44" s="365"/>
      <c r="G44" s="365"/>
      <c r="H44" s="365"/>
      <c r="I44" s="365"/>
      <c r="J44" s="81">
        <f>AG223</f>
        <v>0</v>
      </c>
      <c r="M44" s="362"/>
      <c r="N44" s="362"/>
      <c r="O44" s="362"/>
      <c r="P44" s="362"/>
      <c r="Q44" s="362"/>
      <c r="R44" s="362"/>
      <c r="AB44" s="618"/>
      <c r="AC44" s="619"/>
      <c r="AD44" s="619"/>
      <c r="AE44" s="619"/>
      <c r="AF44" s="619"/>
      <c r="AG44" s="619"/>
      <c r="AH44" s="619"/>
      <c r="AI44" s="619"/>
      <c r="AJ44" s="619"/>
      <c r="AK44" s="619"/>
      <c r="AL44" s="619"/>
      <c r="AM44" s="620"/>
    </row>
    <row r="45" spans="2:39" ht="20.25" customHeight="1" x14ac:dyDescent="0.25">
      <c r="B45" s="449" t="str">
        <f>IF(AB222&gt;0,AB222,"-")</f>
        <v>EkoSil</v>
      </c>
      <c r="C45" s="449"/>
      <c r="D45" s="87">
        <f t="shared" si="0"/>
        <v>812.5</v>
      </c>
      <c r="E45" s="365" t="str">
        <f t="shared" si="1"/>
        <v>gramas por planta</v>
      </c>
      <c r="F45" s="365"/>
      <c r="G45" s="365"/>
      <c r="H45" s="365"/>
      <c r="I45" s="365"/>
      <c r="J45" s="81">
        <f>AG227</f>
        <v>1034.4827586206898</v>
      </c>
      <c r="M45" s="48"/>
      <c r="N45" s="49"/>
      <c r="O45" s="499" t="s">
        <v>305</v>
      </c>
      <c r="P45" s="500"/>
      <c r="Q45" s="501"/>
      <c r="R45" s="50"/>
    </row>
    <row r="46" spans="2:39" ht="20.25" customHeight="1" x14ac:dyDescent="0.25">
      <c r="B46" s="449" t="str">
        <f>IF(AB223&gt;0,AB223,"-")</f>
        <v>-</v>
      </c>
      <c r="C46" s="449"/>
      <c r="D46" s="87" t="str">
        <f t="shared" si="0"/>
        <v>-</v>
      </c>
      <c r="E46" s="365" t="str">
        <f t="shared" si="1"/>
        <v>-</v>
      </c>
      <c r="F46" s="365"/>
      <c r="G46" s="365"/>
      <c r="H46" s="365"/>
      <c r="I46" s="365"/>
      <c r="J46" s="81">
        <f>AG228</f>
        <v>0</v>
      </c>
      <c r="M46" s="364" t="s">
        <v>213</v>
      </c>
      <c r="N46" s="365"/>
      <c r="O46" s="502"/>
      <c r="P46" s="503"/>
      <c r="Q46" s="504"/>
      <c r="R46" s="53"/>
    </row>
    <row r="47" spans="2:39" ht="20.25" customHeight="1" x14ac:dyDescent="0.25">
      <c r="B47" s="449" t="str">
        <f>IF(AB227&gt;0,AB227,"-")</f>
        <v>Nitrato de Amônio</v>
      </c>
      <c r="C47" s="449"/>
      <c r="D47" s="87">
        <f t="shared" si="0"/>
        <v>1034.4827586206898</v>
      </c>
      <c r="E47" s="365" t="str">
        <f t="shared" si="1"/>
        <v>gramas por planta</v>
      </c>
      <c r="F47" s="365"/>
      <c r="G47" s="365"/>
      <c r="H47" s="365"/>
      <c r="I47" s="365"/>
      <c r="J47" s="81">
        <f>AG229</f>
        <v>0</v>
      </c>
      <c r="M47" s="364"/>
      <c r="N47" s="365"/>
      <c r="O47" s="481" t="s">
        <v>137</v>
      </c>
      <c r="P47" s="482"/>
      <c r="Q47" s="90">
        <v>0.8</v>
      </c>
      <c r="R47" s="53"/>
    </row>
    <row r="48" spans="2:39" ht="20.25" customHeight="1" x14ac:dyDescent="0.25">
      <c r="B48" s="449" t="str">
        <f>IF(AB228&gt;0,AB228,"-")</f>
        <v>-</v>
      </c>
      <c r="C48" s="449"/>
      <c r="D48" s="87" t="str">
        <f t="shared" si="0"/>
        <v>-</v>
      </c>
      <c r="E48" s="365" t="str">
        <f t="shared" si="1"/>
        <v>-</v>
      </c>
      <c r="F48" s="365"/>
      <c r="G48" s="365"/>
      <c r="H48" s="365"/>
      <c r="I48" s="365"/>
      <c r="J48" s="91"/>
      <c r="M48" s="364"/>
      <c r="N48" s="365"/>
      <c r="O48" s="505" t="s">
        <v>306</v>
      </c>
      <c r="P48" s="506"/>
      <c r="Q48" s="507"/>
      <c r="R48" s="53"/>
    </row>
    <row r="49" spans="2:39" ht="20.25" customHeight="1" x14ac:dyDescent="0.25">
      <c r="B49" s="449" t="str">
        <f>IF(AB229&gt;0,AB229,"-")</f>
        <v>-</v>
      </c>
      <c r="C49" s="449"/>
      <c r="D49" s="87" t="str">
        <f t="shared" si="0"/>
        <v>-</v>
      </c>
      <c r="E49" s="365" t="str">
        <f t="shared" si="1"/>
        <v>-</v>
      </c>
      <c r="F49" s="365"/>
      <c r="G49" s="365"/>
      <c r="H49" s="365"/>
      <c r="I49" s="365"/>
      <c r="M49" s="364"/>
      <c r="N49" s="365"/>
      <c r="O49" s="502"/>
      <c r="P49" s="503"/>
      <c r="Q49" s="504"/>
      <c r="R49" s="53"/>
    </row>
    <row r="50" spans="2:39" ht="20.25" customHeight="1" x14ac:dyDescent="0.25">
      <c r="B50" s="476" t="s">
        <v>535</v>
      </c>
      <c r="C50" s="476"/>
      <c r="D50" s="476"/>
      <c r="E50" s="476"/>
      <c r="F50" s="476"/>
      <c r="G50" s="476"/>
      <c r="H50" s="476"/>
      <c r="I50" s="476"/>
      <c r="M50" s="364"/>
      <c r="N50" s="365"/>
      <c r="O50" s="483" t="s">
        <v>156</v>
      </c>
      <c r="P50" s="484"/>
      <c r="Q50" s="92">
        <v>0.2</v>
      </c>
      <c r="R50" s="53"/>
    </row>
    <row r="51" spans="2:39" ht="20.25" customHeight="1" thickBot="1" x14ac:dyDescent="0.3">
      <c r="B51" s="476"/>
      <c r="C51" s="476"/>
      <c r="D51" s="476"/>
      <c r="E51" s="476"/>
      <c r="F51" s="476"/>
      <c r="G51" s="476"/>
      <c r="H51" s="476"/>
      <c r="I51" s="476"/>
      <c r="M51" s="69"/>
      <c r="N51" s="70"/>
      <c r="O51" s="70"/>
      <c r="P51" s="70"/>
      <c r="Q51" s="70"/>
      <c r="R51" s="71"/>
    </row>
    <row r="52" spans="2:39" ht="20.25" customHeight="1" thickBot="1" x14ac:dyDescent="0.3">
      <c r="B52" s="476"/>
      <c r="C52" s="476"/>
      <c r="D52" s="476"/>
      <c r="E52" s="476"/>
      <c r="F52" s="476"/>
      <c r="G52" s="476"/>
      <c r="H52" s="476"/>
      <c r="I52" s="476"/>
    </row>
    <row r="53" spans="2:39" ht="20.25" customHeight="1" thickBot="1" x14ac:dyDescent="0.3">
      <c r="B53" s="477"/>
      <c r="C53" s="477"/>
      <c r="D53" s="477"/>
      <c r="E53" s="477"/>
      <c r="F53" s="477"/>
      <c r="G53" s="477"/>
      <c r="H53" s="477"/>
      <c r="I53" s="477"/>
      <c r="M53" s="48"/>
      <c r="N53" s="49"/>
      <c r="O53" s="49"/>
      <c r="P53" s="49"/>
      <c r="Q53" s="49"/>
      <c r="R53" s="50"/>
    </row>
    <row r="54" spans="2:39" ht="20.25" customHeight="1" thickBot="1" x14ac:dyDescent="0.3">
      <c r="B54" s="485" t="s">
        <v>256</v>
      </c>
      <c r="C54" s="486"/>
      <c r="D54" s="486"/>
      <c r="E54" s="486"/>
      <c r="F54" s="486"/>
      <c r="G54" s="486"/>
      <c r="H54" s="486"/>
      <c r="I54" s="487"/>
      <c r="M54" s="364" t="s">
        <v>214</v>
      </c>
      <c r="N54" s="365"/>
      <c r="O54" s="473" t="s">
        <v>307</v>
      </c>
      <c r="P54" s="474"/>
      <c r="Q54" s="475"/>
      <c r="R54" s="53"/>
    </row>
    <row r="55" spans="2:39" ht="20.25" customHeight="1" x14ac:dyDescent="0.25">
      <c r="B55" s="449" t="str">
        <f>IF(AA249&gt;0,AA249,"-")</f>
        <v>Ácido Bórico</v>
      </c>
      <c r="C55" s="449"/>
      <c r="D55" s="87">
        <f>IF(AG249&gt;0,AG249,"-")</f>
        <v>54.853300492610835</v>
      </c>
      <c r="E55" s="365" t="str">
        <f>IF(AG249&gt;0,"gramas por planta","-")</f>
        <v>gramas por planta</v>
      </c>
      <c r="F55" s="365"/>
      <c r="G55" s="365"/>
      <c r="H55" s="365"/>
      <c r="I55" s="365"/>
      <c r="M55" s="364"/>
      <c r="N55" s="365"/>
      <c r="O55" s="448" t="s">
        <v>188</v>
      </c>
      <c r="P55" s="448"/>
      <c r="Q55" s="448"/>
      <c r="R55" s="53"/>
    </row>
    <row r="56" spans="2:39" ht="20.25" customHeight="1" x14ac:dyDescent="0.25">
      <c r="B56" s="449" t="str">
        <f>IF(AA250&gt;0,AA250,"-")</f>
        <v>Sulfato de cobre</v>
      </c>
      <c r="C56" s="449"/>
      <c r="D56" s="87" t="str">
        <f>IF(AG250&gt;0,AG250,"-")</f>
        <v>-</v>
      </c>
      <c r="E56" s="365" t="str">
        <f>IF(AG250&gt;0,"gramas por planta","-")</f>
        <v>-</v>
      </c>
      <c r="F56" s="365"/>
      <c r="G56" s="365"/>
      <c r="H56" s="365"/>
      <c r="I56" s="365"/>
      <c r="M56" s="364"/>
      <c r="N56" s="365"/>
      <c r="O56" s="490" t="s">
        <v>304</v>
      </c>
      <c r="P56" s="491"/>
      <c r="Q56" s="492"/>
      <c r="R56" s="53"/>
    </row>
    <row r="57" spans="2:39" ht="20.25" customHeight="1" x14ac:dyDescent="0.25">
      <c r="B57" s="449" t="str">
        <f>IF(AA251&gt;0,AA251,"-")</f>
        <v>Sulfato de zinco</v>
      </c>
      <c r="C57" s="449"/>
      <c r="D57" s="87" t="str">
        <f>IF(AG251&gt;0,AG251,"-")</f>
        <v>-</v>
      </c>
      <c r="E57" s="365" t="str">
        <f>IF(AG251&gt;0,"gramas por planta","-")</f>
        <v>-</v>
      </c>
      <c r="F57" s="365"/>
      <c r="G57" s="365"/>
      <c r="H57" s="365"/>
      <c r="I57" s="365"/>
      <c r="M57" s="364"/>
      <c r="N57" s="365"/>
      <c r="O57" s="493"/>
      <c r="P57" s="494"/>
      <c r="Q57" s="495"/>
      <c r="R57" s="53"/>
    </row>
    <row r="58" spans="2:39" ht="20.25" customHeight="1" thickBot="1" x14ac:dyDescent="0.3">
      <c r="B58" s="449" t="str">
        <f>IF(AA252&gt;0,AA252,"-")</f>
        <v>Sulfato de manganês</v>
      </c>
      <c r="C58" s="449"/>
      <c r="D58" s="87" t="str">
        <f>IF(AG252&gt;0,AG252,"-")</f>
        <v>-</v>
      </c>
      <c r="E58" s="365" t="str">
        <f>IF(AG252&gt;0,"gramas por planta","-")</f>
        <v>-</v>
      </c>
      <c r="F58" s="365"/>
      <c r="G58" s="365"/>
      <c r="H58" s="365"/>
      <c r="I58" s="365"/>
      <c r="M58" s="364"/>
      <c r="N58" s="365"/>
      <c r="O58" s="493"/>
      <c r="P58" s="494"/>
      <c r="Q58" s="495"/>
      <c r="R58" s="53"/>
    </row>
    <row r="59" spans="2:39" ht="20.25" customHeight="1" thickBot="1" x14ac:dyDescent="0.3">
      <c r="B59" s="449" t="str">
        <f>IF(AA253&gt;0,AA253,"-")</f>
        <v>-</v>
      </c>
      <c r="C59" s="449"/>
      <c r="D59" s="87" t="str">
        <f>IF(AG253&gt;0,AG253,"-")</f>
        <v>-</v>
      </c>
      <c r="E59" s="365" t="str">
        <f>IF(AG253&gt;0,"gramas por planta","-")</f>
        <v>-</v>
      </c>
      <c r="F59" s="365"/>
      <c r="G59" s="365"/>
      <c r="H59" s="365"/>
      <c r="I59" s="365"/>
      <c r="M59" s="364"/>
      <c r="N59" s="365"/>
      <c r="O59" s="493"/>
      <c r="P59" s="494"/>
      <c r="Q59" s="495"/>
      <c r="R59" s="53"/>
      <c r="AB59" s="607"/>
      <c r="AC59" s="608"/>
      <c r="AD59" s="608"/>
      <c r="AE59" s="608"/>
      <c r="AF59" s="608"/>
      <c r="AG59" s="608"/>
      <c r="AH59" s="608"/>
      <c r="AI59" s="608"/>
      <c r="AJ59" s="608"/>
      <c r="AK59" s="608"/>
      <c r="AL59" s="608"/>
      <c r="AM59" s="609"/>
    </row>
    <row r="60" spans="2:39" ht="20.25" customHeight="1" x14ac:dyDescent="0.25">
      <c r="B60" s="476" t="s">
        <v>536</v>
      </c>
      <c r="C60" s="476"/>
      <c r="D60" s="476"/>
      <c r="E60" s="476"/>
      <c r="F60" s="476"/>
      <c r="G60" s="476"/>
      <c r="H60" s="476"/>
      <c r="I60" s="476"/>
      <c r="M60" s="364"/>
      <c r="N60" s="365"/>
      <c r="O60" s="493"/>
      <c r="P60" s="494"/>
      <c r="Q60" s="495"/>
      <c r="R60" s="53"/>
      <c r="T60" s="223"/>
      <c r="U60" s="621" t="s">
        <v>632</v>
      </c>
      <c r="V60" s="621"/>
      <c r="W60" s="621"/>
      <c r="X60" s="225"/>
      <c r="AB60" s="610"/>
      <c r="AC60" s="622" t="s">
        <v>312</v>
      </c>
      <c r="AD60" s="623"/>
      <c r="AE60" s="623"/>
      <c r="AF60" s="623"/>
      <c r="AG60" s="623"/>
      <c r="AH60" s="624"/>
      <c r="AI60" s="615"/>
      <c r="AJ60" s="615"/>
      <c r="AK60" s="615"/>
      <c r="AL60" s="615"/>
      <c r="AM60" s="613"/>
    </row>
    <row r="61" spans="2:39" ht="20.25" customHeight="1" x14ac:dyDescent="0.25">
      <c r="B61" s="476"/>
      <c r="C61" s="476"/>
      <c r="D61" s="476"/>
      <c r="E61" s="476"/>
      <c r="F61" s="476"/>
      <c r="G61" s="476"/>
      <c r="H61" s="476"/>
      <c r="I61" s="476"/>
      <c r="M61" s="364"/>
      <c r="N61" s="365"/>
      <c r="O61" s="493"/>
      <c r="P61" s="494"/>
      <c r="Q61" s="495"/>
      <c r="R61" s="53"/>
      <c r="T61" s="226"/>
      <c r="U61" s="465"/>
      <c r="V61" s="465"/>
      <c r="W61" s="465"/>
      <c r="X61" s="228"/>
      <c r="AB61" s="610"/>
      <c r="AC61" s="614" t="s">
        <v>32</v>
      </c>
      <c r="AD61" s="614" t="s">
        <v>64</v>
      </c>
      <c r="AE61" s="614" t="s">
        <v>75</v>
      </c>
      <c r="AF61" s="614" t="s">
        <v>71</v>
      </c>
      <c r="AG61" s="614" t="s">
        <v>36</v>
      </c>
      <c r="AH61" s="614" t="s">
        <v>35</v>
      </c>
      <c r="AI61" s="615"/>
      <c r="AJ61" s="615"/>
      <c r="AK61" s="615"/>
      <c r="AL61" s="615"/>
      <c r="AM61" s="613"/>
    </row>
    <row r="62" spans="2:39" ht="20.25" customHeight="1" x14ac:dyDescent="0.25">
      <c r="B62" s="476"/>
      <c r="C62" s="476"/>
      <c r="D62" s="476"/>
      <c r="E62" s="476"/>
      <c r="F62" s="476"/>
      <c r="G62" s="476"/>
      <c r="H62" s="476"/>
      <c r="I62" s="476"/>
      <c r="M62" s="364"/>
      <c r="N62" s="365"/>
      <c r="O62" s="493"/>
      <c r="P62" s="494"/>
      <c r="Q62" s="495"/>
      <c r="R62" s="53"/>
      <c r="T62" s="226"/>
      <c r="U62" s="465"/>
      <c r="V62" s="465"/>
      <c r="W62" s="465"/>
      <c r="X62" s="228"/>
      <c r="AB62" s="610"/>
      <c r="AC62" s="614">
        <v>0</v>
      </c>
      <c r="AD62" s="614">
        <v>50</v>
      </c>
      <c r="AE62" s="614" t="s">
        <v>68</v>
      </c>
      <c r="AF62" s="614" t="str">
        <f>CONCATENATE(AC62," - ",AE62)</f>
        <v>0 - baixo</v>
      </c>
      <c r="AG62" s="614">
        <v>10</v>
      </c>
      <c r="AH62" s="614">
        <v>10</v>
      </c>
      <c r="AI62" s="615"/>
      <c r="AJ62" s="615"/>
      <c r="AK62" s="615"/>
      <c r="AL62" s="615"/>
      <c r="AM62" s="613"/>
    </row>
    <row r="63" spans="2:39" ht="20.25" customHeight="1" thickBot="1" x14ac:dyDescent="0.3">
      <c r="B63" s="477"/>
      <c r="C63" s="477"/>
      <c r="D63" s="477"/>
      <c r="E63" s="477"/>
      <c r="F63" s="477"/>
      <c r="G63" s="477"/>
      <c r="H63" s="477"/>
      <c r="I63" s="477"/>
      <c r="M63" s="364"/>
      <c r="N63" s="365"/>
      <c r="O63" s="493"/>
      <c r="P63" s="494"/>
      <c r="Q63" s="495"/>
      <c r="R63" s="53"/>
      <c r="T63" s="226"/>
      <c r="U63" s="465"/>
      <c r="V63" s="465"/>
      <c r="W63" s="465"/>
      <c r="X63" s="228"/>
      <c r="AB63" s="610"/>
      <c r="AC63" s="614">
        <v>0</v>
      </c>
      <c r="AD63" s="614">
        <v>50</v>
      </c>
      <c r="AE63" s="614" t="s">
        <v>69</v>
      </c>
      <c r="AF63" s="614" t="str">
        <f t="shared" ref="AF63:AF64" si="2">CONCATENATE(AC63," - ",AE63)</f>
        <v>0 - medio</v>
      </c>
      <c r="AG63" s="614">
        <v>10</v>
      </c>
      <c r="AH63" s="614">
        <v>10</v>
      </c>
      <c r="AI63" s="615"/>
      <c r="AJ63" s="625" t="s">
        <v>65</v>
      </c>
      <c r="AK63" s="625"/>
      <c r="AL63" s="615"/>
      <c r="AM63" s="613"/>
    </row>
    <row r="64" spans="2:39" ht="20.25" customHeight="1" x14ac:dyDescent="0.25">
      <c r="B64" s="361"/>
      <c r="C64" s="362"/>
      <c r="D64" s="362"/>
      <c r="E64" s="363"/>
      <c r="F64" s="361"/>
      <c r="G64" s="362"/>
      <c r="H64" s="362"/>
      <c r="I64" s="363"/>
      <c r="M64" s="364"/>
      <c r="N64" s="365"/>
      <c r="O64" s="496"/>
      <c r="P64" s="497"/>
      <c r="Q64" s="498"/>
      <c r="R64" s="53"/>
      <c r="T64" s="226"/>
      <c r="U64" s="465"/>
      <c r="V64" s="465"/>
      <c r="W64" s="465"/>
      <c r="X64" s="228"/>
      <c r="AB64" s="610"/>
      <c r="AC64" s="614">
        <v>0</v>
      </c>
      <c r="AD64" s="614">
        <v>50</v>
      </c>
      <c r="AE64" s="614" t="s">
        <v>70</v>
      </c>
      <c r="AF64" s="614" t="str">
        <f t="shared" si="2"/>
        <v>0 - adequado</v>
      </c>
      <c r="AG64" s="614">
        <v>10</v>
      </c>
      <c r="AH64" s="614">
        <v>10</v>
      </c>
      <c r="AI64" s="615"/>
      <c r="AJ64" s="626" t="s">
        <v>33</v>
      </c>
      <c r="AK64" s="626">
        <f>VLOOKUP($P$39,$AC$62:$AD$76,2,0)</f>
        <v>300</v>
      </c>
      <c r="AL64" s="615"/>
      <c r="AM64" s="613"/>
    </row>
    <row r="65" spans="2:39" ht="20.25" customHeight="1" x14ac:dyDescent="0.25">
      <c r="B65" s="364"/>
      <c r="C65" s="365"/>
      <c r="D65" s="365"/>
      <c r="E65" s="366"/>
      <c r="F65" s="364"/>
      <c r="G65" s="365"/>
      <c r="H65" s="365"/>
      <c r="I65" s="366"/>
      <c r="M65" s="364"/>
      <c r="N65" s="365"/>
      <c r="O65" s="25"/>
      <c r="P65" s="25"/>
      <c r="Q65" s="25"/>
      <c r="R65" s="53"/>
      <c r="T65" s="226"/>
      <c r="U65" s="465"/>
      <c r="V65" s="465"/>
      <c r="W65" s="465"/>
      <c r="X65" s="228"/>
      <c r="AB65" s="610"/>
      <c r="AC65" s="614">
        <v>1</v>
      </c>
      <c r="AD65" s="614">
        <v>60</v>
      </c>
      <c r="AE65" s="614" t="s">
        <v>68</v>
      </c>
      <c r="AF65" s="614" t="str">
        <f t="shared" ref="AF65:AF76" si="3">CONCATENATE(AC65," - ",AE65)</f>
        <v>1 - baixo</v>
      </c>
      <c r="AG65" s="614">
        <v>120</v>
      </c>
      <c r="AH65" s="614">
        <v>80</v>
      </c>
      <c r="AI65" s="615"/>
      <c r="AJ65" s="626" t="s">
        <v>66</v>
      </c>
      <c r="AK65" s="626">
        <f>VLOOKUP(AJ70,AF62:AH76,2,0)</f>
        <v>100</v>
      </c>
      <c r="AL65" s="615"/>
      <c r="AM65" s="613"/>
    </row>
    <row r="66" spans="2:39" ht="20.25" customHeight="1" thickBot="1" x14ac:dyDescent="0.3">
      <c r="B66" s="367"/>
      <c r="C66" s="368"/>
      <c r="D66" s="368"/>
      <c r="E66" s="369"/>
      <c r="F66" s="367"/>
      <c r="G66" s="368"/>
      <c r="H66" s="368"/>
      <c r="I66" s="369"/>
      <c r="M66" s="364"/>
      <c r="N66" s="365"/>
      <c r="O66" s="467" t="s">
        <v>199</v>
      </c>
      <c r="P66" s="468"/>
      <c r="Q66" s="469"/>
      <c r="R66" s="53"/>
      <c r="T66" s="226"/>
      <c r="U66" s="227"/>
      <c r="V66" s="227"/>
      <c r="W66" s="227"/>
      <c r="X66" s="228"/>
      <c r="AB66" s="610"/>
      <c r="AC66" s="614">
        <v>1</v>
      </c>
      <c r="AD66" s="614">
        <v>60</v>
      </c>
      <c r="AE66" s="614" t="s">
        <v>69</v>
      </c>
      <c r="AF66" s="614" t="str">
        <f t="shared" si="3"/>
        <v>1 - medio</v>
      </c>
      <c r="AG66" s="614">
        <v>80</v>
      </c>
      <c r="AH66" s="614">
        <v>50</v>
      </c>
      <c r="AI66" s="615"/>
      <c r="AJ66" s="626" t="s">
        <v>67</v>
      </c>
      <c r="AK66" s="626">
        <f>VLOOKUP($AJ$73,AF62:AH76,3,0)</f>
        <v>130</v>
      </c>
      <c r="AL66" s="615"/>
      <c r="AM66" s="613"/>
    </row>
    <row r="67" spans="2:39" ht="20.25" customHeight="1" x14ac:dyDescent="0.25">
      <c r="B67" s="370" t="s">
        <v>132</v>
      </c>
      <c r="C67" s="370"/>
      <c r="D67" s="370"/>
      <c r="E67" s="371"/>
      <c r="F67" s="370" t="s">
        <v>133</v>
      </c>
      <c r="G67" s="370"/>
      <c r="H67" s="370"/>
      <c r="I67" s="370"/>
      <c r="M67" s="364"/>
      <c r="N67" s="365"/>
      <c r="O67" s="470"/>
      <c r="P67" s="471"/>
      <c r="Q67" s="472"/>
      <c r="R67" s="53"/>
      <c r="T67" s="226"/>
      <c r="U67" s="227"/>
      <c r="V67" s="227"/>
      <c r="W67" s="227"/>
      <c r="X67" s="228"/>
      <c r="AB67" s="610"/>
      <c r="AC67" s="614">
        <v>1</v>
      </c>
      <c r="AD67" s="614">
        <v>60</v>
      </c>
      <c r="AE67" s="614" t="s">
        <v>70</v>
      </c>
      <c r="AF67" s="614" t="str">
        <f t="shared" si="3"/>
        <v>1 - adequado</v>
      </c>
      <c r="AG67" s="614">
        <v>40</v>
      </c>
      <c r="AH67" s="614">
        <v>30</v>
      </c>
      <c r="AI67" s="615"/>
      <c r="AJ67" s="615"/>
      <c r="AK67" s="615"/>
      <c r="AL67" s="615"/>
      <c r="AM67" s="613"/>
    </row>
    <row r="68" spans="2:39" ht="20.25" customHeight="1" x14ac:dyDescent="0.25">
      <c r="M68" s="364"/>
      <c r="N68" s="365"/>
      <c r="O68" s="448" t="s">
        <v>189</v>
      </c>
      <c r="P68" s="448"/>
      <c r="Q68" s="448"/>
      <c r="R68" s="53"/>
      <c r="T68" s="226"/>
      <c r="U68" s="489" t="s">
        <v>198</v>
      </c>
      <c r="V68" s="489"/>
      <c r="W68" s="489"/>
      <c r="X68" s="228"/>
      <c r="Z68" s="11" t="s">
        <v>631</v>
      </c>
      <c r="AB68" s="610"/>
      <c r="AC68" s="614">
        <v>2</v>
      </c>
      <c r="AD68" s="614">
        <v>120</v>
      </c>
      <c r="AE68" s="614" t="s">
        <v>68</v>
      </c>
      <c r="AF68" s="614" t="str">
        <f t="shared" si="3"/>
        <v>2 - baixo</v>
      </c>
      <c r="AG68" s="614">
        <v>180</v>
      </c>
      <c r="AH68" s="614">
        <v>120</v>
      </c>
      <c r="AI68" s="615"/>
      <c r="AJ68" s="615"/>
      <c r="AK68" s="615"/>
      <c r="AL68" s="615"/>
      <c r="AM68" s="613"/>
    </row>
    <row r="69" spans="2:39" ht="20.25" customHeight="1" thickBot="1" x14ac:dyDescent="0.3">
      <c r="M69" s="69"/>
      <c r="N69" s="70"/>
      <c r="O69" s="70"/>
      <c r="P69" s="70"/>
      <c r="Q69" s="70"/>
      <c r="R69" s="71"/>
      <c r="T69" s="226"/>
      <c r="U69" s="232" t="s">
        <v>182</v>
      </c>
      <c r="V69" s="448">
        <v>4</v>
      </c>
      <c r="W69" s="448"/>
      <c r="X69" s="228"/>
      <c r="AB69" s="610"/>
      <c r="AC69" s="614">
        <v>2</v>
      </c>
      <c r="AD69" s="614">
        <v>120</v>
      </c>
      <c r="AE69" s="614" t="s">
        <v>69</v>
      </c>
      <c r="AF69" s="614" t="str">
        <f t="shared" si="3"/>
        <v>2 - medio</v>
      </c>
      <c r="AG69" s="614">
        <v>120</v>
      </c>
      <c r="AH69" s="614">
        <v>80</v>
      </c>
      <c r="AI69" s="615"/>
      <c r="AJ69" s="612" t="s">
        <v>72</v>
      </c>
      <c r="AK69" s="612"/>
      <c r="AL69" s="615"/>
      <c r="AM69" s="613"/>
    </row>
    <row r="70" spans="2:39" ht="20.25" customHeight="1" thickBot="1" x14ac:dyDescent="0.3">
      <c r="T70" s="226"/>
      <c r="U70" s="227"/>
      <c r="V70" s="227"/>
      <c r="W70" s="227"/>
      <c r="X70" s="228"/>
      <c r="AB70" s="610"/>
      <c r="AC70" s="614">
        <v>2</v>
      </c>
      <c r="AD70" s="614">
        <v>120</v>
      </c>
      <c r="AE70" s="614" t="s">
        <v>70</v>
      </c>
      <c r="AF70" s="614" t="str">
        <f t="shared" si="3"/>
        <v>2 - adequado</v>
      </c>
      <c r="AG70" s="614">
        <v>60</v>
      </c>
      <c r="AH70" s="614">
        <v>40</v>
      </c>
      <c r="AI70" s="615"/>
      <c r="AJ70" s="612" t="str">
        <f>CONCATENATE($P$39," - ",$AL$10)</f>
        <v>4 - adequado</v>
      </c>
      <c r="AK70" s="612"/>
      <c r="AL70" s="615"/>
      <c r="AM70" s="613"/>
    </row>
    <row r="71" spans="2:39" ht="20.25" customHeight="1" x14ac:dyDescent="0.25">
      <c r="M71" s="48"/>
      <c r="N71" s="49"/>
      <c r="O71" s="49"/>
      <c r="P71" s="49"/>
      <c r="Q71" s="49"/>
      <c r="R71" s="50"/>
      <c r="T71" s="226"/>
      <c r="U71" s="489" t="s">
        <v>301</v>
      </c>
      <c r="V71" s="489"/>
      <c r="W71" s="489"/>
      <c r="X71" s="228"/>
      <c r="AB71" s="610"/>
      <c r="AC71" s="614">
        <v>3</v>
      </c>
      <c r="AD71" s="614">
        <v>200</v>
      </c>
      <c r="AE71" s="614" t="s">
        <v>68</v>
      </c>
      <c r="AF71" s="614" t="str">
        <f t="shared" si="3"/>
        <v>3 - baixo</v>
      </c>
      <c r="AG71" s="614">
        <v>240</v>
      </c>
      <c r="AH71" s="614">
        <v>160</v>
      </c>
      <c r="AI71" s="615"/>
      <c r="AJ71" s="615"/>
      <c r="AK71" s="615"/>
      <c r="AL71" s="615"/>
      <c r="AM71" s="613"/>
    </row>
    <row r="72" spans="2:39" ht="20.25" customHeight="1" x14ac:dyDescent="0.25">
      <c r="M72" s="364" t="s">
        <v>215</v>
      </c>
      <c r="N72" s="365"/>
      <c r="O72" s="450" t="s">
        <v>252</v>
      </c>
      <c r="P72" s="451"/>
      <c r="Q72" s="452"/>
      <c r="R72" s="53"/>
      <c r="T72" s="226"/>
      <c r="U72" s="232" t="s">
        <v>303</v>
      </c>
      <c r="V72" s="448" t="s">
        <v>321</v>
      </c>
      <c r="W72" s="448"/>
      <c r="X72" s="228"/>
      <c r="AB72" s="610"/>
      <c r="AC72" s="614">
        <v>3</v>
      </c>
      <c r="AD72" s="614">
        <v>200</v>
      </c>
      <c r="AE72" s="614" t="s">
        <v>69</v>
      </c>
      <c r="AF72" s="614" t="str">
        <f t="shared" si="3"/>
        <v>3 - medio</v>
      </c>
      <c r="AG72" s="614">
        <v>160</v>
      </c>
      <c r="AH72" s="614">
        <v>110</v>
      </c>
      <c r="AI72" s="615"/>
      <c r="AJ72" s="612" t="s">
        <v>73</v>
      </c>
      <c r="AK72" s="612"/>
      <c r="AL72" s="615"/>
      <c r="AM72" s="613"/>
    </row>
    <row r="73" spans="2:39" ht="20.25" customHeight="1" x14ac:dyDescent="0.25">
      <c r="M73" s="364"/>
      <c r="N73" s="365"/>
      <c r="O73" s="450" t="s">
        <v>251</v>
      </c>
      <c r="P73" s="451"/>
      <c r="Q73" s="452"/>
      <c r="R73" s="53"/>
      <c r="T73" s="226"/>
      <c r="U73" s="227"/>
      <c r="V73" s="227"/>
      <c r="W73" s="227"/>
      <c r="X73" s="228"/>
      <c r="AB73" s="610"/>
      <c r="AC73" s="614">
        <v>3</v>
      </c>
      <c r="AD73" s="614">
        <v>200</v>
      </c>
      <c r="AE73" s="614" t="s">
        <v>70</v>
      </c>
      <c r="AF73" s="614" t="str">
        <f t="shared" si="3"/>
        <v>3 - adequado</v>
      </c>
      <c r="AG73" s="614">
        <v>80</v>
      </c>
      <c r="AH73" s="614">
        <v>50</v>
      </c>
      <c r="AI73" s="615"/>
      <c r="AJ73" s="612" t="str">
        <f>CONCATENATE($P$39," - ",$AL$24)</f>
        <v>4 - medio</v>
      </c>
      <c r="AK73" s="612"/>
      <c r="AL73" s="615"/>
      <c r="AM73" s="613"/>
    </row>
    <row r="74" spans="2:39" ht="20.25" customHeight="1" x14ac:dyDescent="0.25">
      <c r="M74" s="364"/>
      <c r="N74" s="365"/>
      <c r="O74" s="448" t="s">
        <v>229</v>
      </c>
      <c r="P74" s="448"/>
      <c r="Q74" s="92">
        <v>0.5</v>
      </c>
      <c r="R74" s="53"/>
      <c r="T74" s="226"/>
      <c r="U74" s="227"/>
      <c r="V74" s="227"/>
      <c r="W74" s="227"/>
      <c r="X74" s="228"/>
      <c r="AB74" s="610"/>
      <c r="AC74" s="614">
        <v>4</v>
      </c>
      <c r="AD74" s="614">
        <v>300</v>
      </c>
      <c r="AE74" s="614" t="s">
        <v>68</v>
      </c>
      <c r="AF74" s="614" t="str">
        <f t="shared" si="3"/>
        <v>4 - baixo</v>
      </c>
      <c r="AG74" s="614">
        <v>300</v>
      </c>
      <c r="AH74" s="614">
        <v>200</v>
      </c>
      <c r="AI74" s="615"/>
      <c r="AJ74" s="615"/>
      <c r="AK74" s="615"/>
      <c r="AL74" s="615"/>
      <c r="AM74" s="613"/>
    </row>
    <row r="75" spans="2:39" ht="20.25" customHeight="1" thickBot="1" x14ac:dyDescent="0.3">
      <c r="M75" s="364"/>
      <c r="N75" s="365"/>
      <c r="O75" s="448" t="s">
        <v>216</v>
      </c>
      <c r="P75" s="448"/>
      <c r="Q75" s="92">
        <v>0.5</v>
      </c>
      <c r="R75" s="53"/>
      <c r="T75" s="229"/>
      <c r="U75" s="230"/>
      <c r="V75" s="230"/>
      <c r="W75" s="230"/>
      <c r="X75" s="231"/>
      <c r="AB75" s="610"/>
      <c r="AC75" s="614">
        <v>4</v>
      </c>
      <c r="AD75" s="614">
        <v>300</v>
      </c>
      <c r="AE75" s="614" t="s">
        <v>69</v>
      </c>
      <c r="AF75" s="614" t="str">
        <f t="shared" si="3"/>
        <v>4 - medio</v>
      </c>
      <c r="AG75" s="614">
        <v>200</v>
      </c>
      <c r="AH75" s="614">
        <v>130</v>
      </c>
      <c r="AI75" s="615"/>
      <c r="AJ75" s="615"/>
      <c r="AK75" s="615"/>
      <c r="AL75" s="615"/>
      <c r="AM75" s="613"/>
    </row>
    <row r="76" spans="2:39" ht="20.25" customHeight="1" x14ac:dyDescent="0.25">
      <c r="M76" s="364"/>
      <c r="N76" s="365"/>
      <c r="O76" s="448"/>
      <c r="P76" s="448"/>
      <c r="Q76" s="92"/>
      <c r="R76" s="53"/>
      <c r="AB76" s="610"/>
      <c r="AC76" s="614">
        <v>4</v>
      </c>
      <c r="AD76" s="614">
        <v>300</v>
      </c>
      <c r="AE76" s="614" t="s">
        <v>70</v>
      </c>
      <c r="AF76" s="614" t="str">
        <f t="shared" si="3"/>
        <v>4 - adequado</v>
      </c>
      <c r="AG76" s="614">
        <v>100</v>
      </c>
      <c r="AH76" s="614">
        <v>70</v>
      </c>
      <c r="AI76" s="615"/>
      <c r="AJ76" s="615"/>
      <c r="AK76" s="615"/>
      <c r="AL76" s="615"/>
      <c r="AM76" s="613"/>
    </row>
    <row r="77" spans="2:39" ht="20.25" customHeight="1" thickBot="1" x14ac:dyDescent="0.3">
      <c r="M77" s="364"/>
      <c r="N77" s="365"/>
      <c r="O77" s="25"/>
      <c r="P77" s="25"/>
      <c r="Q77" s="25"/>
      <c r="R77" s="53"/>
      <c r="AB77" s="618"/>
      <c r="AC77" s="619"/>
      <c r="AD77" s="619"/>
      <c r="AE77" s="619"/>
      <c r="AF77" s="619"/>
      <c r="AG77" s="619"/>
      <c r="AH77" s="619"/>
      <c r="AI77" s="619"/>
      <c r="AJ77" s="619"/>
      <c r="AK77" s="619"/>
      <c r="AL77" s="619"/>
      <c r="AM77" s="620"/>
    </row>
    <row r="78" spans="2:39" ht="20.25" customHeight="1" x14ac:dyDescent="0.25">
      <c r="M78" s="364"/>
      <c r="N78" s="365"/>
      <c r="O78" s="365" t="s">
        <v>264</v>
      </c>
      <c r="P78" s="365"/>
      <c r="Q78" s="365"/>
      <c r="R78" s="53"/>
    </row>
    <row r="79" spans="2:39" ht="20.25" customHeight="1" x14ac:dyDescent="0.25">
      <c r="M79" s="364"/>
      <c r="N79" s="365"/>
      <c r="O79" s="25"/>
      <c r="P79" s="25"/>
      <c r="Q79" s="25"/>
      <c r="R79" s="53"/>
    </row>
    <row r="80" spans="2:39" ht="20.25" customHeight="1" x14ac:dyDescent="0.25">
      <c r="M80" s="364"/>
      <c r="N80" s="365"/>
      <c r="O80" s="450" t="s">
        <v>253</v>
      </c>
      <c r="P80" s="451"/>
      <c r="Q80" s="452"/>
      <c r="R80" s="53"/>
    </row>
    <row r="81" spans="13:39" ht="20.25" customHeight="1" x14ac:dyDescent="0.25">
      <c r="M81" s="364"/>
      <c r="N81" s="365"/>
      <c r="O81" s="450" t="s">
        <v>251</v>
      </c>
      <c r="P81" s="451"/>
      <c r="Q81" s="452"/>
      <c r="R81" s="53"/>
    </row>
    <row r="82" spans="13:39" ht="20.25" customHeight="1" x14ac:dyDescent="0.25">
      <c r="M82" s="364"/>
      <c r="N82" s="365"/>
      <c r="O82" s="448" t="s">
        <v>205</v>
      </c>
      <c r="P82" s="448"/>
      <c r="Q82" s="92">
        <v>0.5</v>
      </c>
      <c r="R82" s="53"/>
    </row>
    <row r="83" spans="13:39" ht="20.25" customHeight="1" x14ac:dyDescent="0.25">
      <c r="M83" s="364"/>
      <c r="N83" s="365"/>
      <c r="O83" s="448" t="s">
        <v>116</v>
      </c>
      <c r="P83" s="448"/>
      <c r="Q83" s="92">
        <v>0.5</v>
      </c>
      <c r="R83" s="53"/>
    </row>
    <row r="84" spans="13:39" ht="20.25" customHeight="1" x14ac:dyDescent="0.25">
      <c r="M84" s="364"/>
      <c r="N84" s="365"/>
      <c r="O84" s="448"/>
      <c r="P84" s="448"/>
      <c r="Q84" s="92"/>
      <c r="R84" s="53"/>
    </row>
    <row r="85" spans="13:39" ht="20.25" customHeight="1" x14ac:dyDescent="0.25">
      <c r="M85" s="364"/>
      <c r="N85" s="365"/>
      <c r="O85" s="25"/>
      <c r="P85" s="25"/>
      <c r="Q85" s="25"/>
      <c r="R85" s="53"/>
    </row>
    <row r="86" spans="13:39" ht="20.25" customHeight="1" thickBot="1" x14ac:dyDescent="0.3">
      <c r="M86" s="364"/>
      <c r="N86" s="365"/>
      <c r="O86" s="365" t="s">
        <v>264</v>
      </c>
      <c r="P86" s="365"/>
      <c r="Q86" s="365"/>
      <c r="R86" s="53"/>
    </row>
    <row r="87" spans="13:39" ht="20.25" customHeight="1" x14ac:dyDescent="0.25">
      <c r="M87" s="364"/>
      <c r="N87" s="365"/>
      <c r="O87" s="25"/>
      <c r="P87" s="25"/>
      <c r="Q87" s="25"/>
      <c r="R87" s="53"/>
      <c r="AB87" s="607"/>
      <c r="AC87" s="608"/>
      <c r="AD87" s="608"/>
      <c r="AE87" s="608"/>
      <c r="AF87" s="608"/>
      <c r="AG87" s="608"/>
      <c r="AH87" s="608"/>
      <c r="AI87" s="608"/>
      <c r="AJ87" s="608"/>
      <c r="AK87" s="608"/>
      <c r="AL87" s="608"/>
      <c r="AM87" s="609"/>
    </row>
    <row r="88" spans="13:39" ht="20.25" customHeight="1" x14ac:dyDescent="0.25">
      <c r="M88" s="364"/>
      <c r="N88" s="365"/>
      <c r="O88" s="450" t="s">
        <v>254</v>
      </c>
      <c r="P88" s="451"/>
      <c r="Q88" s="452"/>
      <c r="R88" s="53"/>
      <c r="AB88" s="610"/>
      <c r="AC88" s="615"/>
      <c r="AD88" s="615"/>
      <c r="AE88" s="615"/>
      <c r="AF88" s="615"/>
      <c r="AG88" s="615"/>
      <c r="AH88" s="615"/>
      <c r="AI88" s="615"/>
      <c r="AJ88" s="615"/>
      <c r="AK88" s="615"/>
      <c r="AL88" s="615"/>
      <c r="AM88" s="613"/>
    </row>
    <row r="89" spans="13:39" ht="20.25" customHeight="1" x14ac:dyDescent="0.25">
      <c r="M89" s="364"/>
      <c r="N89" s="365"/>
      <c r="O89" s="450" t="s">
        <v>251</v>
      </c>
      <c r="P89" s="451"/>
      <c r="Q89" s="452"/>
      <c r="R89" s="53"/>
      <c r="AB89" s="610"/>
      <c r="AC89" s="615"/>
      <c r="AD89" s="615"/>
      <c r="AE89" s="615"/>
      <c r="AF89" s="615"/>
      <c r="AG89" s="615"/>
      <c r="AH89" s="612" t="s">
        <v>280</v>
      </c>
      <c r="AI89" s="612"/>
      <c r="AJ89" s="612"/>
      <c r="AK89" s="612"/>
      <c r="AL89" s="615"/>
      <c r="AM89" s="613"/>
    </row>
    <row r="90" spans="13:39" ht="20.25" customHeight="1" x14ac:dyDescent="0.25">
      <c r="M90" s="364"/>
      <c r="N90" s="365"/>
      <c r="O90" s="448" t="s">
        <v>93</v>
      </c>
      <c r="P90" s="448"/>
      <c r="Q90" s="92">
        <v>1</v>
      </c>
      <c r="R90" s="53"/>
      <c r="AB90" s="610"/>
      <c r="AC90" s="615"/>
      <c r="AD90" s="615"/>
      <c r="AE90" s="615"/>
      <c r="AF90" s="615"/>
      <c r="AG90" s="615"/>
      <c r="AH90" s="614">
        <v>0</v>
      </c>
      <c r="AI90" s="627" t="s">
        <v>286</v>
      </c>
      <c r="AJ90" s="627" t="str">
        <f>CONCATENATE(AH90," - ",AI90)</f>
        <v>0 - Composto de lixo (COL)</v>
      </c>
      <c r="AK90" s="614">
        <v>15</v>
      </c>
      <c r="AL90" s="615"/>
      <c r="AM90" s="613"/>
    </row>
    <row r="91" spans="13:39" ht="20.25" customHeight="1" x14ac:dyDescent="0.25">
      <c r="M91" s="364"/>
      <c r="N91" s="365"/>
      <c r="O91" s="448"/>
      <c r="P91" s="448"/>
      <c r="Q91" s="92"/>
      <c r="R91" s="53"/>
      <c r="AB91" s="610"/>
      <c r="AC91" s="615"/>
      <c r="AD91" s="615"/>
      <c r="AE91" s="615"/>
      <c r="AF91" s="615"/>
      <c r="AG91" s="615"/>
      <c r="AH91" s="614">
        <v>1</v>
      </c>
      <c r="AI91" s="627" t="s">
        <v>286</v>
      </c>
      <c r="AJ91" s="627" t="str">
        <f t="shared" ref="AJ91:AJ94" si="4">CONCATENATE(AH91," - ",AI91)</f>
        <v>1 - Composto de lixo (COL)</v>
      </c>
      <c r="AK91" s="614">
        <v>5</v>
      </c>
      <c r="AL91" s="615"/>
      <c r="AM91" s="613"/>
    </row>
    <row r="92" spans="13:39" ht="20.25" customHeight="1" x14ac:dyDescent="0.25">
      <c r="M92" s="364"/>
      <c r="N92" s="365"/>
      <c r="O92" s="448"/>
      <c r="P92" s="448"/>
      <c r="Q92" s="92"/>
      <c r="R92" s="53"/>
      <c r="AB92" s="610"/>
      <c r="AC92" s="615"/>
      <c r="AD92" s="615"/>
      <c r="AE92" s="628"/>
      <c r="AF92" s="615"/>
      <c r="AG92" s="628"/>
      <c r="AH92" s="614">
        <v>2</v>
      </c>
      <c r="AI92" s="627" t="s">
        <v>286</v>
      </c>
      <c r="AJ92" s="627" t="str">
        <f t="shared" si="4"/>
        <v>2 - Composto de lixo (COL)</v>
      </c>
      <c r="AK92" s="614">
        <v>10</v>
      </c>
      <c r="AL92" s="615"/>
      <c r="AM92" s="613"/>
    </row>
    <row r="93" spans="13:39" ht="20.25" customHeight="1" x14ac:dyDescent="0.25">
      <c r="M93" s="101"/>
      <c r="N93" s="25"/>
      <c r="O93" s="25"/>
      <c r="P93" s="25"/>
      <c r="Q93" s="25"/>
      <c r="R93" s="53"/>
      <c r="AB93" s="610"/>
      <c r="AC93" s="615"/>
      <c r="AD93" s="615"/>
      <c r="AE93" s="629"/>
      <c r="AF93" s="615"/>
      <c r="AG93" s="629"/>
      <c r="AH93" s="614">
        <v>3</v>
      </c>
      <c r="AI93" s="627" t="s">
        <v>286</v>
      </c>
      <c r="AJ93" s="627" t="str">
        <f t="shared" si="4"/>
        <v>3 - Composto de lixo (COL)</v>
      </c>
      <c r="AK93" s="614">
        <v>15</v>
      </c>
      <c r="AL93" s="615"/>
      <c r="AM93" s="613"/>
    </row>
    <row r="94" spans="13:39" ht="20.25" customHeight="1" x14ac:dyDescent="0.25">
      <c r="M94" s="101"/>
      <c r="N94" s="25"/>
      <c r="O94" s="365" t="s">
        <v>264</v>
      </c>
      <c r="P94" s="365"/>
      <c r="Q94" s="365"/>
      <c r="R94" s="53"/>
      <c r="AB94" s="610"/>
      <c r="AC94" s="615"/>
      <c r="AD94" s="615"/>
      <c r="AE94" s="629"/>
      <c r="AF94" s="615"/>
      <c r="AG94" s="629"/>
      <c r="AH94" s="614">
        <v>4</v>
      </c>
      <c r="AI94" s="627" t="s">
        <v>286</v>
      </c>
      <c r="AJ94" s="627" t="str">
        <f t="shared" si="4"/>
        <v>4 - Composto de lixo (COL)</v>
      </c>
      <c r="AK94" s="614">
        <v>5</v>
      </c>
      <c r="AL94" s="615"/>
      <c r="AM94" s="613"/>
    </row>
    <row r="95" spans="13:39" ht="20.25" customHeight="1" thickBot="1" x14ac:dyDescent="0.3">
      <c r="M95" s="69"/>
      <c r="N95" s="70"/>
      <c r="O95" s="70"/>
      <c r="P95" s="70"/>
      <c r="Q95" s="70"/>
      <c r="R95" s="71"/>
      <c r="AB95" s="610"/>
      <c r="AC95" s="615"/>
      <c r="AD95" s="615"/>
      <c r="AE95" s="615"/>
      <c r="AF95" s="615"/>
      <c r="AG95" s="615"/>
      <c r="AH95" s="614">
        <v>0</v>
      </c>
      <c r="AI95" s="627" t="s">
        <v>293</v>
      </c>
      <c r="AJ95" s="627" t="str">
        <f t="shared" ref="AJ95:AJ134" si="5">CONCATENATE(AH95," - ",AI95)</f>
        <v>0 - Cama de frango corte</v>
      </c>
      <c r="AK95" s="614">
        <v>4</v>
      </c>
      <c r="AL95" s="615"/>
      <c r="AM95" s="613"/>
    </row>
    <row r="96" spans="13:39" ht="20.25" customHeight="1" thickBot="1" x14ac:dyDescent="0.3">
      <c r="AB96" s="610"/>
      <c r="AC96" s="615"/>
      <c r="AD96" s="615"/>
      <c r="AE96" s="612" t="s">
        <v>294</v>
      </c>
      <c r="AF96" s="612"/>
      <c r="AG96" s="615"/>
      <c r="AH96" s="614">
        <v>1</v>
      </c>
      <c r="AI96" s="627" t="s">
        <v>293</v>
      </c>
      <c r="AJ96" s="627" t="str">
        <f t="shared" si="5"/>
        <v>1 - Cama de frango corte</v>
      </c>
      <c r="AK96" s="614">
        <v>1</v>
      </c>
      <c r="AL96" s="615"/>
      <c r="AM96" s="613"/>
    </row>
    <row r="97" spans="1:76" ht="20.25" customHeight="1" x14ac:dyDescent="0.25">
      <c r="A97" s="26"/>
      <c r="M97" s="48"/>
      <c r="N97" s="49"/>
      <c r="O97" s="49"/>
      <c r="P97" s="49"/>
      <c r="Q97" s="49"/>
      <c r="R97" s="50"/>
      <c r="AB97" s="610"/>
      <c r="AC97" s="615"/>
      <c r="AD97" s="615"/>
      <c r="AE97" s="612" t="str">
        <f>CONCATENATE($P$39," - ",$O$42)</f>
        <v>4 - Composto de lixo (COL)</v>
      </c>
      <c r="AF97" s="612"/>
      <c r="AG97" s="615"/>
      <c r="AH97" s="614">
        <v>2</v>
      </c>
      <c r="AI97" s="627" t="s">
        <v>293</v>
      </c>
      <c r="AJ97" s="627" t="str">
        <f t="shared" si="5"/>
        <v>2 - Cama de frango corte</v>
      </c>
      <c r="AK97" s="614">
        <v>3</v>
      </c>
      <c r="AL97" s="615"/>
      <c r="AM97" s="613"/>
    </row>
    <row r="98" spans="1:76" ht="20.25" customHeight="1" x14ac:dyDescent="0.25">
      <c r="A98" s="94"/>
      <c r="M98" s="364" t="s">
        <v>269</v>
      </c>
      <c r="N98" s="453"/>
      <c r="O98" s="102" t="s">
        <v>33</v>
      </c>
      <c r="P98" s="102" t="s">
        <v>223</v>
      </c>
      <c r="Q98" s="102" t="s">
        <v>224</v>
      </c>
      <c r="R98" s="53"/>
      <c r="AB98" s="610"/>
      <c r="AC98" s="615"/>
      <c r="AD98" s="615"/>
      <c r="AE98" s="612">
        <f>IFERROR(VLOOKUP(AE97,AJ90:AK134,2,0),0)</f>
        <v>5</v>
      </c>
      <c r="AF98" s="612"/>
      <c r="AG98" s="615"/>
      <c r="AH98" s="614">
        <v>3</v>
      </c>
      <c r="AI98" s="627" t="s">
        <v>293</v>
      </c>
      <c r="AJ98" s="627" t="str">
        <f t="shared" si="5"/>
        <v>3 - Cama de frango corte</v>
      </c>
      <c r="AK98" s="614">
        <v>4</v>
      </c>
      <c r="AL98" s="615"/>
      <c r="AM98" s="613"/>
    </row>
    <row r="99" spans="1:76" ht="20.25" customHeight="1" x14ac:dyDescent="0.25">
      <c r="A99" s="94"/>
      <c r="M99" s="364" t="s">
        <v>262</v>
      </c>
      <c r="N99" s="453"/>
      <c r="O99" s="103">
        <f>$AK$64</f>
        <v>300</v>
      </c>
      <c r="P99" s="103">
        <f>$AK$65</f>
        <v>100</v>
      </c>
      <c r="Q99" s="103">
        <f>$AK$66</f>
        <v>130</v>
      </c>
      <c r="R99" s="53"/>
      <c r="AB99" s="610"/>
      <c r="AC99" s="615"/>
      <c r="AD99" s="615"/>
      <c r="AE99" s="615"/>
      <c r="AF99" s="615"/>
      <c r="AG99" s="615"/>
      <c r="AH99" s="614">
        <v>4</v>
      </c>
      <c r="AI99" s="627" t="s">
        <v>293</v>
      </c>
      <c r="AJ99" s="627" t="str">
        <f t="shared" si="5"/>
        <v>4 - Cama de frango corte</v>
      </c>
      <c r="AK99" s="614">
        <v>1</v>
      </c>
      <c r="AL99" s="615"/>
      <c r="AM99" s="613"/>
    </row>
    <row r="100" spans="1:76" ht="20.25" customHeight="1" x14ac:dyDescent="0.25">
      <c r="A100" s="25"/>
      <c r="M100" s="364" t="s">
        <v>270</v>
      </c>
      <c r="N100" s="453"/>
      <c r="O100" s="63">
        <f>AD230</f>
        <v>0</v>
      </c>
      <c r="P100" s="63">
        <f>AE230</f>
        <v>0</v>
      </c>
      <c r="Q100" s="63">
        <f>AF230</f>
        <v>0</v>
      </c>
      <c r="R100" s="53"/>
      <c r="AB100" s="610"/>
      <c r="AC100" s="615"/>
      <c r="AD100" s="615"/>
      <c r="AE100" s="615"/>
      <c r="AF100" s="615"/>
      <c r="AG100" s="615"/>
      <c r="AH100" s="614">
        <v>0</v>
      </c>
      <c r="AI100" s="627" t="s">
        <v>158</v>
      </c>
      <c r="AJ100" s="627" t="str">
        <f t="shared" si="5"/>
        <v>0 - Esterco de galinha</v>
      </c>
      <c r="AK100" s="614">
        <v>6</v>
      </c>
      <c r="AL100" s="615"/>
      <c r="AM100" s="613"/>
    </row>
    <row r="101" spans="1:76" ht="20.25" customHeight="1" thickBot="1" x14ac:dyDescent="0.3">
      <c r="A101" s="25"/>
      <c r="B101" s="28"/>
      <c r="C101" s="28"/>
      <c r="M101" s="69"/>
      <c r="N101" s="70"/>
      <c r="O101" s="70"/>
      <c r="P101" s="70"/>
      <c r="Q101" s="70"/>
      <c r="R101" s="71"/>
      <c r="AB101" s="610"/>
      <c r="AC101" s="615"/>
      <c r="AD101" s="615"/>
      <c r="AE101" s="615"/>
      <c r="AF101" s="615"/>
      <c r="AG101" s="615"/>
      <c r="AH101" s="614">
        <v>1</v>
      </c>
      <c r="AI101" s="627" t="s">
        <v>158</v>
      </c>
      <c r="AJ101" s="627" t="str">
        <f t="shared" si="5"/>
        <v>1 - Esterco de galinha</v>
      </c>
      <c r="AK101" s="614">
        <v>2</v>
      </c>
      <c r="AL101" s="615"/>
      <c r="AM101" s="613"/>
      <c r="BL101" s="47"/>
      <c r="BM101" s="47"/>
      <c r="BN101" s="47"/>
      <c r="BO101" s="47"/>
      <c r="BP101" s="47"/>
      <c r="BQ101" s="47"/>
      <c r="BR101" s="47"/>
      <c r="BS101" s="47"/>
      <c r="BT101" s="47"/>
      <c r="BU101" s="47"/>
      <c r="BV101" s="47"/>
      <c r="BW101" s="47"/>
      <c r="BX101" s="47"/>
    </row>
    <row r="102" spans="1:76" ht="20.25" customHeight="1" thickBot="1" x14ac:dyDescent="0.3">
      <c r="A102" s="25"/>
      <c r="AB102" s="610"/>
      <c r="AC102" s="615"/>
      <c r="AD102" s="615"/>
      <c r="AE102" s="615"/>
      <c r="AF102" s="615"/>
      <c r="AG102" s="615"/>
      <c r="AH102" s="614">
        <v>2</v>
      </c>
      <c r="AI102" s="627" t="s">
        <v>158</v>
      </c>
      <c r="AJ102" s="627" t="str">
        <f t="shared" si="5"/>
        <v>2 - Esterco de galinha</v>
      </c>
      <c r="AK102" s="614">
        <v>4</v>
      </c>
      <c r="AL102" s="615"/>
      <c r="AM102" s="613"/>
      <c r="BL102" s="47"/>
      <c r="BX102" s="47"/>
    </row>
    <row r="103" spans="1:76" ht="20.25" customHeight="1" x14ac:dyDescent="0.25">
      <c r="M103" s="48"/>
      <c r="N103" s="49"/>
      <c r="O103" s="49"/>
      <c r="P103" s="49"/>
      <c r="Q103" s="49"/>
      <c r="R103" s="50"/>
      <c r="AB103" s="610"/>
      <c r="AC103" s="615"/>
      <c r="AD103" s="615"/>
      <c r="AE103" s="615"/>
      <c r="AF103" s="615"/>
      <c r="AG103" s="615"/>
      <c r="AH103" s="614">
        <v>3</v>
      </c>
      <c r="AI103" s="627" t="s">
        <v>158</v>
      </c>
      <c r="AJ103" s="627" t="str">
        <f t="shared" si="5"/>
        <v>3 - Esterco de galinha</v>
      </c>
      <c r="AK103" s="614">
        <v>6</v>
      </c>
      <c r="AL103" s="615"/>
      <c r="AM103" s="613"/>
      <c r="BL103" s="47"/>
      <c r="BX103" s="47"/>
    </row>
    <row r="104" spans="1:76" ht="20.25" customHeight="1" x14ac:dyDescent="0.25">
      <c r="M104" s="364" t="s">
        <v>265</v>
      </c>
      <c r="N104" s="453"/>
      <c r="O104" s="343" t="s">
        <v>255</v>
      </c>
      <c r="P104" s="343"/>
      <c r="Q104" s="343"/>
      <c r="R104" s="53"/>
      <c r="AB104" s="610"/>
      <c r="AC104" s="615"/>
      <c r="AD104" s="615"/>
      <c r="AE104" s="615"/>
      <c r="AF104" s="615"/>
      <c r="AG104" s="615"/>
      <c r="AH104" s="614">
        <v>4</v>
      </c>
      <c r="AI104" s="627" t="s">
        <v>158</v>
      </c>
      <c r="AJ104" s="627" t="str">
        <f t="shared" si="5"/>
        <v>4 - Esterco de galinha</v>
      </c>
      <c r="AK104" s="614">
        <v>2</v>
      </c>
      <c r="AL104" s="615"/>
      <c r="AM104" s="613"/>
      <c r="BL104" s="47"/>
      <c r="BX104" s="47"/>
    </row>
    <row r="105" spans="1:76" ht="20.25" customHeight="1" thickBot="1" x14ac:dyDescent="0.3">
      <c r="M105" s="364"/>
      <c r="N105" s="453"/>
      <c r="O105" s="448" t="s">
        <v>316</v>
      </c>
      <c r="P105" s="448"/>
      <c r="Q105" s="448"/>
      <c r="R105" s="53"/>
      <c r="AB105" s="610"/>
      <c r="AC105" s="615"/>
      <c r="AD105" s="615"/>
      <c r="AE105" s="615"/>
      <c r="AF105" s="615"/>
      <c r="AG105" s="615"/>
      <c r="AH105" s="614">
        <v>0</v>
      </c>
      <c r="AI105" s="627" t="s">
        <v>292</v>
      </c>
      <c r="AJ105" s="627" t="str">
        <f t="shared" si="5"/>
        <v>0 - Esterco Bovino curtido</v>
      </c>
      <c r="AK105" s="614">
        <v>12</v>
      </c>
      <c r="AL105" s="615"/>
      <c r="AM105" s="613"/>
      <c r="BL105" s="47"/>
      <c r="BX105" s="47"/>
    </row>
    <row r="106" spans="1:76" ht="20.25" customHeight="1" x14ac:dyDescent="0.25">
      <c r="M106" s="364"/>
      <c r="N106" s="453"/>
      <c r="O106" s="448" t="s">
        <v>257</v>
      </c>
      <c r="P106" s="448"/>
      <c r="Q106" s="448"/>
      <c r="R106" s="53"/>
      <c r="T106" s="223"/>
      <c r="U106" s="224"/>
      <c r="V106" s="224"/>
      <c r="W106" s="224"/>
      <c r="X106" s="225"/>
      <c r="AB106" s="610"/>
      <c r="AC106" s="615"/>
      <c r="AD106" s="615"/>
      <c r="AE106" s="615"/>
      <c r="AF106" s="615"/>
      <c r="AG106" s="615"/>
      <c r="AH106" s="614">
        <v>1</v>
      </c>
      <c r="AI106" s="627" t="s">
        <v>292</v>
      </c>
      <c r="AJ106" s="627" t="str">
        <f t="shared" si="5"/>
        <v>1 - Esterco Bovino curtido</v>
      </c>
      <c r="AK106" s="614">
        <v>5</v>
      </c>
      <c r="AL106" s="615"/>
      <c r="AM106" s="613"/>
      <c r="BL106" s="47"/>
      <c r="BX106" s="47"/>
    </row>
    <row r="107" spans="1:76" ht="20.25" customHeight="1" x14ac:dyDescent="0.25">
      <c r="M107" s="364"/>
      <c r="N107" s="453"/>
      <c r="O107" s="448" t="s">
        <v>103</v>
      </c>
      <c r="P107" s="448"/>
      <c r="Q107" s="448"/>
      <c r="R107" s="53"/>
      <c r="T107" s="226"/>
      <c r="U107" s="227"/>
      <c r="V107" s="227"/>
      <c r="W107" s="227"/>
      <c r="X107" s="228"/>
      <c r="AB107" s="610"/>
      <c r="AC107" s="615"/>
      <c r="AD107" s="615"/>
      <c r="AE107" s="615"/>
      <c r="AF107" s="615"/>
      <c r="AG107" s="615"/>
      <c r="AH107" s="614">
        <v>2</v>
      </c>
      <c r="AI107" s="627" t="s">
        <v>292</v>
      </c>
      <c r="AJ107" s="627" t="str">
        <f t="shared" si="5"/>
        <v>2 - Esterco Bovino curtido</v>
      </c>
      <c r="AK107" s="614">
        <v>7</v>
      </c>
      <c r="AL107" s="615"/>
      <c r="AM107" s="613"/>
      <c r="BL107" s="47"/>
      <c r="BX107" s="47"/>
    </row>
    <row r="108" spans="1:76" ht="20.25" customHeight="1" x14ac:dyDescent="0.25">
      <c r="M108" s="364"/>
      <c r="N108" s="453"/>
      <c r="O108" s="448" t="s">
        <v>102</v>
      </c>
      <c r="P108" s="448"/>
      <c r="Q108" s="448"/>
      <c r="R108" s="53"/>
      <c r="T108" s="226"/>
      <c r="U108" s="465" t="s">
        <v>633</v>
      </c>
      <c r="V108" s="465"/>
      <c r="W108" s="465"/>
      <c r="X108" s="228"/>
      <c r="AB108" s="610"/>
      <c r="AC108" s="615"/>
      <c r="AD108" s="615"/>
      <c r="AE108" s="615"/>
      <c r="AF108" s="615"/>
      <c r="AG108" s="615"/>
      <c r="AH108" s="614">
        <v>3</v>
      </c>
      <c r="AI108" s="627" t="s">
        <v>292</v>
      </c>
      <c r="AJ108" s="627" t="str">
        <f t="shared" si="5"/>
        <v>3 - Esterco Bovino curtido</v>
      </c>
      <c r="AK108" s="614">
        <v>12</v>
      </c>
      <c r="AL108" s="615"/>
      <c r="AM108" s="613"/>
      <c r="BL108" s="47"/>
      <c r="BX108" s="47"/>
    </row>
    <row r="109" spans="1:76" ht="20.25" customHeight="1" x14ac:dyDescent="0.25">
      <c r="M109" s="364"/>
      <c r="N109" s="453"/>
      <c r="O109" s="448"/>
      <c r="P109" s="448"/>
      <c r="Q109" s="448"/>
      <c r="R109" s="53"/>
      <c r="T109" s="226"/>
      <c r="U109" s="465"/>
      <c r="V109" s="465"/>
      <c r="W109" s="465"/>
      <c r="X109" s="228"/>
      <c r="AB109" s="610"/>
      <c r="AC109" s="615"/>
      <c r="AD109" s="615"/>
      <c r="AE109" s="615"/>
      <c r="AF109" s="615"/>
      <c r="AG109" s="615"/>
      <c r="AH109" s="614">
        <v>4</v>
      </c>
      <c r="AI109" s="627" t="s">
        <v>292</v>
      </c>
      <c r="AJ109" s="627" t="str">
        <f t="shared" si="5"/>
        <v>4 - Esterco Bovino curtido</v>
      </c>
      <c r="AK109" s="614">
        <v>5</v>
      </c>
      <c r="AL109" s="615"/>
      <c r="AM109" s="613"/>
      <c r="BL109" s="47"/>
      <c r="BX109" s="47"/>
    </row>
    <row r="110" spans="1:76" ht="20.25" customHeight="1" thickBot="1" x14ac:dyDescent="0.3">
      <c r="M110" s="69"/>
      <c r="N110" s="70"/>
      <c r="O110" s="70"/>
      <c r="P110" s="70"/>
      <c r="Q110" s="70"/>
      <c r="R110" s="71"/>
      <c r="T110" s="226"/>
      <c r="U110" s="465"/>
      <c r="V110" s="465"/>
      <c r="W110" s="465"/>
      <c r="X110" s="228"/>
      <c r="AB110" s="610"/>
      <c r="AC110" s="615"/>
      <c r="AD110" s="615"/>
      <c r="AE110" s="615"/>
      <c r="AF110" s="615"/>
      <c r="AG110" s="615"/>
      <c r="AH110" s="614">
        <v>0</v>
      </c>
      <c r="AI110" s="627" t="s">
        <v>285</v>
      </c>
      <c r="AJ110" s="627" t="str">
        <f t="shared" ref="AJ110" si="6">CONCATENATE(AH110," - ",AI110)</f>
        <v>0 - Esterco de equino</v>
      </c>
      <c r="AK110" s="614">
        <v>14</v>
      </c>
      <c r="AL110" s="615"/>
      <c r="AM110" s="613"/>
      <c r="BL110" s="47"/>
      <c r="BX110" s="47"/>
    </row>
    <row r="111" spans="1:76" ht="20.25" customHeight="1" thickBot="1" x14ac:dyDescent="0.3">
      <c r="T111" s="226"/>
      <c r="U111" s="227"/>
      <c r="V111" s="227"/>
      <c r="W111" s="227"/>
      <c r="X111" s="228"/>
      <c r="AB111" s="610"/>
      <c r="AC111" s="615"/>
      <c r="AD111" s="615"/>
      <c r="AE111" s="615"/>
      <c r="AF111" s="615"/>
      <c r="AG111" s="615"/>
      <c r="AH111" s="614">
        <v>1</v>
      </c>
      <c r="AI111" s="627" t="s">
        <v>285</v>
      </c>
      <c r="AJ111" s="627" t="str">
        <f t="shared" si="5"/>
        <v>1 - Esterco de equino</v>
      </c>
      <c r="AK111" s="614">
        <v>10</v>
      </c>
      <c r="AL111" s="615"/>
      <c r="AM111" s="613"/>
      <c r="BL111" s="47"/>
      <c r="BX111" s="47"/>
    </row>
    <row r="112" spans="1:76" ht="20.25" customHeight="1" x14ac:dyDescent="0.25">
      <c r="M112" s="48"/>
      <c r="N112" s="49"/>
      <c r="O112" s="49"/>
      <c r="P112" s="49"/>
      <c r="Q112" s="49"/>
      <c r="R112" s="50"/>
      <c r="T112" s="226"/>
      <c r="U112" s="227"/>
      <c r="V112" s="227"/>
      <c r="W112" s="227"/>
      <c r="X112" s="228"/>
      <c r="Z112" s="11" t="s">
        <v>631</v>
      </c>
      <c r="AB112" s="610"/>
      <c r="AC112" s="615"/>
      <c r="AD112" s="615"/>
      <c r="AE112" s="615"/>
      <c r="AF112" s="615"/>
      <c r="AG112" s="615"/>
      <c r="AH112" s="614">
        <v>2</v>
      </c>
      <c r="AI112" s="627" t="s">
        <v>285</v>
      </c>
      <c r="AJ112" s="627" t="str">
        <f t="shared" si="5"/>
        <v>2 - Esterco de equino</v>
      </c>
      <c r="AK112" s="614">
        <v>4</v>
      </c>
      <c r="AL112" s="615"/>
      <c r="AM112" s="613"/>
      <c r="BL112" s="47"/>
      <c r="BX112" s="47"/>
    </row>
    <row r="113" spans="3:76" ht="20.25" customHeight="1" x14ac:dyDescent="0.25">
      <c r="M113" s="101" t="s">
        <v>269</v>
      </c>
      <c r="N113" s="102" t="s">
        <v>84</v>
      </c>
      <c r="O113" s="102" t="s">
        <v>87</v>
      </c>
      <c r="P113" s="102" t="s">
        <v>85</v>
      </c>
      <c r="Q113" s="102" t="s">
        <v>86</v>
      </c>
      <c r="R113" s="53"/>
      <c r="T113" s="226"/>
      <c r="U113" s="227"/>
      <c r="V113" s="227"/>
      <c r="W113" s="227"/>
      <c r="X113" s="228"/>
      <c r="AB113" s="610"/>
      <c r="AC113" s="615"/>
      <c r="AD113" s="615"/>
      <c r="AE113" s="615"/>
      <c r="AF113" s="615"/>
      <c r="AG113" s="615"/>
      <c r="AH113" s="614">
        <v>3</v>
      </c>
      <c r="AI113" s="627" t="s">
        <v>285</v>
      </c>
      <c r="AJ113" s="627" t="str">
        <f t="shared" si="5"/>
        <v>3 - Esterco de equino</v>
      </c>
      <c r="AK113" s="614">
        <v>14</v>
      </c>
      <c r="AL113" s="615"/>
      <c r="AM113" s="613"/>
      <c r="BL113" s="47"/>
      <c r="BX113" s="47"/>
    </row>
    <row r="114" spans="3:76" ht="20.25" customHeight="1" x14ac:dyDescent="0.25">
      <c r="M114" s="101" t="s">
        <v>262</v>
      </c>
      <c r="N114" s="103">
        <f>AD235</f>
        <v>9.6</v>
      </c>
      <c r="O114" s="103">
        <f>AE235</f>
        <v>0</v>
      </c>
      <c r="P114" s="103">
        <f>AF235</f>
        <v>0</v>
      </c>
      <c r="Q114" s="103">
        <f>AG235</f>
        <v>0</v>
      </c>
      <c r="R114" s="53"/>
      <c r="T114" s="226"/>
      <c r="U114" s="489" t="s">
        <v>308</v>
      </c>
      <c r="V114" s="489"/>
      <c r="W114" s="489"/>
      <c r="X114" s="228"/>
      <c r="AB114" s="610"/>
      <c r="AC114" s="615"/>
      <c r="AD114" s="615"/>
      <c r="AE114" s="615"/>
      <c r="AF114" s="615"/>
      <c r="AG114" s="615"/>
      <c r="AH114" s="614">
        <v>4</v>
      </c>
      <c r="AI114" s="627" t="s">
        <v>285</v>
      </c>
      <c r="AJ114" s="627" t="str">
        <f t="shared" si="5"/>
        <v>4 - Esterco de equino</v>
      </c>
      <c r="AK114" s="614">
        <v>10</v>
      </c>
      <c r="AL114" s="615"/>
      <c r="AM114" s="613"/>
      <c r="BL114" s="47"/>
      <c r="BX114" s="47"/>
    </row>
    <row r="115" spans="3:76" ht="20.25" customHeight="1" x14ac:dyDescent="0.25">
      <c r="M115" s="101" t="s">
        <v>270</v>
      </c>
      <c r="N115" s="63">
        <f>BT143</f>
        <v>0</v>
      </c>
      <c r="O115" s="63">
        <f>BU143</f>
        <v>0</v>
      </c>
      <c r="P115" s="63">
        <f>BV143</f>
        <v>0</v>
      </c>
      <c r="Q115" s="63">
        <f>BW143</f>
        <v>0</v>
      </c>
      <c r="R115" s="53"/>
      <c r="T115" s="226"/>
      <c r="U115" s="483" t="s">
        <v>286</v>
      </c>
      <c r="V115" s="513"/>
      <c r="W115" s="484"/>
      <c r="X115" s="228"/>
      <c r="AB115" s="610"/>
      <c r="AC115" s="615"/>
      <c r="AD115" s="615"/>
      <c r="AE115" s="615"/>
      <c r="AF115" s="615"/>
      <c r="AG115" s="615"/>
      <c r="AH115" s="614">
        <v>0</v>
      </c>
      <c r="AI115" s="627" t="s">
        <v>287</v>
      </c>
      <c r="AJ115" s="627" t="str">
        <f t="shared" ref="AJ115" si="7">CONCATENATE(AH115," - ",AI115)</f>
        <v>0 - Esterco de suínos</v>
      </c>
      <c r="AK115" s="614">
        <v>10</v>
      </c>
      <c r="AL115" s="615"/>
      <c r="AM115" s="613"/>
      <c r="BL115" s="47"/>
      <c r="BX115" s="47"/>
    </row>
    <row r="116" spans="3:76" ht="20.25" customHeight="1" thickBot="1" x14ac:dyDescent="0.3">
      <c r="C116" s="25"/>
      <c r="D116" s="108"/>
      <c r="M116" s="69"/>
      <c r="N116" s="70"/>
      <c r="O116" s="70"/>
      <c r="P116" s="70"/>
      <c r="Q116" s="70"/>
      <c r="R116" s="71"/>
      <c r="T116" s="226"/>
      <c r="U116" s="227"/>
      <c r="V116" s="227"/>
      <c r="W116" s="227"/>
      <c r="X116" s="228"/>
      <c r="AB116" s="610"/>
      <c r="AC116" s="615"/>
      <c r="AD116" s="615"/>
      <c r="AE116" s="615"/>
      <c r="AF116" s="615"/>
      <c r="AG116" s="615"/>
      <c r="AH116" s="614">
        <v>1</v>
      </c>
      <c r="AI116" s="627" t="s">
        <v>287</v>
      </c>
      <c r="AJ116" s="627" t="str">
        <f t="shared" si="5"/>
        <v>1 - Esterco de suínos</v>
      </c>
      <c r="AK116" s="614">
        <v>4</v>
      </c>
      <c r="AL116" s="615"/>
      <c r="AM116" s="613"/>
      <c r="BL116" s="47"/>
      <c r="BX116" s="47"/>
    </row>
    <row r="117" spans="3:76" ht="20.25" customHeight="1" x14ac:dyDescent="0.25">
      <c r="C117" s="25"/>
      <c r="T117" s="226"/>
      <c r="U117" s="227"/>
      <c r="V117" s="227"/>
      <c r="W117" s="227"/>
      <c r="X117" s="228"/>
      <c r="AB117" s="610"/>
      <c r="AC117" s="615"/>
      <c r="AD117" s="615"/>
      <c r="AE117" s="615"/>
      <c r="AF117" s="615"/>
      <c r="AG117" s="615"/>
      <c r="AH117" s="614">
        <v>2</v>
      </c>
      <c r="AI117" s="627" t="s">
        <v>287</v>
      </c>
      <c r="AJ117" s="627" t="str">
        <f t="shared" si="5"/>
        <v>2 - Esterco de suínos</v>
      </c>
      <c r="AK117" s="614">
        <v>6</v>
      </c>
      <c r="AL117" s="615"/>
      <c r="AM117" s="613"/>
      <c r="BL117" s="47"/>
      <c r="BX117" s="47"/>
    </row>
    <row r="118" spans="3:76" ht="20.25" customHeight="1" thickBot="1" x14ac:dyDescent="0.3">
      <c r="C118" s="25"/>
      <c r="T118" s="229"/>
      <c r="U118" s="230"/>
      <c r="V118" s="230"/>
      <c r="W118" s="230"/>
      <c r="X118" s="231"/>
      <c r="AB118" s="610"/>
      <c r="AC118" s="615"/>
      <c r="AD118" s="615"/>
      <c r="AE118" s="615"/>
      <c r="AF118" s="615"/>
      <c r="AG118" s="615"/>
      <c r="AH118" s="614">
        <v>3</v>
      </c>
      <c r="AI118" s="627" t="s">
        <v>287</v>
      </c>
      <c r="AJ118" s="627" t="str">
        <f t="shared" si="5"/>
        <v>3 - Esterco de suínos</v>
      </c>
      <c r="AK118" s="614">
        <v>10</v>
      </c>
      <c r="AL118" s="615"/>
      <c r="AM118" s="613"/>
      <c r="BL118" s="47"/>
      <c r="BX118" s="47"/>
    </row>
    <row r="119" spans="3:76" ht="20.25" customHeight="1" x14ac:dyDescent="0.25">
      <c r="C119" s="25"/>
      <c r="AB119" s="610"/>
      <c r="AC119" s="615"/>
      <c r="AD119" s="615"/>
      <c r="AE119" s="615"/>
      <c r="AF119" s="615"/>
      <c r="AG119" s="615"/>
      <c r="AH119" s="614">
        <v>4</v>
      </c>
      <c r="AI119" s="627" t="s">
        <v>287</v>
      </c>
      <c r="AJ119" s="627" t="str">
        <f t="shared" si="5"/>
        <v>4 - Esterco de suínos</v>
      </c>
      <c r="AK119" s="614">
        <v>4</v>
      </c>
      <c r="AL119" s="615"/>
      <c r="AM119" s="613"/>
      <c r="BL119" s="47"/>
      <c r="BX119" s="47"/>
    </row>
    <row r="120" spans="3:76" ht="20.25" customHeight="1" x14ac:dyDescent="0.25">
      <c r="C120" s="25"/>
      <c r="AB120" s="610"/>
      <c r="AC120" s="615"/>
      <c r="AD120" s="615"/>
      <c r="AE120" s="615"/>
      <c r="AF120" s="615"/>
      <c r="AG120" s="615"/>
      <c r="AH120" s="614">
        <v>0</v>
      </c>
      <c r="AI120" s="627" t="s">
        <v>288</v>
      </c>
      <c r="AJ120" s="627" t="str">
        <f t="shared" si="5"/>
        <v>0 - Esterco de ovinos</v>
      </c>
      <c r="AK120" s="614">
        <v>10</v>
      </c>
      <c r="AL120" s="615"/>
      <c r="AM120" s="613"/>
      <c r="BL120" s="47"/>
      <c r="BX120" s="47"/>
    </row>
    <row r="121" spans="3:76" ht="20.25" customHeight="1" x14ac:dyDescent="0.25">
      <c r="C121" s="25"/>
      <c r="AB121" s="610"/>
      <c r="AC121" s="615"/>
      <c r="AD121" s="615"/>
      <c r="AE121" s="615"/>
      <c r="AF121" s="615"/>
      <c r="AG121" s="615"/>
      <c r="AH121" s="614">
        <v>1</v>
      </c>
      <c r="AI121" s="627" t="s">
        <v>288</v>
      </c>
      <c r="AJ121" s="627" t="str">
        <f t="shared" si="5"/>
        <v>1 - Esterco de ovinos</v>
      </c>
      <c r="AK121" s="614">
        <v>4</v>
      </c>
      <c r="AL121" s="615"/>
      <c r="AM121" s="613"/>
      <c r="BL121" s="47"/>
      <c r="BX121" s="47"/>
    </row>
    <row r="122" spans="3:76" ht="20.25" customHeight="1" x14ac:dyDescent="0.25">
      <c r="C122" s="25"/>
      <c r="D122" s="25"/>
      <c r="AB122" s="610"/>
      <c r="AC122" s="615"/>
      <c r="AD122" s="615"/>
      <c r="AE122" s="615"/>
      <c r="AF122" s="615"/>
      <c r="AG122" s="615"/>
      <c r="AH122" s="614">
        <v>2</v>
      </c>
      <c r="AI122" s="627" t="s">
        <v>288</v>
      </c>
      <c r="AJ122" s="627" t="str">
        <f t="shared" si="5"/>
        <v>2 - Esterco de ovinos</v>
      </c>
      <c r="AK122" s="614">
        <v>6</v>
      </c>
      <c r="AL122" s="615"/>
      <c r="AM122" s="613"/>
      <c r="BL122" s="47"/>
      <c r="BX122" s="47"/>
    </row>
    <row r="123" spans="3:76" ht="20.25" customHeight="1" x14ac:dyDescent="0.25">
      <c r="C123" s="25"/>
      <c r="D123" s="25"/>
      <c r="AB123" s="610"/>
      <c r="AC123" s="615"/>
      <c r="AD123" s="615"/>
      <c r="AE123" s="615"/>
      <c r="AF123" s="615"/>
      <c r="AG123" s="615"/>
      <c r="AH123" s="614">
        <v>3</v>
      </c>
      <c r="AI123" s="627" t="s">
        <v>288</v>
      </c>
      <c r="AJ123" s="627" t="str">
        <f t="shared" si="5"/>
        <v>3 - Esterco de ovinos</v>
      </c>
      <c r="AK123" s="614">
        <v>10</v>
      </c>
      <c r="AL123" s="615"/>
      <c r="AM123" s="613"/>
      <c r="BL123" s="47"/>
      <c r="BX123" s="47"/>
    </row>
    <row r="124" spans="3:76" ht="20.25" customHeight="1" x14ac:dyDescent="0.25">
      <c r="C124" s="25"/>
      <c r="D124" s="25"/>
      <c r="AB124" s="610"/>
      <c r="AC124" s="615"/>
      <c r="AD124" s="615"/>
      <c r="AE124" s="615"/>
      <c r="AF124" s="615"/>
      <c r="AG124" s="615"/>
      <c r="AH124" s="614">
        <v>4</v>
      </c>
      <c r="AI124" s="627" t="s">
        <v>288</v>
      </c>
      <c r="AJ124" s="627" t="str">
        <f t="shared" si="5"/>
        <v>4 - Esterco de ovinos</v>
      </c>
      <c r="AK124" s="614">
        <v>4</v>
      </c>
      <c r="AL124" s="615"/>
      <c r="AM124" s="613"/>
      <c r="BL124" s="47"/>
      <c r="BX124" s="47"/>
    </row>
    <row r="125" spans="3:76" ht="20.25" customHeight="1" x14ac:dyDescent="0.25">
      <c r="AB125" s="610"/>
      <c r="AC125" s="615"/>
      <c r="AD125" s="615"/>
      <c r="AE125" s="615"/>
      <c r="AF125" s="615"/>
      <c r="AG125" s="615"/>
      <c r="AH125" s="614">
        <v>0</v>
      </c>
      <c r="AI125" s="627" t="s">
        <v>289</v>
      </c>
      <c r="AJ125" s="627" t="str">
        <f t="shared" si="5"/>
        <v>0 - Lodo de esgosto</v>
      </c>
      <c r="AK125" s="614">
        <v>15</v>
      </c>
      <c r="AL125" s="615"/>
      <c r="AM125" s="613"/>
      <c r="BL125" s="47"/>
      <c r="BX125" s="47"/>
    </row>
    <row r="126" spans="3:76" ht="20.25" customHeight="1" x14ac:dyDescent="0.25">
      <c r="AB126" s="610"/>
      <c r="AC126" s="615"/>
      <c r="AD126" s="615"/>
      <c r="AE126" s="615"/>
      <c r="AF126" s="615"/>
      <c r="AG126" s="615"/>
      <c r="AH126" s="614">
        <v>1</v>
      </c>
      <c r="AI126" s="627" t="s">
        <v>289</v>
      </c>
      <c r="AJ126" s="627" t="str">
        <f t="shared" si="5"/>
        <v>1 - Lodo de esgosto</v>
      </c>
      <c r="AK126" s="614">
        <v>10</v>
      </c>
      <c r="AL126" s="615"/>
      <c r="AM126" s="613"/>
      <c r="BL126" s="47"/>
      <c r="BX126" s="47"/>
    </row>
    <row r="127" spans="3:76" ht="20.25" customHeight="1" x14ac:dyDescent="0.25">
      <c r="AB127" s="610"/>
      <c r="AC127" s="615"/>
      <c r="AD127" s="615"/>
      <c r="AE127" s="615"/>
      <c r="AF127" s="615"/>
      <c r="AG127" s="615"/>
      <c r="AH127" s="614">
        <v>2</v>
      </c>
      <c r="AI127" s="627" t="s">
        <v>289</v>
      </c>
      <c r="AJ127" s="627" t="str">
        <f t="shared" si="5"/>
        <v>2 - Lodo de esgosto</v>
      </c>
      <c r="AK127" s="614">
        <v>5</v>
      </c>
      <c r="AL127" s="615"/>
      <c r="AM127" s="613"/>
      <c r="BL127" s="47"/>
      <c r="BX127" s="47"/>
    </row>
    <row r="128" spans="3:76" ht="20.25" customHeight="1" x14ac:dyDescent="0.25">
      <c r="AB128" s="610"/>
      <c r="AC128" s="615"/>
      <c r="AD128" s="615"/>
      <c r="AE128" s="615"/>
      <c r="AF128" s="615"/>
      <c r="AG128" s="615"/>
      <c r="AH128" s="614">
        <v>3</v>
      </c>
      <c r="AI128" s="627" t="s">
        <v>289</v>
      </c>
      <c r="AJ128" s="627" t="str">
        <f t="shared" si="5"/>
        <v>3 - Lodo de esgosto</v>
      </c>
      <c r="AK128" s="614">
        <v>15</v>
      </c>
      <c r="AL128" s="615"/>
      <c r="AM128" s="613"/>
      <c r="BL128" s="47"/>
      <c r="BX128" s="47"/>
    </row>
    <row r="129" spans="27:76" ht="20.25" customHeight="1" x14ac:dyDescent="0.25">
      <c r="AB129" s="610"/>
      <c r="AC129" s="615"/>
      <c r="AD129" s="615"/>
      <c r="AE129" s="615"/>
      <c r="AF129" s="615"/>
      <c r="AG129" s="615"/>
      <c r="AH129" s="614">
        <v>4</v>
      </c>
      <c r="AI129" s="627" t="s">
        <v>289</v>
      </c>
      <c r="AJ129" s="627" t="str">
        <f t="shared" si="5"/>
        <v>4 - Lodo de esgosto</v>
      </c>
      <c r="AK129" s="614">
        <v>10</v>
      </c>
      <c r="AL129" s="615"/>
      <c r="AM129" s="613"/>
      <c r="BL129" s="47"/>
      <c r="BX129" s="47"/>
    </row>
    <row r="130" spans="27:76" ht="20.25" customHeight="1" x14ac:dyDescent="0.25">
      <c r="AB130" s="610"/>
      <c r="AC130" s="615"/>
      <c r="AD130" s="615"/>
      <c r="AE130" s="615"/>
      <c r="AF130" s="615"/>
      <c r="AG130" s="615"/>
      <c r="AH130" s="614">
        <v>0</v>
      </c>
      <c r="AI130" s="627" t="s">
        <v>290</v>
      </c>
      <c r="AJ130" s="627" t="str">
        <f t="shared" si="5"/>
        <v>0 - Compostos orgânicos</v>
      </c>
      <c r="AK130" s="614">
        <v>6</v>
      </c>
      <c r="AL130" s="615"/>
      <c r="AM130" s="613"/>
      <c r="BL130" s="47"/>
      <c r="BX130" s="47"/>
    </row>
    <row r="131" spans="27:76" ht="20.25" customHeight="1" x14ac:dyDescent="0.25">
      <c r="AB131" s="610"/>
      <c r="AC131" s="615"/>
      <c r="AD131" s="615"/>
      <c r="AE131" s="615"/>
      <c r="AF131" s="615"/>
      <c r="AG131" s="615"/>
      <c r="AH131" s="614">
        <v>1</v>
      </c>
      <c r="AI131" s="627" t="s">
        <v>290</v>
      </c>
      <c r="AJ131" s="627" t="str">
        <f t="shared" si="5"/>
        <v>1 - Compostos orgânicos</v>
      </c>
      <c r="AK131" s="614">
        <v>2</v>
      </c>
      <c r="AL131" s="615"/>
      <c r="AM131" s="613"/>
      <c r="BL131" s="47"/>
      <c r="BX131" s="47"/>
    </row>
    <row r="132" spans="27:76" ht="20.25" customHeight="1" x14ac:dyDescent="0.25">
      <c r="AB132" s="610"/>
      <c r="AC132" s="615"/>
      <c r="AD132" s="615"/>
      <c r="AE132" s="615"/>
      <c r="AF132" s="615"/>
      <c r="AG132" s="615"/>
      <c r="AH132" s="614">
        <v>2</v>
      </c>
      <c r="AI132" s="627" t="s">
        <v>290</v>
      </c>
      <c r="AJ132" s="627" t="str">
        <f t="shared" si="5"/>
        <v>2 - Compostos orgânicos</v>
      </c>
      <c r="AK132" s="614">
        <v>4</v>
      </c>
      <c r="AL132" s="615"/>
      <c r="AM132" s="613"/>
      <c r="BL132" s="47"/>
      <c r="BX132" s="47"/>
    </row>
    <row r="133" spans="27:76" ht="20.25" customHeight="1" x14ac:dyDescent="0.25">
      <c r="AB133" s="610"/>
      <c r="AC133" s="615"/>
      <c r="AD133" s="615"/>
      <c r="AE133" s="615"/>
      <c r="AF133" s="615"/>
      <c r="AG133" s="615"/>
      <c r="AH133" s="614">
        <v>3</v>
      </c>
      <c r="AI133" s="627" t="s">
        <v>290</v>
      </c>
      <c r="AJ133" s="627" t="str">
        <f t="shared" si="5"/>
        <v>3 - Compostos orgânicos</v>
      </c>
      <c r="AK133" s="614">
        <v>6</v>
      </c>
      <c r="AL133" s="615"/>
      <c r="AM133" s="613"/>
      <c r="BL133" s="47"/>
      <c r="BX133" s="47"/>
    </row>
    <row r="134" spans="27:76" ht="20.25" customHeight="1" x14ac:dyDescent="0.25">
      <c r="AB134" s="610"/>
      <c r="AC134" s="615"/>
      <c r="AD134" s="615"/>
      <c r="AE134" s="615"/>
      <c r="AF134" s="615"/>
      <c r="AG134" s="615"/>
      <c r="AH134" s="614">
        <v>4</v>
      </c>
      <c r="AI134" s="627" t="s">
        <v>290</v>
      </c>
      <c r="AJ134" s="627" t="str">
        <f t="shared" si="5"/>
        <v>4 - Compostos orgânicos</v>
      </c>
      <c r="AK134" s="614">
        <v>2</v>
      </c>
      <c r="AL134" s="615"/>
      <c r="AM134" s="613"/>
      <c r="BL134" s="47"/>
      <c r="BX134" s="47"/>
    </row>
    <row r="135" spans="27:76" ht="20.25" customHeight="1" x14ac:dyDescent="0.25">
      <c r="AB135" s="610"/>
      <c r="AC135" s="615"/>
      <c r="AD135" s="615"/>
      <c r="AE135" s="615"/>
      <c r="AF135" s="615"/>
      <c r="AG135" s="615"/>
      <c r="AH135" s="615"/>
      <c r="AI135" s="615"/>
      <c r="AJ135" s="615"/>
      <c r="AK135" s="615"/>
      <c r="AL135" s="615"/>
      <c r="AM135" s="613"/>
      <c r="BL135" s="85"/>
      <c r="BX135" s="47"/>
    </row>
    <row r="136" spans="27:76" ht="20.25" customHeight="1" thickBot="1" x14ac:dyDescent="0.3">
      <c r="AB136" s="618"/>
      <c r="AC136" s="619"/>
      <c r="AD136" s="619"/>
      <c r="AE136" s="619"/>
      <c r="AF136" s="619"/>
      <c r="AG136" s="619"/>
      <c r="AH136" s="619"/>
      <c r="AI136" s="619"/>
      <c r="AJ136" s="619"/>
      <c r="AK136" s="619"/>
      <c r="AL136" s="619"/>
      <c r="AM136" s="620"/>
      <c r="BL136" s="47"/>
      <c r="BX136" s="47"/>
    </row>
    <row r="137" spans="27:76" ht="20.25" customHeight="1" x14ac:dyDescent="0.25">
      <c r="BL137" s="47"/>
      <c r="BX137" s="47"/>
    </row>
    <row r="138" spans="27:76" ht="20.25" customHeight="1" x14ac:dyDescent="0.25">
      <c r="BL138" s="47"/>
      <c r="BX138" s="47"/>
    </row>
    <row r="139" spans="27:76" ht="20.25" customHeight="1" x14ac:dyDescent="0.25">
      <c r="BL139" s="47"/>
      <c r="BX139" s="47"/>
    </row>
    <row r="140" spans="27:76" ht="20.25" customHeight="1" x14ac:dyDescent="0.25">
      <c r="BL140" s="47"/>
      <c r="BX140" s="47"/>
    </row>
    <row r="141" spans="27:76" ht="20.25" customHeight="1" x14ac:dyDescent="0.25">
      <c r="BL141" s="47"/>
      <c r="BX141" s="47"/>
    </row>
    <row r="142" spans="27:76" ht="20.25" customHeight="1" x14ac:dyDescent="0.25">
      <c r="BL142" s="47"/>
      <c r="BX142" s="47"/>
    </row>
    <row r="143" spans="27:76" ht="20.25" customHeight="1" thickBot="1" x14ac:dyDescent="0.3">
      <c r="BL143" s="47"/>
      <c r="BM143" s="47"/>
      <c r="BN143" s="47"/>
      <c r="BO143" s="47"/>
      <c r="BP143" s="47"/>
      <c r="BQ143" s="47"/>
      <c r="BR143" s="47"/>
      <c r="BS143" s="47"/>
      <c r="BT143" s="59">
        <f>AD246-(SUM(AH249:AH253))</f>
        <v>0</v>
      </c>
      <c r="BU143" s="59">
        <f>AE246-(SUM(AI249:AI253))</f>
        <v>0</v>
      </c>
      <c r="BV143" s="59">
        <f>AF246-(SUM(AJ249:AJ253))</f>
        <v>0</v>
      </c>
      <c r="BW143" s="59">
        <f>AG246-(SUM(AK249:AK253))</f>
        <v>0</v>
      </c>
      <c r="BX143" s="47"/>
    </row>
    <row r="144" spans="27:76" ht="20.25" customHeight="1" x14ac:dyDescent="0.25">
      <c r="AA144" s="607"/>
      <c r="AB144" s="608"/>
      <c r="AC144" s="608"/>
      <c r="AD144" s="608"/>
      <c r="AE144" s="608"/>
      <c r="AF144" s="608"/>
      <c r="AG144" s="608"/>
      <c r="AH144" s="608"/>
      <c r="AI144" s="608"/>
      <c r="AJ144" s="608"/>
      <c r="AK144" s="608"/>
      <c r="AL144" s="608"/>
      <c r="AM144" s="609"/>
      <c r="BL144" s="47"/>
      <c r="BM144" s="47"/>
      <c r="BN144" s="47"/>
      <c r="BO144" s="47"/>
      <c r="BP144" s="47"/>
      <c r="BQ144" s="47"/>
      <c r="BR144" s="47"/>
      <c r="BS144" s="47"/>
      <c r="BT144" s="47"/>
      <c r="BU144" s="47"/>
      <c r="BV144" s="47"/>
      <c r="BW144" s="47"/>
      <c r="BX144" s="47"/>
    </row>
    <row r="145" spans="11:76" ht="20.25" customHeight="1" x14ac:dyDescent="0.25">
      <c r="AA145" s="610"/>
      <c r="AB145" s="615"/>
      <c r="AC145" s="615"/>
      <c r="AD145" s="615"/>
      <c r="AE145" s="615"/>
      <c r="AF145" s="615"/>
      <c r="AG145" s="615"/>
      <c r="AH145" s="615"/>
      <c r="AI145" s="615"/>
      <c r="AJ145" s="615"/>
      <c r="AK145" s="615"/>
      <c r="AL145" s="615"/>
      <c r="AM145" s="613"/>
      <c r="BL145" s="47"/>
      <c r="BX145" s="47"/>
    </row>
    <row r="146" spans="11:76" ht="20.25" customHeight="1" x14ac:dyDescent="0.25">
      <c r="AA146" s="610"/>
      <c r="AB146" s="622" t="s">
        <v>108</v>
      </c>
      <c r="AC146" s="624"/>
      <c r="AD146" s="615"/>
      <c r="AE146" s="612" t="s">
        <v>202</v>
      </c>
      <c r="AF146" s="612"/>
      <c r="AG146" s="612"/>
      <c r="AH146" s="615"/>
      <c r="AI146" s="615"/>
      <c r="AJ146" s="615"/>
      <c r="AK146" s="615"/>
      <c r="AL146" s="615"/>
      <c r="AM146" s="613"/>
    </row>
    <row r="147" spans="11:76" ht="20.25" customHeight="1" x14ac:dyDescent="0.25">
      <c r="AA147" s="610"/>
      <c r="AB147" s="614" t="s">
        <v>109</v>
      </c>
      <c r="AC147" s="630">
        <v>60</v>
      </c>
      <c r="AD147" s="615"/>
      <c r="AE147" s="631" t="s">
        <v>268</v>
      </c>
      <c r="AF147" s="631"/>
      <c r="AG147" s="630">
        <f>IFERROR(VLOOKUP(O50,$AC$188:$AL$196,10,0),0)</f>
        <v>6.7891575865994476</v>
      </c>
      <c r="AH147" s="615"/>
      <c r="AI147" s="615"/>
      <c r="AJ147" s="615"/>
      <c r="AK147" s="615"/>
      <c r="AL147" s="615"/>
      <c r="AM147" s="613"/>
    </row>
    <row r="148" spans="11:76" ht="20.25" customHeight="1" x14ac:dyDescent="0.25">
      <c r="AA148" s="610"/>
      <c r="AB148" s="614" t="s">
        <v>111</v>
      </c>
      <c r="AC148" s="630">
        <f>IFERROR((((AC147-P24)*P25)/AC150),0)</f>
        <v>0.18189884649511989</v>
      </c>
      <c r="AD148" s="615"/>
      <c r="AE148" s="631" t="s">
        <v>203</v>
      </c>
      <c r="AF148" s="631"/>
      <c r="AG148" s="630">
        <f>IFERROR((($AC$151/$AG$147)*$AC$148),0)</f>
        <v>1.4146466586516384</v>
      </c>
      <c r="AH148" s="615"/>
      <c r="AI148" s="615"/>
      <c r="AJ148" s="615"/>
      <c r="AK148" s="615"/>
      <c r="AL148" s="615"/>
      <c r="AM148" s="613"/>
    </row>
    <row r="149" spans="11:76" ht="20.25" customHeight="1" x14ac:dyDescent="0.25">
      <c r="AA149" s="610"/>
      <c r="AB149" s="614" t="s">
        <v>201</v>
      </c>
      <c r="AC149" s="630">
        <f>IF(AC148&lt;0,(0),IF(AC148&gt;=0,(AC148)))</f>
        <v>0.18189884649511989</v>
      </c>
      <c r="AD149" s="615"/>
      <c r="AE149" s="631" t="s">
        <v>201</v>
      </c>
      <c r="AF149" s="631"/>
      <c r="AG149" s="630">
        <f>IFERROR(IF(AG148&lt;0,(0),IF(AG148&gt;=0,(AG148))),0)</f>
        <v>1.4146466586516384</v>
      </c>
      <c r="AH149" s="615"/>
      <c r="AI149" s="615"/>
      <c r="AJ149" s="615"/>
      <c r="AK149" s="615"/>
      <c r="AL149" s="615"/>
      <c r="AM149" s="613"/>
    </row>
    <row r="150" spans="11:76" ht="20.25" customHeight="1" x14ac:dyDescent="0.25">
      <c r="AA150" s="610"/>
      <c r="AB150" s="614" t="s">
        <v>110</v>
      </c>
      <c r="AC150" s="630">
        <f>IFERROR(VLOOKUP($O$47,$AC$157:$AH$169,5,0),0)</f>
        <v>90.16</v>
      </c>
      <c r="AD150" s="615"/>
      <c r="AE150" s="631" t="s">
        <v>273</v>
      </c>
      <c r="AF150" s="631"/>
      <c r="AG150" s="630">
        <f>AG149*$Q$50</f>
        <v>0.28292933173032769</v>
      </c>
      <c r="AH150" s="615"/>
      <c r="AI150" s="615"/>
      <c r="AJ150" s="615"/>
      <c r="AK150" s="615"/>
      <c r="AL150" s="615"/>
      <c r="AM150" s="613"/>
    </row>
    <row r="151" spans="11:76" ht="20.25" customHeight="1" x14ac:dyDescent="0.25">
      <c r="AA151" s="610"/>
      <c r="AB151" s="614" t="s">
        <v>193</v>
      </c>
      <c r="AC151" s="630">
        <f>IFERROR(VLOOKUP($O$47,$AC$157:$AH$169,6,0),0)</f>
        <v>52.8</v>
      </c>
      <c r="AD151" s="615"/>
      <c r="AE151" s="615"/>
      <c r="AF151" s="615"/>
      <c r="AG151" s="615"/>
      <c r="AH151" s="615"/>
      <c r="AI151" s="615"/>
      <c r="AJ151" s="615"/>
      <c r="AK151" s="615"/>
      <c r="AL151" s="615"/>
      <c r="AM151" s="613"/>
      <c r="BM151" s="108"/>
    </row>
    <row r="152" spans="11:76" ht="20.25" customHeight="1" x14ac:dyDescent="0.25">
      <c r="AA152" s="610"/>
      <c r="AB152" s="614" t="s">
        <v>273</v>
      </c>
      <c r="AC152" s="630">
        <f>AC149*$Q$47</f>
        <v>0.14551907719609591</v>
      </c>
      <c r="AD152" s="615"/>
      <c r="AE152" s="615"/>
      <c r="AF152" s="615"/>
      <c r="AG152" s="615"/>
      <c r="AH152" s="615"/>
      <c r="AI152" s="615"/>
      <c r="AJ152" s="615"/>
      <c r="AK152" s="615"/>
      <c r="AL152" s="615"/>
      <c r="AM152" s="613"/>
      <c r="BM152" s="465"/>
    </row>
    <row r="153" spans="11:76" ht="20.25" customHeight="1" x14ac:dyDescent="0.25">
      <c r="AA153" s="610"/>
      <c r="AB153" s="615"/>
      <c r="AC153" s="615"/>
      <c r="AD153" s="615"/>
      <c r="AE153" s="615"/>
      <c r="AF153" s="615"/>
      <c r="AG153" s="615"/>
      <c r="AH153" s="615"/>
      <c r="AI153" s="615"/>
      <c r="AJ153" s="615"/>
      <c r="AK153" s="615"/>
      <c r="AL153" s="615"/>
      <c r="AM153" s="613"/>
      <c r="BM153" s="465"/>
    </row>
    <row r="154" spans="11:76" ht="20.25" customHeight="1" x14ac:dyDescent="0.25">
      <c r="K154" s="25"/>
      <c r="L154" s="25"/>
      <c r="P154" s="227"/>
      <c r="Q154" s="227"/>
      <c r="R154" s="25"/>
      <c r="S154" s="25"/>
      <c r="AA154" s="610"/>
      <c r="AB154" s="615"/>
      <c r="AC154" s="615"/>
      <c r="AD154" s="615"/>
      <c r="AE154" s="615"/>
      <c r="AF154" s="615"/>
      <c r="AG154" s="615"/>
      <c r="AH154" s="615"/>
      <c r="AI154" s="615"/>
      <c r="AJ154" s="615"/>
      <c r="AK154" s="615"/>
      <c r="AL154" s="615"/>
      <c r="AM154" s="613"/>
      <c r="BM154" s="25"/>
      <c r="BU154" s="25"/>
    </row>
    <row r="155" spans="11:76" ht="20.25" customHeight="1" x14ac:dyDescent="0.25">
      <c r="K155" s="25"/>
      <c r="L155" s="25"/>
      <c r="P155" s="227"/>
      <c r="Q155" s="227"/>
      <c r="R155" s="25"/>
      <c r="S155" s="25"/>
      <c r="AA155" s="610"/>
      <c r="AB155" s="632" t="s">
        <v>136</v>
      </c>
      <c r="AC155" s="632" t="s">
        <v>76</v>
      </c>
      <c r="AD155" s="632" t="s">
        <v>77</v>
      </c>
      <c r="AE155" s="632" t="s">
        <v>78</v>
      </c>
      <c r="AF155" s="632"/>
      <c r="AG155" s="632"/>
      <c r="AH155" s="632"/>
      <c r="AI155" s="615"/>
      <c r="AJ155" s="615"/>
      <c r="AK155" s="615"/>
      <c r="AL155" s="615"/>
      <c r="AM155" s="613"/>
      <c r="BM155" s="25"/>
    </row>
    <row r="156" spans="11:76" ht="20.25" customHeight="1" x14ac:dyDescent="0.25">
      <c r="K156" s="25"/>
      <c r="L156" s="25"/>
      <c r="P156" s="227"/>
      <c r="Q156" s="227"/>
      <c r="R156" s="25"/>
      <c r="S156" s="25"/>
      <c r="AA156" s="610"/>
      <c r="AB156" s="632"/>
      <c r="AC156" s="632"/>
      <c r="AD156" s="632"/>
      <c r="AE156" s="633" t="s">
        <v>105</v>
      </c>
      <c r="AF156" s="633" t="s">
        <v>106</v>
      </c>
      <c r="AG156" s="633" t="s">
        <v>107</v>
      </c>
      <c r="AH156" s="633" t="s">
        <v>195</v>
      </c>
      <c r="AI156" s="615"/>
      <c r="AJ156" s="615"/>
      <c r="AK156" s="615"/>
      <c r="AL156" s="615"/>
      <c r="AM156" s="613"/>
      <c r="BM156" s="25"/>
    </row>
    <row r="157" spans="11:76" ht="20.25" customHeight="1" x14ac:dyDescent="0.25">
      <c r="K157" s="25"/>
      <c r="L157" s="25"/>
      <c r="P157" s="227"/>
      <c r="Q157" s="227"/>
      <c r="R157" s="25"/>
      <c r="S157" s="25"/>
      <c r="AA157" s="610"/>
      <c r="AB157" s="634" t="s">
        <v>185</v>
      </c>
      <c r="AC157" s="635" t="str">
        <f>'Adubos e corretivos'!C87</f>
        <v>ARAGUAIA Calcítico</v>
      </c>
      <c r="AD157" s="635">
        <f>'Adubos e corretivos'!D87</f>
        <v>0</v>
      </c>
      <c r="AE157" s="635">
        <f>'Adubos e corretivos'!E87</f>
        <v>51.8</v>
      </c>
      <c r="AF157" s="635">
        <f>'Adubos e corretivos'!F87</f>
        <v>1</v>
      </c>
      <c r="AG157" s="635">
        <f>'Adubos e corretivos'!G87</f>
        <v>90.16</v>
      </c>
      <c r="AH157" s="635">
        <f>'Adubos e corretivos'!H87</f>
        <v>52.8</v>
      </c>
      <c r="AI157" s="615"/>
      <c r="AJ157" s="615"/>
      <c r="AK157" s="615"/>
      <c r="AL157" s="615"/>
      <c r="AM157" s="613"/>
      <c r="BC157" s="51" t="s">
        <v>63</v>
      </c>
      <c r="BE157" s="51" t="s">
        <v>63</v>
      </c>
      <c r="BG157" s="76" t="s">
        <v>63</v>
      </c>
      <c r="BI157" s="76" t="s">
        <v>63</v>
      </c>
      <c r="BM157" s="25"/>
    </row>
    <row r="158" spans="11:76" ht="20.25" customHeight="1" thickBot="1" x14ac:dyDescent="0.3">
      <c r="K158" s="25"/>
      <c r="L158" s="25"/>
      <c r="P158" s="638"/>
      <c r="Q158" s="227"/>
      <c r="R158" s="25"/>
      <c r="S158" s="25"/>
      <c r="AA158" s="610"/>
      <c r="AB158" s="634"/>
      <c r="AC158" s="635" t="str">
        <f>'Adubos e corretivos'!C88</f>
        <v>ARAGUAIA Dolomítico</v>
      </c>
      <c r="AD158" s="635">
        <f>'Adubos e corretivos'!D88</f>
        <v>0</v>
      </c>
      <c r="AE158" s="635">
        <f>'Adubos e corretivos'!E88</f>
        <v>28.8</v>
      </c>
      <c r="AF158" s="635">
        <f>'Adubos e corretivos'!F88</f>
        <v>17.399999999999999</v>
      </c>
      <c r="AG158" s="635">
        <f>'Adubos e corretivos'!G88</f>
        <v>89.01</v>
      </c>
      <c r="AH158" s="635">
        <f>'Adubos e corretivos'!H88</f>
        <v>46.2</v>
      </c>
      <c r="AI158" s="615"/>
      <c r="AJ158" s="615"/>
      <c r="AK158" s="615"/>
      <c r="AL158" s="615"/>
      <c r="AM158" s="613"/>
      <c r="BC158" s="51" t="s">
        <v>32</v>
      </c>
      <c r="BE158" s="51" t="s">
        <v>189</v>
      </c>
      <c r="BG158" s="76"/>
      <c r="BI158" s="51" t="s">
        <v>286</v>
      </c>
      <c r="BM158" s="25"/>
    </row>
    <row r="159" spans="11:76" ht="20.25" customHeight="1" x14ac:dyDescent="0.25">
      <c r="K159" s="25"/>
      <c r="L159" s="25"/>
      <c r="M159" s="227"/>
      <c r="N159" s="233"/>
      <c r="O159" s="233"/>
      <c r="P159" s="233"/>
      <c r="Q159" s="227"/>
      <c r="R159" s="25"/>
      <c r="T159" s="223"/>
      <c r="U159" s="621" t="s">
        <v>633</v>
      </c>
      <c r="V159" s="621"/>
      <c r="W159" s="621"/>
      <c r="X159" s="225"/>
      <c r="AA159" s="610"/>
      <c r="AB159" s="634"/>
      <c r="AC159" s="635" t="str">
        <f>'Adubos e corretivos'!C89</f>
        <v>BRICCAL Calcítico</v>
      </c>
      <c r="AD159" s="635">
        <f>'Adubos e corretivos'!D89</f>
        <v>0</v>
      </c>
      <c r="AE159" s="635">
        <f>'Adubos e corretivos'!E89</f>
        <v>41.78</v>
      </c>
      <c r="AF159" s="635">
        <f>'Adubos e corretivos'!F89</f>
        <v>2.2200000000000002</v>
      </c>
      <c r="AG159" s="635">
        <f>'Adubos e corretivos'!G89</f>
        <v>80.239999999999995</v>
      </c>
      <c r="AH159" s="635">
        <f>'Adubos e corretivos'!H89</f>
        <v>44</v>
      </c>
      <c r="AI159" s="615"/>
      <c r="AJ159" s="615"/>
      <c r="AK159" s="615"/>
      <c r="AL159" s="615"/>
      <c r="AM159" s="613"/>
      <c r="BC159" s="51" t="s">
        <v>34</v>
      </c>
      <c r="BE159" s="51" t="s">
        <v>190</v>
      </c>
      <c r="BG159" s="76">
        <v>0</v>
      </c>
      <c r="BI159" s="51" t="s">
        <v>293</v>
      </c>
      <c r="BM159" s="25"/>
    </row>
    <row r="160" spans="11:76" ht="20.25" customHeight="1" x14ac:dyDescent="0.25">
      <c r="K160" s="25"/>
      <c r="L160" s="25"/>
      <c r="M160" s="227"/>
      <c r="N160" s="227"/>
      <c r="O160" s="227"/>
      <c r="P160" s="227"/>
      <c r="Q160" s="227"/>
      <c r="R160" s="25"/>
      <c r="T160" s="226"/>
      <c r="U160" s="465"/>
      <c r="V160" s="465"/>
      <c r="W160" s="465"/>
      <c r="X160" s="228"/>
      <c r="AA160" s="610"/>
      <c r="AB160" s="634"/>
      <c r="AC160" s="635" t="str">
        <f>'Adubos e corretivos'!C90</f>
        <v>BRITACAL Dolomítico</v>
      </c>
      <c r="AD160" s="635">
        <f>'Adubos e corretivos'!D90</f>
        <v>0</v>
      </c>
      <c r="AE160" s="635">
        <f>'Adubos e corretivos'!E90</f>
        <v>28</v>
      </c>
      <c r="AF160" s="635">
        <f>'Adubos e corretivos'!F90</f>
        <v>15</v>
      </c>
      <c r="AG160" s="635">
        <f>'Adubos e corretivos'!G90</f>
        <v>80</v>
      </c>
      <c r="AH160" s="635">
        <f>'Adubos e corretivos'!H90</f>
        <v>43</v>
      </c>
      <c r="AI160" s="615"/>
      <c r="AJ160" s="615"/>
      <c r="AK160" s="615"/>
      <c r="AL160" s="615"/>
      <c r="AM160" s="613"/>
      <c r="BC160" s="51">
        <v>0</v>
      </c>
      <c r="BE160" s="79" t="e">
        <f>10000/((($O$32/2)+($P$32/2))*$Q$32)</f>
        <v>#DIV/0!</v>
      </c>
      <c r="BG160" s="76">
        <v>0.1</v>
      </c>
      <c r="BI160" s="51" t="s">
        <v>158</v>
      </c>
    </row>
    <row r="161" spans="11:61" ht="20.25" customHeight="1" x14ac:dyDescent="0.25">
      <c r="K161" s="25"/>
      <c r="L161" s="25"/>
      <c r="M161" s="227"/>
      <c r="N161" s="227"/>
      <c r="O161" s="227"/>
      <c r="P161" s="227"/>
      <c r="Q161" s="227"/>
      <c r="R161" s="25"/>
      <c r="T161" s="226"/>
      <c r="U161" s="465"/>
      <c r="V161" s="465"/>
      <c r="W161" s="465"/>
      <c r="X161" s="228"/>
      <c r="AA161" s="610"/>
      <c r="AB161" s="634"/>
      <c r="AC161" s="635" t="str">
        <f>'Adubos e corretivos'!C91</f>
        <v>BRITACAL Filler</v>
      </c>
      <c r="AD161" s="635">
        <f>'Adubos e corretivos'!D91</f>
        <v>0</v>
      </c>
      <c r="AE161" s="635">
        <f>'Adubos e corretivos'!E91</f>
        <v>32</v>
      </c>
      <c r="AF161" s="635">
        <f>'Adubos e corretivos'!F91</f>
        <v>15</v>
      </c>
      <c r="AG161" s="635">
        <f>'Adubos e corretivos'!G91</f>
        <v>94</v>
      </c>
      <c r="AH161" s="635">
        <f>'Adubos e corretivos'!H91</f>
        <v>47</v>
      </c>
      <c r="AI161" s="615"/>
      <c r="AJ161" s="615"/>
      <c r="AK161" s="615"/>
      <c r="AL161" s="615"/>
      <c r="AM161" s="613"/>
      <c r="BC161" s="51">
        <v>1</v>
      </c>
      <c r="BG161" s="76">
        <v>0.2</v>
      </c>
      <c r="BI161" s="51" t="s">
        <v>292</v>
      </c>
    </row>
    <row r="162" spans="11:61" ht="20.25" customHeight="1" x14ac:dyDescent="0.25">
      <c r="K162" s="25"/>
      <c r="L162" s="25"/>
      <c r="M162" s="227"/>
      <c r="N162" s="227"/>
      <c r="O162" s="227"/>
      <c r="P162" s="227"/>
      <c r="Q162" s="227"/>
      <c r="R162" s="25"/>
      <c r="T162" s="226"/>
      <c r="U162" s="465"/>
      <c r="V162" s="465"/>
      <c r="W162" s="465"/>
      <c r="X162" s="228"/>
      <c r="AA162" s="610"/>
      <c r="AB162" s="634"/>
      <c r="AC162" s="635" t="str">
        <f>'Adubos e corretivos'!C92</f>
        <v>BRITACAL Calcítico</v>
      </c>
      <c r="AD162" s="635">
        <f>'Adubos e corretivos'!D92</f>
        <v>0</v>
      </c>
      <c r="AE162" s="635">
        <f>'Adubos e corretivos'!E92</f>
        <v>51.6</v>
      </c>
      <c r="AF162" s="635">
        <f>'Adubos e corretivos'!F92</f>
        <v>2</v>
      </c>
      <c r="AG162" s="635">
        <f>'Adubos e corretivos'!G92</f>
        <v>82.1</v>
      </c>
      <c r="AH162" s="635">
        <f>'Adubos e corretivos'!H92</f>
        <v>53.6</v>
      </c>
      <c r="AI162" s="615"/>
      <c r="AJ162" s="615"/>
      <c r="AK162" s="615"/>
      <c r="AL162" s="615"/>
      <c r="AM162" s="613"/>
      <c r="BC162" s="51">
        <v>2</v>
      </c>
      <c r="BG162" s="76">
        <v>0.3</v>
      </c>
      <c r="BI162" s="51" t="s">
        <v>292</v>
      </c>
    </row>
    <row r="163" spans="11:61" ht="20.25" customHeight="1" x14ac:dyDescent="0.25">
      <c r="K163" s="25"/>
      <c r="L163" s="25"/>
      <c r="M163" s="227"/>
      <c r="N163" s="227"/>
      <c r="O163" s="227"/>
      <c r="P163" s="227"/>
      <c r="Q163" s="227"/>
      <c r="R163" s="25"/>
      <c r="T163" s="226"/>
      <c r="U163" s="465"/>
      <c r="V163" s="465"/>
      <c r="W163" s="465"/>
      <c r="X163" s="228"/>
      <c r="AA163" s="610"/>
      <c r="AB163" s="634"/>
      <c r="AC163" s="635" t="str">
        <f>'Adubos e corretivos'!C93</f>
        <v>PIRECAL Dolomítico</v>
      </c>
      <c r="AD163" s="635">
        <f>'Adubos e corretivos'!D93</f>
        <v>0</v>
      </c>
      <c r="AE163" s="635">
        <f>'Adubos e corretivos'!E93</f>
        <v>29.7</v>
      </c>
      <c r="AF163" s="635">
        <f>'Adubos e corretivos'!F93</f>
        <v>21.6</v>
      </c>
      <c r="AG163" s="635">
        <f>'Adubos e corretivos'!G93</f>
        <v>99.3</v>
      </c>
      <c r="AH163" s="635">
        <f>'Adubos e corretivos'!H93</f>
        <v>51.3</v>
      </c>
      <c r="AI163" s="615"/>
      <c r="AJ163" s="615"/>
      <c r="AK163" s="615"/>
      <c r="AL163" s="615"/>
      <c r="AM163" s="613"/>
      <c r="BC163" s="51">
        <v>3</v>
      </c>
      <c r="BG163" s="76">
        <v>0.4</v>
      </c>
      <c r="BI163" s="51" t="s">
        <v>292</v>
      </c>
    </row>
    <row r="164" spans="11:61" ht="20.25" customHeight="1" x14ac:dyDescent="0.25">
      <c r="K164" s="25"/>
      <c r="L164" s="25"/>
      <c r="M164" s="25"/>
      <c r="N164" s="25"/>
      <c r="O164" s="25"/>
      <c r="P164" s="25"/>
      <c r="Q164" s="25"/>
      <c r="R164" s="25"/>
      <c r="T164" s="226"/>
      <c r="U164" s="465"/>
      <c r="V164" s="465"/>
      <c r="W164" s="465"/>
      <c r="X164" s="228"/>
      <c r="AA164" s="610"/>
      <c r="AB164" s="634"/>
      <c r="AC164" s="635" t="str">
        <f>'Adubos e corretivos'!C94</f>
        <v>Calcário Itaú Filler</v>
      </c>
      <c r="AD164" s="635">
        <f>'Adubos e corretivos'!D94</f>
        <v>0</v>
      </c>
      <c r="AE164" s="635">
        <f>'Adubos e corretivos'!E94</f>
        <v>40</v>
      </c>
      <c r="AF164" s="635">
        <f>'Adubos e corretivos'!F94</f>
        <v>20</v>
      </c>
      <c r="AG164" s="635">
        <f>'Adubos e corretivos'!G94</f>
        <v>96</v>
      </c>
      <c r="AH164" s="635">
        <f>'Adubos e corretivos'!H94</f>
        <v>60</v>
      </c>
      <c r="AI164" s="615"/>
      <c r="AJ164" s="615"/>
      <c r="AK164" s="615"/>
      <c r="AL164" s="615"/>
      <c r="AM164" s="613"/>
      <c r="BC164" s="51">
        <v>4</v>
      </c>
      <c r="BG164" s="76">
        <v>0.5</v>
      </c>
      <c r="BI164" s="51" t="s">
        <v>288</v>
      </c>
    </row>
    <row r="165" spans="11:61" ht="20.25" customHeight="1" x14ac:dyDescent="0.25">
      <c r="K165" s="25"/>
      <c r="L165" s="25"/>
      <c r="M165" s="25"/>
      <c r="N165" s="25"/>
      <c r="O165" s="25"/>
      <c r="P165" s="25"/>
      <c r="Q165" s="25"/>
      <c r="R165" s="25"/>
      <c r="T165" s="226"/>
      <c r="U165" s="227"/>
      <c r="V165" s="227"/>
      <c r="W165" s="227"/>
      <c r="X165" s="228"/>
      <c r="AA165" s="610"/>
      <c r="AB165" s="634"/>
      <c r="AC165" s="635" t="str">
        <f>'Adubos e corretivos'!C95</f>
        <v>PIRINEUS Dolomítico</v>
      </c>
      <c r="AD165" s="635">
        <f>'Adubos e corretivos'!D95</f>
        <v>0</v>
      </c>
      <c r="AE165" s="635">
        <f>'Adubos e corretivos'!E95</f>
        <v>34.299999999999997</v>
      </c>
      <c r="AF165" s="635">
        <f>'Adubos e corretivos'!F95</f>
        <v>16.2</v>
      </c>
      <c r="AG165" s="635">
        <f>'Adubos e corretivos'!G95</f>
        <v>95.25</v>
      </c>
      <c r="AH165" s="635">
        <f>'Adubos e corretivos'!H95</f>
        <v>50.5</v>
      </c>
      <c r="AI165" s="615"/>
      <c r="AJ165" s="615"/>
      <c r="AK165" s="615"/>
      <c r="AL165" s="615"/>
      <c r="AM165" s="613"/>
      <c r="BG165" s="76">
        <v>0.6</v>
      </c>
      <c r="BI165" s="51" t="s">
        <v>289</v>
      </c>
    </row>
    <row r="166" spans="11:61" ht="20.25" customHeight="1" thickBot="1" x14ac:dyDescent="0.3">
      <c r="K166" s="25"/>
      <c r="L166" s="25"/>
      <c r="M166" s="25"/>
      <c r="N166" s="25"/>
      <c r="O166" s="25"/>
      <c r="P166" s="25"/>
      <c r="Q166" s="25"/>
      <c r="R166" s="25"/>
      <c r="T166" s="226"/>
      <c r="U166" s="227"/>
      <c r="V166" s="227"/>
      <c r="W166" s="227"/>
      <c r="X166" s="228"/>
      <c r="AA166" s="610"/>
      <c r="AB166" s="634"/>
      <c r="AC166" s="635" t="str">
        <f>'Adubos e corretivos'!C96</f>
        <v>PIRINEUS Calcítico</v>
      </c>
      <c r="AD166" s="635">
        <f>'Adubos e corretivos'!D96</f>
        <v>0</v>
      </c>
      <c r="AE166" s="635">
        <f>'Adubos e corretivos'!E96</f>
        <v>53.2</v>
      </c>
      <c r="AF166" s="635">
        <f>'Adubos e corretivos'!F96</f>
        <v>1</v>
      </c>
      <c r="AG166" s="635">
        <f>'Adubos e corretivos'!G96</f>
        <v>90.52</v>
      </c>
      <c r="AH166" s="635">
        <f>'Adubos e corretivos'!H96</f>
        <v>54.2</v>
      </c>
      <c r="AI166" s="615"/>
      <c r="AJ166" s="615"/>
      <c r="AK166" s="615"/>
      <c r="AL166" s="615"/>
      <c r="AM166" s="613"/>
      <c r="BG166" s="76">
        <v>0.7</v>
      </c>
      <c r="BI166" s="51" t="s">
        <v>290</v>
      </c>
    </row>
    <row r="167" spans="11:61" ht="20.25" customHeight="1" x14ac:dyDescent="0.25">
      <c r="K167" s="25"/>
      <c r="L167" s="25"/>
      <c r="M167" s="25"/>
      <c r="N167" s="25"/>
      <c r="O167" s="25"/>
      <c r="P167" s="25"/>
      <c r="Q167" s="25"/>
      <c r="R167" s="25"/>
      <c r="T167" s="226"/>
      <c r="U167" s="499" t="s">
        <v>305</v>
      </c>
      <c r="V167" s="500"/>
      <c r="W167" s="501"/>
      <c r="X167" s="228"/>
      <c r="AA167" s="610"/>
      <c r="AB167" s="634"/>
      <c r="AC167" s="635" t="str">
        <f>'Adubos e corretivos'!C97</f>
        <v>TERRA BRANCA Calcítico</v>
      </c>
      <c r="AD167" s="635">
        <f>'Adubos e corretivos'!D97</f>
        <v>0</v>
      </c>
      <c r="AE167" s="635">
        <f>'Adubos e corretivos'!E97</f>
        <v>42.1</v>
      </c>
      <c r="AF167" s="635">
        <f>'Adubos e corretivos'!F97</f>
        <v>5.25</v>
      </c>
      <c r="AG167" s="635">
        <f>'Adubos e corretivos'!G97</f>
        <v>77.8</v>
      </c>
      <c r="AH167" s="635">
        <f>'Adubos e corretivos'!H97</f>
        <v>47.35</v>
      </c>
      <c r="AI167" s="615"/>
      <c r="AJ167" s="615"/>
      <c r="AK167" s="615"/>
      <c r="AL167" s="615"/>
      <c r="AM167" s="613"/>
      <c r="BG167" s="76">
        <v>0.8</v>
      </c>
      <c r="BI167" s="51"/>
    </row>
    <row r="168" spans="11:61" ht="20.25" customHeight="1" x14ac:dyDescent="0.25">
      <c r="K168" s="25"/>
      <c r="L168" s="25"/>
      <c r="M168" s="25"/>
      <c r="N168" s="25"/>
      <c r="O168" s="25"/>
      <c r="P168" s="25"/>
      <c r="Q168" s="25"/>
      <c r="R168" s="25"/>
      <c r="T168" s="226"/>
      <c r="U168" s="502"/>
      <c r="V168" s="503"/>
      <c r="W168" s="504"/>
      <c r="X168" s="228"/>
      <c r="Z168" s="11" t="s">
        <v>631</v>
      </c>
      <c r="AA168" s="610"/>
      <c r="AB168" s="634"/>
      <c r="AC168" s="635" t="str">
        <f>'Adubos e corretivos'!C98</f>
        <v>GOIAS Filler Calcítico</v>
      </c>
      <c r="AD168" s="635">
        <f>'Adubos e corretivos'!D98</f>
        <v>0</v>
      </c>
      <c r="AE168" s="635">
        <f>'Adubos e corretivos'!E98</f>
        <v>48</v>
      </c>
      <c r="AF168" s="635">
        <f>'Adubos e corretivos'!F98</f>
        <v>5</v>
      </c>
      <c r="AG168" s="635">
        <f>'Adubos e corretivos'!G98</f>
        <v>90.62</v>
      </c>
      <c r="AH168" s="635">
        <f>'Adubos e corretivos'!H98</f>
        <v>53</v>
      </c>
      <c r="AI168" s="615"/>
      <c r="AJ168" s="615"/>
      <c r="AK168" s="615"/>
      <c r="AL168" s="615"/>
      <c r="AM168" s="613"/>
      <c r="BG168" s="76">
        <v>0.9</v>
      </c>
    </row>
    <row r="169" spans="11:61" ht="20.25" customHeight="1" x14ac:dyDescent="0.25">
      <c r="K169" s="25"/>
      <c r="L169" s="25"/>
      <c r="M169" s="25"/>
      <c r="N169" s="25"/>
      <c r="O169" s="25"/>
      <c r="P169" s="25"/>
      <c r="Q169" s="25"/>
      <c r="R169" s="25"/>
      <c r="T169" s="226"/>
      <c r="U169" s="481" t="s">
        <v>137</v>
      </c>
      <c r="V169" s="482"/>
      <c r="W169" s="90">
        <v>0.8</v>
      </c>
      <c r="X169" s="228"/>
      <c r="AA169" s="610"/>
      <c r="AB169" s="634"/>
      <c r="AC169" s="635" t="str">
        <f>'Adubos e corretivos'!C99</f>
        <v>GOIAS Filler Dolomítico</v>
      </c>
      <c r="AD169" s="635">
        <f>'Adubos e corretivos'!D99</f>
        <v>0</v>
      </c>
      <c r="AE169" s="635">
        <f>'Adubos e corretivos'!E99</f>
        <v>36</v>
      </c>
      <c r="AF169" s="635">
        <f>'Adubos e corretivos'!F99</f>
        <v>15</v>
      </c>
      <c r="AG169" s="635">
        <f>'Adubos e corretivos'!G99</f>
        <v>92.54</v>
      </c>
      <c r="AH169" s="635">
        <f>'Adubos e corretivos'!H99</f>
        <v>51</v>
      </c>
      <c r="AI169" s="615"/>
      <c r="AJ169" s="615"/>
      <c r="AK169" s="615"/>
      <c r="AL169" s="615"/>
      <c r="AM169" s="613"/>
      <c r="AP169" s="108"/>
      <c r="AQ169" s="108"/>
      <c r="BG169" s="76">
        <v>1</v>
      </c>
    </row>
    <row r="170" spans="11:61" ht="20.25" customHeight="1" x14ac:dyDescent="0.25">
      <c r="K170" s="25"/>
      <c r="L170" s="25"/>
      <c r="M170" s="25"/>
      <c r="N170" s="25"/>
      <c r="O170" s="25"/>
      <c r="P170" s="25"/>
      <c r="Q170" s="25"/>
      <c r="R170" s="25"/>
      <c r="T170" s="226"/>
      <c r="U170" s="505" t="s">
        <v>306</v>
      </c>
      <c r="V170" s="506"/>
      <c r="W170" s="507"/>
      <c r="X170" s="228"/>
      <c r="AA170" s="610"/>
      <c r="AB170" s="615"/>
      <c r="AC170" s="615"/>
      <c r="AD170" s="615"/>
      <c r="AE170" s="615"/>
      <c r="AF170" s="615"/>
      <c r="AG170" s="615"/>
      <c r="AH170" s="615"/>
      <c r="AI170" s="615"/>
      <c r="AJ170" s="615"/>
      <c r="AK170" s="615"/>
      <c r="AL170" s="615"/>
      <c r="AM170" s="613"/>
    </row>
    <row r="171" spans="11:61" ht="20.25" customHeight="1" x14ac:dyDescent="0.25">
      <c r="K171" s="25"/>
      <c r="L171" s="25"/>
      <c r="M171" s="25"/>
      <c r="N171" s="25"/>
      <c r="O171" s="25"/>
      <c r="P171" s="25"/>
      <c r="Q171" s="25"/>
      <c r="R171" s="25"/>
      <c r="T171" s="226"/>
      <c r="U171" s="502"/>
      <c r="V171" s="503"/>
      <c r="W171" s="504"/>
      <c r="X171" s="228"/>
      <c r="AA171" s="610"/>
      <c r="AB171" s="615"/>
      <c r="AC171" s="615"/>
      <c r="AD171" s="615"/>
      <c r="AE171" s="615"/>
      <c r="AF171" s="615"/>
      <c r="AG171" s="615"/>
      <c r="AH171" s="615"/>
      <c r="AI171" s="615"/>
      <c r="AJ171" s="615"/>
      <c r="AK171" s="615"/>
      <c r="AL171" s="615"/>
      <c r="AM171" s="613"/>
    </row>
    <row r="172" spans="11:61" ht="20.25" customHeight="1" x14ac:dyDescent="0.25">
      <c r="K172" s="25"/>
      <c r="L172" s="25"/>
      <c r="M172" s="25"/>
      <c r="N172" s="25"/>
      <c r="O172" s="105"/>
      <c r="P172" s="105"/>
      <c r="Q172" s="105"/>
      <c r="R172" s="25"/>
      <c r="T172" s="226"/>
      <c r="U172" s="483" t="s">
        <v>156</v>
      </c>
      <c r="V172" s="484"/>
      <c r="W172" s="92">
        <v>0.2</v>
      </c>
      <c r="X172" s="228"/>
      <c r="AA172" s="610"/>
      <c r="AB172" s="632" t="s">
        <v>136</v>
      </c>
      <c r="AC172" s="632" t="s">
        <v>76</v>
      </c>
      <c r="AD172" s="632" t="s">
        <v>77</v>
      </c>
      <c r="AE172" s="632" t="s">
        <v>284</v>
      </c>
      <c r="AF172" s="632"/>
      <c r="AG172" s="632"/>
      <c r="AH172" s="615"/>
      <c r="AI172" s="615"/>
      <c r="AJ172" s="615"/>
      <c r="AK172" s="615"/>
      <c r="AL172" s="615"/>
      <c r="AM172" s="613"/>
    </row>
    <row r="173" spans="11:61" ht="20.25" customHeight="1" x14ac:dyDescent="0.25">
      <c r="K173" s="25"/>
      <c r="L173" s="25"/>
      <c r="M173" s="25"/>
      <c r="N173" s="25"/>
      <c r="O173" s="105"/>
      <c r="P173" s="105"/>
      <c r="Q173" s="105"/>
      <c r="R173" s="25"/>
      <c r="T173" s="226"/>
      <c r="U173" s="227"/>
      <c r="V173" s="227"/>
      <c r="W173" s="227"/>
      <c r="X173" s="228"/>
      <c r="AA173" s="610"/>
      <c r="AB173" s="632"/>
      <c r="AC173" s="632"/>
      <c r="AD173" s="632"/>
      <c r="AE173" s="633" t="s">
        <v>81</v>
      </c>
      <c r="AF173" s="633" t="s">
        <v>82</v>
      </c>
      <c r="AG173" s="633" t="s">
        <v>83</v>
      </c>
      <c r="AH173" s="615"/>
      <c r="AI173" s="615"/>
      <c r="AJ173" s="615"/>
      <c r="AK173" s="615"/>
      <c r="AL173" s="615"/>
      <c r="AM173" s="613"/>
    </row>
    <row r="174" spans="11:61" ht="20.25" customHeight="1" x14ac:dyDescent="0.25">
      <c r="K174" s="25"/>
      <c r="L174" s="25"/>
      <c r="M174" s="25"/>
      <c r="N174" s="25"/>
      <c r="O174" s="25"/>
      <c r="P174" s="25"/>
      <c r="Q174" s="25"/>
      <c r="R174" s="25"/>
      <c r="T174" s="226"/>
      <c r="U174" s="227"/>
      <c r="V174" s="227"/>
      <c r="W174" s="227"/>
      <c r="X174" s="228"/>
      <c r="AA174" s="610"/>
      <c r="AB174" s="625" t="s">
        <v>152</v>
      </c>
      <c r="AC174" s="635" t="str">
        <f>'Adubos e corretivos'!C104</f>
        <v>Gesso Nutrion</v>
      </c>
      <c r="AD174" s="635">
        <f>'Adubos e corretivos'!D104</f>
        <v>0</v>
      </c>
      <c r="AE174" s="635">
        <f>'Adubos e corretivos'!E104</f>
        <v>15</v>
      </c>
      <c r="AF174" s="635">
        <f>'Adubos e corretivos'!F104</f>
        <v>0</v>
      </c>
      <c r="AG174" s="635">
        <f>'Adubos e corretivos'!G104</f>
        <v>20</v>
      </c>
      <c r="AH174" s="615"/>
      <c r="AI174" s="615"/>
      <c r="AJ174" s="615"/>
      <c r="AK174" s="615"/>
      <c r="AL174" s="615"/>
      <c r="AM174" s="613"/>
    </row>
    <row r="175" spans="11:61" ht="20.25" customHeight="1" x14ac:dyDescent="0.25">
      <c r="K175" s="25"/>
      <c r="L175" s="25"/>
      <c r="M175" s="25"/>
      <c r="N175" s="25"/>
      <c r="O175" s="105"/>
      <c r="P175" s="105"/>
      <c r="Q175" s="105"/>
      <c r="R175" s="25"/>
      <c r="S175" s="25"/>
      <c r="T175" s="226"/>
      <c r="U175" s="473" t="s">
        <v>307</v>
      </c>
      <c r="V175" s="474"/>
      <c r="W175" s="475"/>
      <c r="X175" s="228"/>
      <c r="AA175" s="610"/>
      <c r="AB175" s="625"/>
      <c r="AC175" s="635" t="str">
        <f>'Adubos e corretivos'!C105</f>
        <v>Gesso Votorantim</v>
      </c>
      <c r="AD175" s="635">
        <f>'Adubos e corretivos'!D105</f>
        <v>0</v>
      </c>
      <c r="AE175" s="635">
        <f>'Adubos e corretivos'!E105</f>
        <v>16</v>
      </c>
      <c r="AF175" s="635">
        <f>'Adubos e corretivos'!F105</f>
        <v>0</v>
      </c>
      <c r="AG175" s="635">
        <f>'Adubos e corretivos'!G105</f>
        <v>20</v>
      </c>
      <c r="AH175" s="615"/>
      <c r="AI175" s="615"/>
      <c r="AJ175" s="615"/>
      <c r="AK175" s="615"/>
      <c r="AL175" s="615"/>
      <c r="AM175" s="613"/>
    </row>
    <row r="176" spans="11:61" ht="20.25" customHeight="1" x14ac:dyDescent="0.25">
      <c r="K176" s="25"/>
      <c r="L176" s="25"/>
      <c r="M176" s="25"/>
      <c r="N176" s="25"/>
      <c r="O176" s="25"/>
      <c r="P176" s="25"/>
      <c r="Q176" s="25"/>
      <c r="R176" s="25"/>
      <c r="S176" s="25"/>
      <c r="T176" s="226"/>
      <c r="U176" s="448" t="s">
        <v>188</v>
      </c>
      <c r="V176" s="448"/>
      <c r="W176" s="448"/>
      <c r="X176" s="228"/>
      <c r="AA176" s="610"/>
      <c r="AB176" s="625"/>
      <c r="AC176" s="635" t="str">
        <f>'Adubos e corretivos'!C106</f>
        <v>Gesso Agronelli</v>
      </c>
      <c r="AD176" s="635">
        <f>'Adubos e corretivos'!D106</f>
        <v>0</v>
      </c>
      <c r="AE176" s="635">
        <f>'Adubos e corretivos'!E106</f>
        <v>14</v>
      </c>
      <c r="AF176" s="635">
        <f>'Adubos e corretivos'!F106</f>
        <v>0</v>
      </c>
      <c r="AG176" s="635">
        <f>'Adubos e corretivos'!G106</f>
        <v>17</v>
      </c>
      <c r="AH176" s="615"/>
      <c r="AI176" s="615"/>
      <c r="AJ176" s="615"/>
      <c r="AK176" s="615"/>
      <c r="AL176" s="615"/>
      <c r="AM176" s="613"/>
    </row>
    <row r="177" spans="11:39" ht="20.25" customHeight="1" thickBot="1" x14ac:dyDescent="0.3">
      <c r="K177" s="25"/>
      <c r="L177" s="25"/>
      <c r="M177" s="25"/>
      <c r="N177" s="25"/>
      <c r="O177" s="25"/>
      <c r="P177" s="25"/>
      <c r="Q177" s="25"/>
      <c r="R177" s="25"/>
      <c r="S177" s="25"/>
      <c r="T177" s="229"/>
      <c r="U177" s="230"/>
      <c r="V177" s="230"/>
      <c r="W177" s="230"/>
      <c r="X177" s="231"/>
      <c r="AA177" s="610"/>
      <c r="AB177" s="625"/>
      <c r="AC177" s="635" t="str">
        <f>'Adubos e corretivos'!C107</f>
        <v>Siligesso Agronelli</v>
      </c>
      <c r="AD177" s="635">
        <f>'Adubos e corretivos'!D107</f>
        <v>0</v>
      </c>
      <c r="AE177" s="635">
        <f>'Adubos e corretivos'!E107</f>
        <v>9.9</v>
      </c>
      <c r="AF177" s="635">
        <f>'Adubos e corretivos'!F107</f>
        <v>0</v>
      </c>
      <c r="AG177" s="635">
        <f>'Adubos e corretivos'!G107</f>
        <v>20.3</v>
      </c>
      <c r="AH177" s="615"/>
      <c r="AI177" s="615"/>
      <c r="AJ177" s="615"/>
      <c r="AK177" s="615"/>
      <c r="AL177" s="615"/>
      <c r="AM177" s="613"/>
    </row>
    <row r="178" spans="11:39" ht="20.25" customHeight="1" x14ac:dyDescent="0.25">
      <c r="K178" s="25"/>
      <c r="L178" s="25"/>
      <c r="M178" s="25"/>
      <c r="N178" s="25"/>
      <c r="O178" s="25"/>
      <c r="P178" s="25"/>
      <c r="Q178" s="25"/>
      <c r="R178" s="25"/>
      <c r="S178" s="25"/>
      <c r="AA178" s="610"/>
      <c r="AB178" s="625"/>
      <c r="AC178" s="635" t="str">
        <f>'Adubos e corretivos'!C108</f>
        <v>Nutrigesso Nutrion</v>
      </c>
      <c r="AD178" s="635">
        <f>'Adubos e corretivos'!D108</f>
        <v>0</v>
      </c>
      <c r="AE178" s="635">
        <f>'Adubos e corretivos'!E108</f>
        <v>13</v>
      </c>
      <c r="AF178" s="635">
        <f>'Adubos e corretivos'!F108</f>
        <v>0</v>
      </c>
      <c r="AG178" s="635">
        <f>'Adubos e corretivos'!G108</f>
        <v>16</v>
      </c>
      <c r="AH178" s="615"/>
      <c r="AI178" s="615"/>
      <c r="AJ178" s="615"/>
      <c r="AK178" s="615"/>
      <c r="AL178" s="615"/>
      <c r="AM178" s="613"/>
    </row>
    <row r="179" spans="11:39" ht="20.25" customHeight="1" x14ac:dyDescent="0.25">
      <c r="K179" s="25"/>
      <c r="L179" s="25"/>
      <c r="M179" s="25"/>
      <c r="N179" s="25"/>
      <c r="O179" s="25"/>
      <c r="P179" s="25"/>
      <c r="Q179" s="25"/>
      <c r="R179" s="25"/>
      <c r="S179" s="25"/>
      <c r="AA179" s="610"/>
      <c r="AB179" s="625"/>
      <c r="AC179" s="635">
        <f>'Adubos e corretivos'!C109</f>
        <v>0</v>
      </c>
      <c r="AD179" s="635">
        <f>'Adubos e corretivos'!D109</f>
        <v>0</v>
      </c>
      <c r="AE179" s="635">
        <f>'Adubos e corretivos'!E109</f>
        <v>0</v>
      </c>
      <c r="AF179" s="635">
        <f>'Adubos e corretivos'!F109</f>
        <v>0</v>
      </c>
      <c r="AG179" s="635">
        <f>'Adubos e corretivos'!G109</f>
        <v>0</v>
      </c>
      <c r="AH179" s="615"/>
      <c r="AI179" s="615"/>
      <c r="AJ179" s="615"/>
      <c r="AK179" s="615"/>
      <c r="AL179" s="615"/>
      <c r="AM179" s="613"/>
    </row>
    <row r="180" spans="11:39" ht="20.25" customHeight="1" x14ac:dyDescent="0.25">
      <c r="AA180" s="610"/>
      <c r="AB180" s="625"/>
      <c r="AC180" s="635">
        <f>'Adubos e corretivos'!C110</f>
        <v>0</v>
      </c>
      <c r="AD180" s="635">
        <f>'Adubos e corretivos'!D110</f>
        <v>0</v>
      </c>
      <c r="AE180" s="635">
        <f>'Adubos e corretivos'!E110</f>
        <v>0</v>
      </c>
      <c r="AF180" s="635">
        <f>'Adubos e corretivos'!F110</f>
        <v>0</v>
      </c>
      <c r="AG180" s="635">
        <f>'Adubos e corretivos'!G110</f>
        <v>0</v>
      </c>
      <c r="AH180" s="615"/>
      <c r="AI180" s="615"/>
      <c r="AJ180" s="615"/>
      <c r="AK180" s="615"/>
      <c r="AL180" s="615"/>
      <c r="AM180" s="613"/>
    </row>
    <row r="181" spans="11:39" ht="20.25" customHeight="1" x14ac:dyDescent="0.25">
      <c r="AA181" s="610"/>
      <c r="AB181" s="625"/>
      <c r="AC181" s="635">
        <f>'Adubos e corretivos'!C111</f>
        <v>0</v>
      </c>
      <c r="AD181" s="635">
        <f>'Adubos e corretivos'!D111</f>
        <v>0</v>
      </c>
      <c r="AE181" s="635">
        <f>'Adubos e corretivos'!E111</f>
        <v>0</v>
      </c>
      <c r="AF181" s="635">
        <f>'Adubos e corretivos'!F111</f>
        <v>0</v>
      </c>
      <c r="AG181" s="635">
        <f>'Adubos e corretivos'!G111</f>
        <v>0</v>
      </c>
      <c r="AH181" s="615"/>
      <c r="AI181" s="615"/>
      <c r="AJ181" s="615"/>
      <c r="AK181" s="615"/>
      <c r="AL181" s="615"/>
      <c r="AM181" s="613"/>
    </row>
    <row r="182" spans="11:39" ht="20.25" customHeight="1" x14ac:dyDescent="0.25">
      <c r="AA182" s="610"/>
      <c r="AB182" s="625"/>
      <c r="AC182" s="635">
        <f>'Adubos e corretivos'!C112</f>
        <v>0</v>
      </c>
      <c r="AD182" s="635">
        <f>'Adubos e corretivos'!D112</f>
        <v>0</v>
      </c>
      <c r="AE182" s="635">
        <f>'Adubos e corretivos'!E112</f>
        <v>0</v>
      </c>
      <c r="AF182" s="635">
        <f>'Adubos e corretivos'!F112</f>
        <v>0</v>
      </c>
      <c r="AG182" s="635">
        <f>'Adubos e corretivos'!G112</f>
        <v>0</v>
      </c>
      <c r="AH182" s="615"/>
      <c r="AI182" s="615"/>
      <c r="AJ182" s="615"/>
      <c r="AK182" s="615"/>
      <c r="AL182" s="615"/>
      <c r="AM182" s="613"/>
    </row>
    <row r="183" spans="11:39" ht="20.25" customHeight="1" x14ac:dyDescent="0.25">
      <c r="AA183" s="610"/>
      <c r="AB183" s="625"/>
      <c r="AC183" s="635">
        <f>'Adubos e corretivos'!C113</f>
        <v>0</v>
      </c>
      <c r="AD183" s="635">
        <f>'Adubos e corretivos'!D113</f>
        <v>0</v>
      </c>
      <c r="AE183" s="635">
        <f>'Adubos e corretivos'!E113</f>
        <v>0</v>
      </c>
      <c r="AF183" s="635">
        <f>'Adubos e corretivos'!F113</f>
        <v>0</v>
      </c>
      <c r="AG183" s="635">
        <f>'Adubos e corretivos'!G113</f>
        <v>0</v>
      </c>
      <c r="AH183" s="615"/>
      <c r="AI183" s="615"/>
      <c r="AJ183" s="615"/>
      <c r="AK183" s="615"/>
      <c r="AL183" s="615"/>
      <c r="AM183" s="613"/>
    </row>
    <row r="184" spans="11:39" ht="20.25" customHeight="1" x14ac:dyDescent="0.25">
      <c r="AA184" s="610"/>
      <c r="AB184" s="615"/>
      <c r="AC184" s="615"/>
      <c r="AD184" s="615"/>
      <c r="AE184" s="615"/>
      <c r="AF184" s="615"/>
      <c r="AG184" s="615"/>
      <c r="AH184" s="615"/>
      <c r="AI184" s="615"/>
      <c r="AJ184" s="615"/>
      <c r="AK184" s="615"/>
      <c r="AL184" s="615"/>
      <c r="AM184" s="613"/>
    </row>
    <row r="185" spans="11:39" ht="20.25" customHeight="1" x14ac:dyDescent="0.25">
      <c r="AA185" s="610"/>
      <c r="AB185" s="615"/>
      <c r="AC185" s="615"/>
      <c r="AD185" s="615"/>
      <c r="AE185" s="615"/>
      <c r="AF185" s="615"/>
      <c r="AG185" s="615"/>
      <c r="AH185" s="615"/>
      <c r="AI185" s="615"/>
      <c r="AJ185" s="615"/>
      <c r="AK185" s="615"/>
      <c r="AL185" s="615"/>
      <c r="AM185" s="613"/>
    </row>
    <row r="186" spans="11:39" ht="20.25" customHeight="1" x14ac:dyDescent="0.25">
      <c r="AA186" s="610"/>
      <c r="AB186" s="632" t="s">
        <v>136</v>
      </c>
      <c r="AC186" s="632" t="s">
        <v>76</v>
      </c>
      <c r="AD186" s="632" t="s">
        <v>77</v>
      </c>
      <c r="AE186" s="632" t="s">
        <v>78</v>
      </c>
      <c r="AF186" s="632"/>
      <c r="AG186" s="632"/>
      <c r="AH186" s="632"/>
      <c r="AI186" s="632"/>
      <c r="AJ186" s="632"/>
      <c r="AK186" s="632"/>
      <c r="AL186" s="632"/>
      <c r="AM186" s="613"/>
    </row>
    <row r="187" spans="11:39" ht="20.25" customHeight="1" x14ac:dyDescent="0.25">
      <c r="AA187" s="610"/>
      <c r="AB187" s="632"/>
      <c r="AC187" s="632"/>
      <c r="AD187" s="632"/>
      <c r="AE187" s="633" t="s">
        <v>117</v>
      </c>
      <c r="AF187" s="633" t="s">
        <v>79</v>
      </c>
      <c r="AG187" s="633" t="s">
        <v>66</v>
      </c>
      <c r="AH187" s="633" t="s">
        <v>80</v>
      </c>
      <c r="AI187" s="633" t="s">
        <v>67</v>
      </c>
      <c r="AJ187" s="633" t="s">
        <v>191</v>
      </c>
      <c r="AK187" s="633" t="s">
        <v>192</v>
      </c>
      <c r="AL187" s="633" t="s">
        <v>204</v>
      </c>
      <c r="AM187" s="613"/>
    </row>
    <row r="188" spans="11:39" ht="20.25" customHeight="1" x14ac:dyDescent="0.25">
      <c r="AA188" s="610"/>
      <c r="AB188" s="625" t="s">
        <v>194</v>
      </c>
      <c r="AC188" s="636" t="str">
        <f>AB323</f>
        <v xml:space="preserve">Biotita Xisto (61) 3233-9368 </v>
      </c>
      <c r="AD188" s="636">
        <f>AC323</f>
        <v>0</v>
      </c>
      <c r="AE188" s="636">
        <f>AR323</f>
        <v>57.8</v>
      </c>
      <c r="AF188" s="636">
        <f>AE323</f>
        <v>8.7999999999999995E-2</v>
      </c>
      <c r="AG188" s="636">
        <f>AF323</f>
        <v>0.2</v>
      </c>
      <c r="AH188" s="636">
        <f>AG323</f>
        <v>2.83</v>
      </c>
      <c r="AI188" s="636">
        <f>AH323</f>
        <v>3.4</v>
      </c>
      <c r="AJ188" s="637">
        <f>AI323*0.602</f>
        <v>1.5155244755244754</v>
      </c>
      <c r="AK188" s="637">
        <f>AJ323*0.715</f>
        <v>5.4634551495016606</v>
      </c>
      <c r="AL188" s="637">
        <f t="shared" ref="AL188:AL196" si="8">AI188+AJ188+AK188</f>
        <v>10.378979625026137</v>
      </c>
      <c r="AM188" s="613"/>
    </row>
    <row r="189" spans="11:39" ht="20.25" customHeight="1" x14ac:dyDescent="0.25">
      <c r="AA189" s="610"/>
      <c r="AB189" s="625"/>
      <c r="AC189" s="636" t="str">
        <f>AB324</f>
        <v>Kamafugito</v>
      </c>
      <c r="AD189" s="636">
        <f>AC324</f>
        <v>0</v>
      </c>
      <c r="AE189" s="636">
        <f>AR324</f>
        <v>0</v>
      </c>
      <c r="AF189" s="636">
        <f>AE324</f>
        <v>1.5069999999999999</v>
      </c>
      <c r="AG189" s="636">
        <f>AF324</f>
        <v>3.5</v>
      </c>
      <c r="AH189" s="636">
        <f>AG324</f>
        <v>3.3250000000000002</v>
      </c>
      <c r="AI189" s="636">
        <f>AH324</f>
        <v>4</v>
      </c>
      <c r="AJ189" s="637">
        <f>AI324*0.602</f>
        <v>1.7217199999999999</v>
      </c>
      <c r="AK189" s="637">
        <f>AJ324*0.715</f>
        <v>0</v>
      </c>
      <c r="AL189" s="637">
        <f t="shared" si="8"/>
        <v>5.7217199999999995</v>
      </c>
      <c r="AM189" s="613"/>
    </row>
    <row r="190" spans="11:39" ht="20.25" customHeight="1" x14ac:dyDescent="0.25">
      <c r="AA190" s="610"/>
      <c r="AB190" s="625"/>
      <c r="AC190" s="636" t="str">
        <f>AB325</f>
        <v>Micaxisto (61) 3233-9368</v>
      </c>
      <c r="AD190" s="636">
        <f>AC325</f>
        <v>0</v>
      </c>
      <c r="AE190" s="636">
        <f>AR325</f>
        <v>0</v>
      </c>
      <c r="AF190" s="636">
        <f>AE325</f>
        <v>4.4999999999999998E-2</v>
      </c>
      <c r="AG190" s="636">
        <f>AF325</f>
        <v>0.1</v>
      </c>
      <c r="AH190" s="636">
        <f>AG325</f>
        <v>4.32</v>
      </c>
      <c r="AI190" s="636">
        <f>AH325</f>
        <v>5.2</v>
      </c>
      <c r="AJ190" s="637">
        <f>AI325*0.602</f>
        <v>0.75776223776223772</v>
      </c>
      <c r="AK190" s="637">
        <f>AJ325*0.715</f>
        <v>0.83139534883720934</v>
      </c>
      <c r="AL190" s="637">
        <f t="shared" si="8"/>
        <v>6.7891575865994476</v>
      </c>
      <c r="AM190" s="613"/>
    </row>
    <row r="191" spans="11:39" ht="20.25" customHeight="1" x14ac:dyDescent="0.25">
      <c r="AA191" s="610"/>
      <c r="AB191" s="625"/>
      <c r="AC191" s="636" t="str">
        <f>AB326</f>
        <v xml:space="preserve">Pó de brita Fmx (62) 3924 8565 </v>
      </c>
      <c r="AD191" s="636">
        <f>AC326</f>
        <v>0</v>
      </c>
      <c r="AE191" s="636">
        <f>AR326</f>
        <v>0</v>
      </c>
      <c r="AF191" s="636">
        <f>AE326</f>
        <v>0</v>
      </c>
      <c r="AG191" s="636">
        <f>AF326</f>
        <v>0</v>
      </c>
      <c r="AH191" s="636">
        <f>AG326</f>
        <v>4.99</v>
      </c>
      <c r="AI191" s="636">
        <f>AH326</f>
        <v>6</v>
      </c>
      <c r="AJ191" s="637">
        <f>AI326*0.602</f>
        <v>2.5258741258741257</v>
      </c>
      <c r="AK191" s="637">
        <f>AJ326*0.715</f>
        <v>0.59385382059800662</v>
      </c>
      <c r="AL191" s="637">
        <f t="shared" si="8"/>
        <v>9.1197279464721319</v>
      </c>
      <c r="AM191" s="613"/>
    </row>
    <row r="192" spans="11:39" ht="20.25" customHeight="1" x14ac:dyDescent="0.25">
      <c r="AA192" s="610"/>
      <c r="AB192" s="625"/>
      <c r="AC192" s="636" t="str">
        <f>AB327</f>
        <v>Remax Mistel (61) 99414-1975</v>
      </c>
      <c r="AD192" s="636">
        <f>AC327</f>
        <v>0</v>
      </c>
      <c r="AE192" s="636">
        <f>AR327</f>
        <v>43.8</v>
      </c>
      <c r="AF192" s="636">
        <f>AE327</f>
        <v>4.4999999999999998E-2</v>
      </c>
      <c r="AG192" s="636">
        <f>AF327</f>
        <v>0.1</v>
      </c>
      <c r="AH192" s="636">
        <f>AG327</f>
        <v>2.1949999999999998</v>
      </c>
      <c r="AI192" s="636">
        <f>AH327</f>
        <v>2.6</v>
      </c>
      <c r="AJ192" s="637">
        <f>AI327*0.602</f>
        <v>11.282237762237763</v>
      </c>
      <c r="AK192" s="637">
        <f>AJ327*0.715</f>
        <v>8.8959302325581397</v>
      </c>
      <c r="AL192" s="637">
        <f t="shared" si="8"/>
        <v>22.778167994795901</v>
      </c>
      <c r="AM192" s="613"/>
    </row>
    <row r="193" spans="27:39" ht="20.25" customHeight="1" x14ac:dyDescent="0.25">
      <c r="AA193" s="610"/>
      <c r="AB193" s="625"/>
      <c r="AC193" s="636">
        <f>AB328</f>
        <v>0</v>
      </c>
      <c r="AD193" s="636">
        <f>AC328</f>
        <v>0</v>
      </c>
      <c r="AE193" s="636">
        <f>AR328</f>
        <v>0</v>
      </c>
      <c r="AF193" s="636">
        <f>AE328</f>
        <v>0</v>
      </c>
      <c r="AG193" s="636">
        <f>AF328</f>
        <v>0</v>
      </c>
      <c r="AH193" s="636">
        <f>AG328</f>
        <v>0</v>
      </c>
      <c r="AI193" s="636">
        <f>AH328</f>
        <v>0</v>
      </c>
      <c r="AJ193" s="637">
        <f>AI328*0.602</f>
        <v>0</v>
      </c>
      <c r="AK193" s="637">
        <f>AJ328*0.715</f>
        <v>0</v>
      </c>
      <c r="AL193" s="637">
        <f t="shared" si="8"/>
        <v>0</v>
      </c>
      <c r="AM193" s="613"/>
    </row>
    <row r="194" spans="27:39" ht="20.25" customHeight="1" x14ac:dyDescent="0.25">
      <c r="AA194" s="610"/>
      <c r="AB194" s="625"/>
      <c r="AC194" s="636">
        <f>AB329</f>
        <v>0</v>
      </c>
      <c r="AD194" s="636">
        <f>AC329</f>
        <v>0</v>
      </c>
      <c r="AE194" s="636">
        <f>AR329</f>
        <v>0</v>
      </c>
      <c r="AF194" s="636">
        <f>AE329</f>
        <v>0</v>
      </c>
      <c r="AG194" s="636">
        <f>AF329</f>
        <v>0</v>
      </c>
      <c r="AH194" s="636">
        <f>AG329</f>
        <v>0</v>
      </c>
      <c r="AI194" s="636">
        <f>AH329</f>
        <v>0</v>
      </c>
      <c r="AJ194" s="637">
        <f>AI329*0.602</f>
        <v>0</v>
      </c>
      <c r="AK194" s="637">
        <f>AJ329*0.715</f>
        <v>0</v>
      </c>
      <c r="AL194" s="637">
        <f t="shared" si="8"/>
        <v>0</v>
      </c>
      <c r="AM194" s="613"/>
    </row>
    <row r="195" spans="27:39" ht="20.25" customHeight="1" x14ac:dyDescent="0.25">
      <c r="AA195" s="610"/>
      <c r="AB195" s="625"/>
      <c r="AC195" s="636">
        <f>AB330</f>
        <v>0</v>
      </c>
      <c r="AD195" s="636">
        <f>AC330</f>
        <v>0</v>
      </c>
      <c r="AE195" s="636">
        <f>AR330</f>
        <v>0</v>
      </c>
      <c r="AF195" s="636">
        <f>AE330</f>
        <v>0</v>
      </c>
      <c r="AG195" s="636">
        <f>AF330</f>
        <v>0</v>
      </c>
      <c r="AH195" s="636">
        <f>AG330</f>
        <v>0</v>
      </c>
      <c r="AI195" s="636">
        <f>AH330</f>
        <v>0</v>
      </c>
      <c r="AJ195" s="637">
        <f>AI330*0.602</f>
        <v>0</v>
      </c>
      <c r="AK195" s="637">
        <f>AJ330*0.715</f>
        <v>0</v>
      </c>
      <c r="AL195" s="637">
        <f t="shared" si="8"/>
        <v>0</v>
      </c>
      <c r="AM195" s="613"/>
    </row>
    <row r="196" spans="27:39" ht="20.25" customHeight="1" x14ac:dyDescent="0.25">
      <c r="AA196" s="610"/>
      <c r="AB196" s="625"/>
      <c r="AC196" s="636">
        <f>AB331</f>
        <v>0</v>
      </c>
      <c r="AD196" s="636">
        <f>AC331</f>
        <v>0</v>
      </c>
      <c r="AE196" s="636">
        <f>AR331</f>
        <v>0</v>
      </c>
      <c r="AF196" s="636">
        <f>AE331</f>
        <v>0</v>
      </c>
      <c r="AG196" s="636">
        <f>AF331</f>
        <v>0</v>
      </c>
      <c r="AH196" s="636">
        <f>AG331</f>
        <v>0</v>
      </c>
      <c r="AI196" s="636">
        <f>AH331</f>
        <v>0</v>
      </c>
      <c r="AJ196" s="637">
        <f>AI331*0.602</f>
        <v>0</v>
      </c>
      <c r="AK196" s="637">
        <f>AJ331*0.715</f>
        <v>0</v>
      </c>
      <c r="AL196" s="637">
        <f t="shared" si="8"/>
        <v>0</v>
      </c>
      <c r="AM196" s="613"/>
    </row>
    <row r="197" spans="27:39" ht="20.25" customHeight="1" x14ac:dyDescent="0.25">
      <c r="AA197" s="610"/>
      <c r="AB197" s="615"/>
      <c r="AC197" s="615"/>
      <c r="AD197" s="615"/>
      <c r="AE197" s="615"/>
      <c r="AF197" s="615"/>
      <c r="AG197" s="615"/>
      <c r="AH197" s="615"/>
      <c r="AI197" s="615"/>
      <c r="AJ197" s="615"/>
      <c r="AK197" s="615"/>
      <c r="AL197" s="615"/>
      <c r="AM197" s="613"/>
    </row>
    <row r="198" spans="27:39" ht="20.25" customHeight="1" thickBot="1" x14ac:dyDescent="0.3">
      <c r="AA198" s="618"/>
      <c r="AB198" s="619"/>
      <c r="AC198" s="619"/>
      <c r="AD198" s="619"/>
      <c r="AE198" s="619"/>
      <c r="AF198" s="619"/>
      <c r="AG198" s="619"/>
      <c r="AH198" s="619"/>
      <c r="AI198" s="619"/>
      <c r="AJ198" s="619"/>
      <c r="AK198" s="619"/>
      <c r="AL198" s="619"/>
      <c r="AM198" s="620"/>
    </row>
    <row r="210" spans="26:48" ht="20.25" customHeight="1" thickBot="1" x14ac:dyDescent="0.3"/>
    <row r="211" spans="26:48" ht="20.25" customHeight="1" x14ac:dyDescent="0.25">
      <c r="Z211" s="607"/>
      <c r="AA211" s="608"/>
      <c r="AB211" s="608"/>
      <c r="AC211" s="608"/>
      <c r="AD211" s="608"/>
      <c r="AE211" s="608"/>
      <c r="AF211" s="608"/>
      <c r="AG211" s="608"/>
      <c r="AH211" s="608"/>
      <c r="AI211" s="608"/>
      <c r="AJ211" s="608"/>
      <c r="AK211" s="608"/>
      <c r="AL211" s="608"/>
      <c r="AM211" s="608"/>
      <c r="AN211" s="608"/>
      <c r="AO211" s="608"/>
      <c r="AP211" s="608"/>
      <c r="AQ211" s="608"/>
      <c r="AR211" s="608"/>
      <c r="AS211" s="608"/>
      <c r="AT211" s="608"/>
      <c r="AU211" s="608"/>
      <c r="AV211" s="609"/>
    </row>
    <row r="212" spans="26:48" ht="20.25" customHeight="1" x14ac:dyDescent="0.25">
      <c r="Z212" s="610"/>
      <c r="AA212" s="615"/>
      <c r="AB212" s="615"/>
      <c r="AC212" s="615"/>
      <c r="AD212" s="615"/>
      <c r="AE212" s="615"/>
      <c r="AF212" s="615"/>
      <c r="AG212" s="615"/>
      <c r="AH212" s="615"/>
      <c r="AI212" s="615"/>
      <c r="AJ212" s="615"/>
      <c r="AK212" s="615"/>
      <c r="AL212" s="615"/>
      <c r="AM212" s="615"/>
      <c r="AN212" s="615"/>
      <c r="AO212" s="615"/>
      <c r="AP212" s="615"/>
      <c r="AQ212" s="615"/>
      <c r="AR212" s="615"/>
      <c r="AS212" s="615"/>
      <c r="AT212" s="615"/>
      <c r="AU212" s="615"/>
      <c r="AV212" s="613"/>
    </row>
    <row r="213" spans="26:48" ht="20.25" customHeight="1" x14ac:dyDescent="0.25">
      <c r="Z213" s="610"/>
      <c r="AA213" s="639" t="s">
        <v>258</v>
      </c>
      <c r="AB213" s="639" t="s">
        <v>259</v>
      </c>
      <c r="AC213" s="639"/>
      <c r="AD213" s="640" t="s">
        <v>33</v>
      </c>
      <c r="AE213" s="640" t="s">
        <v>223</v>
      </c>
      <c r="AF213" s="640" t="s">
        <v>224</v>
      </c>
      <c r="AG213" s="641" t="s">
        <v>260</v>
      </c>
      <c r="AH213" s="642"/>
      <c r="AI213" s="642"/>
      <c r="AJ213" s="642"/>
      <c r="AK213" s="642"/>
      <c r="AL213" s="615"/>
      <c r="AM213" s="615"/>
      <c r="AN213" s="615"/>
      <c r="AO213" s="615"/>
      <c r="AP213" s="615"/>
      <c r="AQ213" s="615"/>
      <c r="AR213" s="615"/>
      <c r="AS213" s="615"/>
      <c r="AT213" s="615"/>
      <c r="AU213" s="615"/>
      <c r="AV213" s="613"/>
    </row>
    <row r="214" spans="26:48" ht="20.25" customHeight="1" x14ac:dyDescent="0.25">
      <c r="Z214" s="610"/>
      <c r="AA214" s="639"/>
      <c r="AB214" s="639"/>
      <c r="AC214" s="639"/>
      <c r="AD214" s="643">
        <f>$AK$64</f>
        <v>300</v>
      </c>
      <c r="AE214" s="643">
        <f>$AK$65</f>
        <v>100</v>
      </c>
      <c r="AF214" s="643">
        <f>$AK$66</f>
        <v>130</v>
      </c>
      <c r="AG214" s="644"/>
      <c r="AH214" s="642"/>
      <c r="AI214" s="642"/>
      <c r="AJ214" s="642"/>
      <c r="AK214" s="642"/>
      <c r="AL214" s="615"/>
      <c r="AM214" s="615"/>
      <c r="AN214" s="615"/>
      <c r="AO214" s="615"/>
      <c r="AP214" s="615"/>
      <c r="AQ214" s="615"/>
      <c r="AR214" s="615"/>
      <c r="AS214" s="615"/>
      <c r="AT214" s="615"/>
      <c r="AU214" s="615"/>
      <c r="AV214" s="613"/>
    </row>
    <row r="215" spans="26:48" ht="20.25" customHeight="1" x14ac:dyDescent="0.25">
      <c r="Z215" s="610"/>
      <c r="AA215" s="640">
        <v>1</v>
      </c>
      <c r="AB215" s="645" t="str">
        <f>O74</f>
        <v>Termofosfato YOORIN</v>
      </c>
      <c r="AC215" s="646"/>
      <c r="AD215" s="643">
        <f>IFERROR((VLOOKUP(AB215,$AB$263:$AH$342,3,0)*0.01)*AG215,0)</f>
        <v>0</v>
      </c>
      <c r="AE215" s="643">
        <f>IFERROR((VLOOKUP(AB215,$AB$263:$AH$342,5,0)*0.01)*AG215,0)</f>
        <v>50.000000000000007</v>
      </c>
      <c r="AF215" s="643">
        <f>IFERROR((VLOOKUP(AB215,$AB$263:$AH$342,7,0)*0.01)*AG215,0)</f>
        <v>0</v>
      </c>
      <c r="AG215" s="643">
        <f>IFERROR($AE$214*Q74/(VLOOKUP(AB215,$AB$263:$AH$342,5,0)/100),0)</f>
        <v>285.71428571428572</v>
      </c>
      <c r="AH215" s="642"/>
      <c r="AI215" s="642"/>
      <c r="AJ215" s="642"/>
      <c r="AK215" s="642"/>
      <c r="AL215" s="615"/>
      <c r="AM215" s="615"/>
      <c r="AN215" s="615"/>
      <c r="AO215" s="615"/>
      <c r="AP215" s="615"/>
      <c r="AQ215" s="615"/>
      <c r="AR215" s="615"/>
      <c r="AS215" s="615"/>
      <c r="AT215" s="615"/>
      <c r="AU215" s="615"/>
      <c r="AV215" s="613"/>
    </row>
    <row r="216" spans="26:48" ht="20.25" customHeight="1" x14ac:dyDescent="0.25">
      <c r="Z216" s="610"/>
      <c r="AA216" s="640">
        <v>2</v>
      </c>
      <c r="AB216" s="645" t="str">
        <f>O75</f>
        <v>Superfosfato simples</v>
      </c>
      <c r="AC216" s="646"/>
      <c r="AD216" s="643">
        <f>IFERROR((VLOOKUP(AB216,$AB$263:$AH$342,3,0)*0.01)*AG216,0)</f>
        <v>0</v>
      </c>
      <c r="AE216" s="643">
        <f>IFERROR((VLOOKUP(AB216,$AB$263:$AH$342,5,0)*0.01)*AG216,0)</f>
        <v>50</v>
      </c>
      <c r="AF216" s="643">
        <f>IFERROR((VLOOKUP(AB216,$AB$263:$AH$342,7,0)*0.01)*AG216,0)</f>
        <v>0</v>
      </c>
      <c r="AG216" s="643">
        <f>IFERROR($AE$214*Q75/(VLOOKUP(AB216,$AB$263:$AH$342,5,0)/100),0)</f>
        <v>277.77777777777777</v>
      </c>
      <c r="AH216" s="642"/>
      <c r="AI216" s="642"/>
      <c r="AJ216" s="642"/>
      <c r="AK216" s="642"/>
      <c r="AL216" s="615"/>
      <c r="AM216" s="615"/>
      <c r="AN216" s="615"/>
      <c r="AO216" s="615"/>
      <c r="AP216" s="615"/>
      <c r="AQ216" s="615"/>
      <c r="AR216" s="615"/>
      <c r="AS216" s="615"/>
      <c r="AT216" s="615"/>
      <c r="AU216" s="615"/>
      <c r="AV216" s="613"/>
    </row>
    <row r="217" spans="26:48" ht="20.25" customHeight="1" x14ac:dyDescent="0.25">
      <c r="Z217" s="610"/>
      <c r="AA217" s="640">
        <v>3</v>
      </c>
      <c r="AB217" s="645">
        <f>O76</f>
        <v>0</v>
      </c>
      <c r="AC217" s="646"/>
      <c r="AD217" s="643">
        <f>IFERROR((VLOOKUP(AB217,$AB$263:$AH$342,3,0)*0.01)*AG217,0)</f>
        <v>0</v>
      </c>
      <c r="AE217" s="643">
        <f>IFERROR((VLOOKUP(AB217,$AB$263:$AH$342,5,0)*0.01)*AG217,0)</f>
        <v>0</v>
      </c>
      <c r="AF217" s="643">
        <f>IFERROR((VLOOKUP(AB217,$AB$263:$AH$342,7,0)*0.01)*AG217,0)</f>
        <v>0</v>
      </c>
      <c r="AG217" s="643">
        <f>IFERROR($AE$214*Q76/(VLOOKUP(AB217,$AB$263:$AH$342,5,0)/100),0)</f>
        <v>0</v>
      </c>
      <c r="AH217" s="642"/>
      <c r="AI217" s="642"/>
      <c r="AJ217" s="642"/>
      <c r="AK217" s="642"/>
      <c r="AL217" s="615"/>
      <c r="AM217" s="615"/>
      <c r="AN217" s="615"/>
      <c r="AO217" s="615"/>
      <c r="AP217" s="615"/>
      <c r="AQ217" s="615"/>
      <c r="AR217" s="615"/>
      <c r="AS217" s="615"/>
      <c r="AT217" s="615"/>
      <c r="AU217" s="615"/>
      <c r="AV217" s="613"/>
    </row>
    <row r="218" spans="26:48" ht="20.25" customHeight="1" x14ac:dyDescent="0.25">
      <c r="Z218" s="610"/>
      <c r="AA218" s="642"/>
      <c r="AB218" s="642"/>
      <c r="AC218" s="642"/>
      <c r="AD218" s="647">
        <f>AD214-(SUM(AD215:AD217))</f>
        <v>300</v>
      </c>
      <c r="AE218" s="647">
        <f>AE214-(SUM(AE215:AE217))</f>
        <v>0</v>
      </c>
      <c r="AF218" s="647">
        <f>AF214-(SUM(AF215:AF217))</f>
        <v>130</v>
      </c>
      <c r="AG218" s="647"/>
      <c r="AH218" s="642"/>
      <c r="AI218" s="642"/>
      <c r="AJ218" s="642"/>
      <c r="AK218" s="642"/>
      <c r="AL218" s="615"/>
      <c r="AM218" s="615"/>
      <c r="AN218" s="615"/>
      <c r="AO218" s="615"/>
      <c r="AP218" s="615"/>
      <c r="AQ218" s="615"/>
      <c r="AR218" s="615"/>
      <c r="AS218" s="615"/>
      <c r="AT218" s="615"/>
      <c r="AU218" s="615"/>
      <c r="AV218" s="613"/>
    </row>
    <row r="219" spans="26:48" ht="20.25" customHeight="1" x14ac:dyDescent="0.25">
      <c r="Z219" s="610"/>
      <c r="AA219" s="639" t="s">
        <v>258</v>
      </c>
      <c r="AB219" s="639" t="s">
        <v>259</v>
      </c>
      <c r="AC219" s="639"/>
      <c r="AD219" s="640" t="s">
        <v>33</v>
      </c>
      <c r="AE219" s="640" t="s">
        <v>223</v>
      </c>
      <c r="AF219" s="640" t="s">
        <v>224</v>
      </c>
      <c r="AG219" s="641" t="s">
        <v>260</v>
      </c>
      <c r="AH219" s="642" t="s">
        <v>310</v>
      </c>
      <c r="AI219" s="642"/>
      <c r="AJ219" s="642"/>
      <c r="AK219" s="642"/>
      <c r="AL219" s="615"/>
      <c r="AM219" s="615"/>
      <c r="AN219" s="615"/>
      <c r="AO219" s="615"/>
      <c r="AP219" s="615"/>
      <c r="AQ219" s="615"/>
      <c r="AR219" s="615"/>
      <c r="AS219" s="615"/>
      <c r="AT219" s="615"/>
      <c r="AU219" s="615"/>
      <c r="AV219" s="613"/>
    </row>
    <row r="220" spans="26:48" ht="20.25" customHeight="1" x14ac:dyDescent="0.25">
      <c r="Z220" s="610"/>
      <c r="AA220" s="639"/>
      <c r="AB220" s="639"/>
      <c r="AC220" s="639"/>
      <c r="AD220" s="643">
        <f>AD218</f>
        <v>300</v>
      </c>
      <c r="AE220" s="643">
        <f t="shared" ref="AE220:AF220" si="9">AE218</f>
        <v>0</v>
      </c>
      <c r="AF220" s="643">
        <f t="shared" si="9"/>
        <v>130</v>
      </c>
      <c r="AG220" s="644"/>
      <c r="AH220" s="642"/>
      <c r="AI220" s="642"/>
      <c r="AJ220" s="642"/>
      <c r="AK220" s="642"/>
      <c r="AL220" s="615"/>
      <c r="AM220" s="615"/>
      <c r="AN220" s="615"/>
      <c r="AO220" s="615"/>
      <c r="AP220" s="615"/>
      <c r="AQ220" s="615"/>
      <c r="AR220" s="615"/>
      <c r="AS220" s="615"/>
      <c r="AT220" s="615"/>
      <c r="AU220" s="615"/>
      <c r="AV220" s="613"/>
    </row>
    <row r="221" spans="26:48" ht="20.25" customHeight="1" x14ac:dyDescent="0.25">
      <c r="Z221" s="610"/>
      <c r="AA221" s="640">
        <v>7</v>
      </c>
      <c r="AB221" s="639" t="str">
        <f>O82</f>
        <v>Cloreto de potássio</v>
      </c>
      <c r="AC221" s="639"/>
      <c r="AD221" s="643">
        <f>IFERROR((VLOOKUP(AB221,$AB$263:$AH$342,3,0)*0.01)*AG221,0)</f>
        <v>0</v>
      </c>
      <c r="AE221" s="643">
        <f>IFERROR((VLOOKUP(AB221,$AB$263:$AH$342,5,0)*0.01)*AG221,0)</f>
        <v>0</v>
      </c>
      <c r="AF221" s="643">
        <f>IFERROR((VLOOKUP(AB221,$AB$263:$AH$342,7,0)*0.01)*AG221,0)</f>
        <v>65</v>
      </c>
      <c r="AG221" s="643">
        <f>IFERROR($AF$220*Q82/(VLOOKUP(AB221,$AB$263:$AH$342,7,0)/100),0)</f>
        <v>108.33333333333334</v>
      </c>
      <c r="AH221" s="642"/>
      <c r="AI221" s="642"/>
      <c r="AJ221" s="642"/>
      <c r="AK221" s="642"/>
      <c r="AL221" s="615"/>
      <c r="AM221" s="615"/>
      <c r="AN221" s="615"/>
      <c r="AO221" s="615"/>
      <c r="AP221" s="615"/>
      <c r="AQ221" s="615"/>
      <c r="AR221" s="615"/>
      <c r="AS221" s="615"/>
      <c r="AT221" s="615"/>
      <c r="AU221" s="615"/>
      <c r="AV221" s="613"/>
    </row>
    <row r="222" spans="26:48" ht="20.25" customHeight="1" x14ac:dyDescent="0.25">
      <c r="Z222" s="610"/>
      <c r="AA222" s="640">
        <v>8</v>
      </c>
      <c r="AB222" s="639" t="str">
        <f>O83</f>
        <v>EkoSil</v>
      </c>
      <c r="AC222" s="639"/>
      <c r="AD222" s="643">
        <f>IFERROR((VLOOKUP(AB222,$AB$263:$AH$342,3,0)*0.01)*AG222,0)</f>
        <v>0</v>
      </c>
      <c r="AE222" s="643">
        <f>IFERROR((VLOOKUP(AB222,$AB$263:$AH$342,5,0)*0.01)*AG222,0)</f>
        <v>0</v>
      </c>
      <c r="AF222" s="643">
        <f>IFERROR((VLOOKUP(AB222,$AB$263:$AH$342,7,0)*0.01)*AG222,0)</f>
        <v>65</v>
      </c>
      <c r="AG222" s="643">
        <f>IFERROR($AF$220*Q83/(VLOOKUP(AB222,$AB$263:$AH$342,7,0)/100),0)</f>
        <v>812.5</v>
      </c>
      <c r="AH222" s="642"/>
      <c r="AI222" s="642"/>
      <c r="AJ222" s="642"/>
      <c r="AK222" s="642"/>
      <c r="AL222" s="615"/>
      <c r="AM222" s="615"/>
      <c r="AN222" s="615"/>
      <c r="AO222" s="615"/>
      <c r="AP222" s="615"/>
      <c r="AQ222" s="615"/>
      <c r="AR222" s="615"/>
      <c r="AS222" s="615"/>
      <c r="AT222" s="615"/>
      <c r="AU222" s="615"/>
      <c r="AV222" s="613"/>
    </row>
    <row r="223" spans="26:48" ht="20.25" customHeight="1" x14ac:dyDescent="0.25">
      <c r="Z223" s="610"/>
      <c r="AA223" s="640">
        <v>9</v>
      </c>
      <c r="AB223" s="639">
        <f>O84</f>
        <v>0</v>
      </c>
      <c r="AC223" s="639"/>
      <c r="AD223" s="643">
        <f>IFERROR((VLOOKUP(AB223,$AB$263:$AH$342,3,0)*0.01)*AG223,0)</f>
        <v>0</v>
      </c>
      <c r="AE223" s="643">
        <f>IFERROR((VLOOKUP(AB223,$AB$263:$AH$342,5,0)*0.01)*AG223,0)</f>
        <v>0</v>
      </c>
      <c r="AF223" s="643">
        <f>IFERROR((VLOOKUP(AB223,$AB$263:$AH$342,7,0)*0.01)*AG223,0)</f>
        <v>0</v>
      </c>
      <c r="AG223" s="643">
        <f>IFERROR($AF$220*Q84/(VLOOKUP(AB223,$AB$263:$AH$342,7,0)/100),0)</f>
        <v>0</v>
      </c>
      <c r="AH223" s="642"/>
      <c r="AI223" s="642"/>
      <c r="AJ223" s="642"/>
      <c r="AK223" s="642"/>
      <c r="AL223" s="615"/>
      <c r="AM223" s="615"/>
      <c r="AN223" s="615"/>
      <c r="AO223" s="615"/>
      <c r="AP223" s="615"/>
      <c r="AQ223" s="615"/>
      <c r="AR223" s="615"/>
      <c r="AS223" s="615"/>
      <c r="AT223" s="615"/>
      <c r="AU223" s="615"/>
      <c r="AV223" s="613"/>
    </row>
    <row r="224" spans="26:48" ht="20.25" customHeight="1" x14ac:dyDescent="0.25">
      <c r="Z224" s="610"/>
      <c r="AA224" s="642"/>
      <c r="AB224" s="642"/>
      <c r="AC224" s="642"/>
      <c r="AD224" s="647">
        <f>AD220-(SUM(AD221:AD223))</f>
        <v>300</v>
      </c>
      <c r="AE224" s="647">
        <f>AE220-(SUM(AE221:AE223))</f>
        <v>0</v>
      </c>
      <c r="AF224" s="647">
        <f>AF220-(SUM(AF221:AF223))</f>
        <v>0</v>
      </c>
      <c r="AG224" s="642"/>
      <c r="AH224" s="642"/>
      <c r="AI224" s="642"/>
      <c r="AJ224" s="642"/>
      <c r="AK224" s="642"/>
      <c r="AL224" s="615"/>
      <c r="AM224" s="615"/>
      <c r="AN224" s="615"/>
      <c r="AO224" s="615"/>
      <c r="AP224" s="615"/>
      <c r="AQ224" s="615"/>
      <c r="AR224" s="615"/>
      <c r="AS224" s="615"/>
      <c r="AT224" s="615"/>
      <c r="AU224" s="615"/>
      <c r="AV224" s="613"/>
    </row>
    <row r="225" spans="26:48" ht="20.25" customHeight="1" x14ac:dyDescent="0.25">
      <c r="Z225" s="610"/>
      <c r="AA225" s="639" t="s">
        <v>258</v>
      </c>
      <c r="AB225" s="639" t="s">
        <v>259</v>
      </c>
      <c r="AC225" s="639"/>
      <c r="AD225" s="640" t="s">
        <v>33</v>
      </c>
      <c r="AE225" s="640" t="s">
        <v>223</v>
      </c>
      <c r="AF225" s="640" t="s">
        <v>224</v>
      </c>
      <c r="AG225" s="641" t="s">
        <v>260</v>
      </c>
      <c r="AH225" s="642"/>
      <c r="AI225" s="642"/>
      <c r="AJ225" s="642"/>
      <c r="AK225" s="642"/>
      <c r="AL225" s="615"/>
      <c r="AM225" s="615"/>
      <c r="AN225" s="615"/>
      <c r="AO225" s="615"/>
      <c r="AP225" s="615"/>
      <c r="AQ225" s="615"/>
      <c r="AR225" s="615"/>
      <c r="AS225" s="615"/>
      <c r="AT225" s="615"/>
      <c r="AU225" s="615"/>
      <c r="AV225" s="613"/>
    </row>
    <row r="226" spans="26:48" ht="20.25" customHeight="1" x14ac:dyDescent="0.25">
      <c r="Z226" s="610"/>
      <c r="AA226" s="639"/>
      <c r="AB226" s="639"/>
      <c r="AC226" s="639"/>
      <c r="AD226" s="643">
        <f>AD224</f>
        <v>300</v>
      </c>
      <c r="AE226" s="643">
        <f t="shared" ref="AE226:AF226" si="10">AE224</f>
        <v>0</v>
      </c>
      <c r="AF226" s="643">
        <f t="shared" si="10"/>
        <v>0</v>
      </c>
      <c r="AG226" s="644"/>
      <c r="AH226" s="642"/>
      <c r="AI226" s="642"/>
      <c r="AJ226" s="642"/>
      <c r="AK226" s="642"/>
      <c r="AL226" s="615"/>
      <c r="AM226" s="615"/>
      <c r="AN226" s="615"/>
      <c r="AO226" s="615"/>
      <c r="AP226" s="615"/>
      <c r="AQ226" s="615"/>
      <c r="AR226" s="615"/>
      <c r="AS226" s="615"/>
      <c r="AT226" s="615"/>
      <c r="AU226" s="615"/>
      <c r="AV226" s="613"/>
    </row>
    <row r="227" spans="26:48" ht="20.25" customHeight="1" x14ac:dyDescent="0.25">
      <c r="Z227" s="610"/>
      <c r="AA227" s="640">
        <v>13</v>
      </c>
      <c r="AB227" s="639" t="str">
        <f>O90</f>
        <v>Nitrato de Amônio</v>
      </c>
      <c r="AC227" s="639"/>
      <c r="AD227" s="643">
        <f>IFERROR((VLOOKUP(AB227,$AB$263:$AH$342,3,0)*0.01)*AG227,0)</f>
        <v>300</v>
      </c>
      <c r="AE227" s="643">
        <f>IFERROR((VLOOKUP(AB227,$AB$263:$AH$342,5,0)*0.01)*AG227,0)</f>
        <v>0</v>
      </c>
      <c r="AF227" s="643">
        <f>IFERROR((VLOOKUP(AB227,$AB$263:$AH$342,7,0)*0.01)*AG227,0)</f>
        <v>0</v>
      </c>
      <c r="AG227" s="643">
        <f>IFERROR($AD$226*Q90/(VLOOKUP(AB227,$AB$263:$AH$342,3,0)/100),0)</f>
        <v>1034.4827586206898</v>
      </c>
      <c r="AH227" s="642"/>
      <c r="AI227" s="642"/>
      <c r="AJ227" s="642"/>
      <c r="AK227" s="642"/>
      <c r="AL227" s="615"/>
      <c r="AM227" s="615"/>
      <c r="AN227" s="615"/>
      <c r="AO227" s="615"/>
      <c r="AP227" s="615"/>
      <c r="AQ227" s="615"/>
      <c r="AR227" s="615"/>
      <c r="AS227" s="615"/>
      <c r="AT227" s="615"/>
      <c r="AU227" s="615"/>
      <c r="AV227" s="613"/>
    </row>
    <row r="228" spans="26:48" ht="20.25" customHeight="1" x14ac:dyDescent="0.25">
      <c r="Z228" s="610"/>
      <c r="AA228" s="640">
        <v>14</v>
      </c>
      <c r="AB228" s="639">
        <f>O91</f>
        <v>0</v>
      </c>
      <c r="AC228" s="639"/>
      <c r="AD228" s="643">
        <f>IFERROR((VLOOKUP(AB228,$AB$263:$AH$342,3,0)*0.01)*AG228,0)</f>
        <v>0</v>
      </c>
      <c r="AE228" s="643">
        <f>IFERROR((VLOOKUP(AB228,$AB$263:$AH$342,5,0)*0.01)*AG228,0)</f>
        <v>0</v>
      </c>
      <c r="AF228" s="643">
        <f>IFERROR((VLOOKUP(AB228,$AB$263:$AH$342,7,0)*0.01)*AG228,0)</f>
        <v>0</v>
      </c>
      <c r="AG228" s="643">
        <f>IFERROR($AD$226*Q91/(VLOOKUP(AB228,$AB$263:$AH$342,3,0)/100),0)</f>
        <v>0</v>
      </c>
      <c r="AH228" s="642"/>
      <c r="AI228" s="642"/>
      <c r="AJ228" s="642"/>
      <c r="AK228" s="642"/>
      <c r="AL228" s="615"/>
      <c r="AM228" s="615"/>
      <c r="AN228" s="615"/>
      <c r="AO228" s="615"/>
      <c r="AP228" s="615"/>
      <c r="AQ228" s="615"/>
      <c r="AR228" s="615"/>
      <c r="AS228" s="615"/>
      <c r="AT228" s="615"/>
      <c r="AU228" s="615"/>
      <c r="AV228" s="613"/>
    </row>
    <row r="229" spans="26:48" ht="20.25" customHeight="1" x14ac:dyDescent="0.25">
      <c r="Z229" s="610"/>
      <c r="AA229" s="640">
        <v>15</v>
      </c>
      <c r="AB229" s="639">
        <f>O92</f>
        <v>0</v>
      </c>
      <c r="AC229" s="639"/>
      <c r="AD229" s="643">
        <f>IFERROR((VLOOKUP(AB229,$AB$263:$AH$342,3,0)*0.01)*AG229,0)</f>
        <v>0</v>
      </c>
      <c r="AE229" s="643">
        <f>IFERROR((VLOOKUP(AB229,$AB$263:$AH$342,5,0)*0.01)*AG229,0)</f>
        <v>0</v>
      </c>
      <c r="AF229" s="643">
        <f>IFERROR((VLOOKUP(AB229,$AB$263:$AH$342,7,0)*0.01)*AG229,0)</f>
        <v>0</v>
      </c>
      <c r="AG229" s="643">
        <f>IFERROR($AD$226*Q92/(VLOOKUP(AB229,$AB$263:$AH$342,3,0)/100),0)</f>
        <v>0</v>
      </c>
      <c r="AH229" s="642"/>
      <c r="AI229" s="642"/>
      <c r="AJ229" s="642"/>
      <c r="AK229" s="642"/>
      <c r="AL229" s="615"/>
      <c r="AM229" s="615"/>
      <c r="AN229" s="615"/>
      <c r="AO229" s="615"/>
      <c r="AP229" s="615"/>
      <c r="AQ229" s="615"/>
      <c r="AR229" s="615"/>
      <c r="AS229" s="615"/>
      <c r="AT229" s="615"/>
      <c r="AU229" s="615"/>
      <c r="AV229" s="613"/>
    </row>
    <row r="230" spans="26:48" ht="20.25" customHeight="1" x14ac:dyDescent="0.25">
      <c r="Z230" s="610"/>
      <c r="AA230" s="642"/>
      <c r="AB230" s="642"/>
      <c r="AC230" s="642"/>
      <c r="AD230" s="647">
        <f>AD226-(SUM(AD227:AD229))</f>
        <v>0</v>
      </c>
      <c r="AE230" s="647">
        <f t="shared" ref="AE230:AF230" si="11">AE226-(SUM(AE227:AE229))</f>
        <v>0</v>
      </c>
      <c r="AF230" s="647">
        <f t="shared" si="11"/>
        <v>0</v>
      </c>
      <c r="AG230" s="647"/>
      <c r="AH230" s="642"/>
      <c r="AI230" s="642"/>
      <c r="AJ230" s="642"/>
      <c r="AK230" s="642"/>
      <c r="AL230" s="615"/>
      <c r="AM230" s="615"/>
      <c r="AN230" s="615"/>
      <c r="AO230" s="615"/>
      <c r="AP230" s="615"/>
      <c r="AQ230" s="615"/>
      <c r="AR230" s="615"/>
      <c r="AS230" s="615"/>
      <c r="AT230" s="615"/>
      <c r="AU230" s="615"/>
      <c r="AV230" s="613"/>
    </row>
    <row r="231" spans="26:48" ht="20.25" customHeight="1" x14ac:dyDescent="0.25">
      <c r="Z231" s="610"/>
      <c r="AA231" s="642"/>
      <c r="AB231" s="642"/>
      <c r="AC231" s="642"/>
      <c r="AD231" s="642"/>
      <c r="AE231" s="642"/>
      <c r="AF231" s="642"/>
      <c r="AG231" s="642"/>
      <c r="AH231" s="642"/>
      <c r="AI231" s="642"/>
      <c r="AJ231" s="642"/>
      <c r="AK231" s="642"/>
      <c r="AL231" s="615"/>
      <c r="AM231" s="615"/>
      <c r="AN231" s="615"/>
      <c r="AO231" s="615"/>
      <c r="AP231" s="615"/>
      <c r="AQ231" s="615"/>
      <c r="AR231" s="615"/>
      <c r="AS231" s="615"/>
      <c r="AT231" s="615"/>
      <c r="AU231" s="615"/>
      <c r="AV231" s="613"/>
    </row>
    <row r="232" spans="26:48" ht="20.25" customHeight="1" x14ac:dyDescent="0.25">
      <c r="Z232" s="610"/>
      <c r="AA232" s="642"/>
      <c r="AB232" s="642"/>
      <c r="AC232" s="642"/>
      <c r="AD232" s="642"/>
      <c r="AE232" s="642"/>
      <c r="AF232" s="642"/>
      <c r="AG232" s="642"/>
      <c r="AH232" s="642"/>
      <c r="AI232" s="642"/>
      <c r="AJ232" s="642"/>
      <c r="AK232" s="642"/>
      <c r="AL232" s="615"/>
      <c r="AM232" s="615"/>
      <c r="AN232" s="615"/>
      <c r="AO232" s="615"/>
      <c r="AP232" s="615"/>
      <c r="AQ232" s="615"/>
      <c r="AR232" s="615"/>
      <c r="AS232" s="615"/>
      <c r="AT232" s="615"/>
      <c r="AU232" s="615"/>
      <c r="AV232" s="613"/>
    </row>
    <row r="233" spans="26:48" ht="20.25" customHeight="1" x14ac:dyDescent="0.25">
      <c r="Z233" s="610"/>
      <c r="AA233" s="642"/>
      <c r="AB233" s="642"/>
      <c r="AC233" s="642"/>
      <c r="AD233" s="647">
        <f>AD235-(SUM(AD236:AD245))</f>
        <v>9.599327586206897</v>
      </c>
      <c r="AE233" s="647">
        <f t="shared" ref="AE233:AG233" si="12">AE235-(SUM(AE236:AE245))</f>
        <v>-6.7241379310344822E-4</v>
      </c>
      <c r="AF233" s="647">
        <f t="shared" si="12"/>
        <v>-1.2931034482758623E-3</v>
      </c>
      <c r="AG233" s="647">
        <f t="shared" si="12"/>
        <v>-1.4482758620689657E-4</v>
      </c>
      <c r="AH233" s="642"/>
      <c r="AI233" s="642"/>
      <c r="AJ233" s="642"/>
      <c r="AK233" s="642"/>
      <c r="AL233" s="615"/>
      <c r="AM233" s="615"/>
      <c r="AN233" s="615"/>
      <c r="AO233" s="615"/>
      <c r="AP233" s="615"/>
      <c r="AQ233" s="615"/>
      <c r="AR233" s="615"/>
      <c r="AS233" s="615"/>
      <c r="AT233" s="615"/>
      <c r="AU233" s="615"/>
      <c r="AV233" s="613"/>
    </row>
    <row r="234" spans="26:48" ht="20.25" customHeight="1" x14ac:dyDescent="0.25">
      <c r="Z234" s="610"/>
      <c r="AA234" s="639" t="s">
        <v>258</v>
      </c>
      <c r="AB234" s="639" t="s">
        <v>259</v>
      </c>
      <c r="AC234" s="639"/>
      <c r="AD234" s="640" t="s">
        <v>84</v>
      </c>
      <c r="AE234" s="640" t="s">
        <v>87</v>
      </c>
      <c r="AF234" s="640" t="s">
        <v>85</v>
      </c>
      <c r="AG234" s="640" t="s">
        <v>86</v>
      </c>
      <c r="AH234" s="642"/>
      <c r="AI234" s="642"/>
      <c r="AJ234" s="642"/>
      <c r="AK234" s="642"/>
      <c r="AL234" s="615"/>
      <c r="AM234" s="615"/>
      <c r="AN234" s="615"/>
      <c r="AO234" s="615"/>
      <c r="AP234" s="615"/>
      <c r="AQ234" s="615"/>
      <c r="AR234" s="615"/>
      <c r="AS234" s="615"/>
      <c r="AT234" s="615"/>
      <c r="AU234" s="615"/>
      <c r="AV234" s="613"/>
    </row>
    <row r="235" spans="26:48" ht="20.25" customHeight="1" x14ac:dyDescent="0.25">
      <c r="Z235" s="610"/>
      <c r="AA235" s="639"/>
      <c r="AB235" s="639"/>
      <c r="AC235" s="639"/>
      <c r="AD235" s="643">
        <f>AJ31</f>
        <v>9.6</v>
      </c>
      <c r="AE235" s="643">
        <f>AJ34</f>
        <v>0</v>
      </c>
      <c r="AF235" s="643">
        <f>AJ37</f>
        <v>0</v>
      </c>
      <c r="AG235" s="643">
        <f>AJ40</f>
        <v>0</v>
      </c>
      <c r="AH235" s="642"/>
      <c r="AI235" s="642"/>
      <c r="AJ235" s="642"/>
      <c r="AK235" s="642"/>
      <c r="AL235" s="615"/>
      <c r="AM235" s="615"/>
      <c r="AN235" s="615"/>
      <c r="AO235" s="615"/>
      <c r="AP235" s="615"/>
      <c r="AQ235" s="615"/>
      <c r="AR235" s="615"/>
      <c r="AS235" s="615"/>
      <c r="AT235" s="615"/>
      <c r="AU235" s="615"/>
      <c r="AV235" s="613"/>
    </row>
    <row r="236" spans="26:48" ht="20.25" customHeight="1" x14ac:dyDescent="0.25">
      <c r="Z236" s="610"/>
      <c r="AA236" s="639" t="s">
        <v>261</v>
      </c>
      <c r="AB236" s="639" t="str">
        <f>B29</f>
        <v>Micaxisto (61) 3233-9368</v>
      </c>
      <c r="AC236" s="639"/>
      <c r="AD236" s="643">
        <f>IFERROR(VLOOKUP(AB236,$AB$263:$AR$342,11,0)*0.01*VLOOKUP(AB236,$B$27:$J$47,9,0),0)</f>
        <v>0</v>
      </c>
      <c r="AE236" s="643">
        <f>IFERROR(VLOOKUP(AB236,$AB$263:$AR$342,12,0)*0.01*VLOOKUP(AB236,$B$27:$J$47,9,0),0)</f>
        <v>0</v>
      </c>
      <c r="AF236" s="643">
        <f>IFERROR(VLOOKUP(AB236,$AB$263:$AR$342,13,0)*0.01*VLOOKUP(AB236,$B$27:$J$47,9,0),0)</f>
        <v>0</v>
      </c>
      <c r="AG236" s="643">
        <f>IFERROR(VLOOKUP(AB236,$AB$263:$AR$342,14,0)*0.01*VLOOKUP(AB236,$B$27:$J$47,9,0),0)</f>
        <v>0</v>
      </c>
      <c r="AH236" s="642"/>
      <c r="AI236" s="642"/>
      <c r="AJ236" s="642"/>
      <c r="AK236" s="642"/>
      <c r="AL236" s="615"/>
      <c r="AM236" s="615"/>
      <c r="AN236" s="615"/>
      <c r="AO236" s="615"/>
      <c r="AP236" s="615"/>
      <c r="AQ236" s="615"/>
      <c r="AR236" s="615"/>
      <c r="AS236" s="615"/>
      <c r="AT236" s="615"/>
      <c r="AU236" s="615"/>
      <c r="AV236" s="613"/>
    </row>
    <row r="237" spans="26:48" ht="20.25" customHeight="1" x14ac:dyDescent="0.25">
      <c r="Z237" s="610"/>
      <c r="AA237" s="639"/>
      <c r="AB237" s="639" t="str">
        <f>B41</f>
        <v>Termofosfato YOORIN</v>
      </c>
      <c r="AC237" s="639"/>
      <c r="AD237" s="643">
        <f>IFERROR(VLOOKUP(AB237,$AB$263:$AR$342,11,0)*0.01*VLOOKUP(AB237,$B$27:$J$47,9,0),0)</f>
        <v>0</v>
      </c>
      <c r="AE237" s="643">
        <f>IFERROR(VLOOKUP(AB237,$AB$263:$AR$342,12,0)*0.01*VLOOKUP(AB237,$B$27:$J$47,9,0),0)</f>
        <v>0</v>
      </c>
      <c r="AF237" s="643">
        <f>IFERROR(VLOOKUP(AB237,$AB$263:$AR$342,13,0)*0.01*VLOOKUP(AB237,$B$27:$J$47,9,0),0)</f>
        <v>0</v>
      </c>
      <c r="AG237" s="643">
        <f>IFERROR(VLOOKUP(AB237,$AB$263:$AR$342,14,0)*0.01*VLOOKUP(AB237,$B$27:$J$47,9,0),0)</f>
        <v>0</v>
      </c>
      <c r="AH237" s="642"/>
      <c r="AI237" s="642"/>
      <c r="AJ237" s="642"/>
      <c r="AK237" s="642"/>
      <c r="AL237" s="615"/>
      <c r="AM237" s="615"/>
      <c r="AN237" s="615"/>
      <c r="AO237" s="615"/>
      <c r="AP237" s="615"/>
      <c r="AQ237" s="615"/>
      <c r="AR237" s="615"/>
      <c r="AS237" s="615"/>
      <c r="AT237" s="615"/>
      <c r="AU237" s="615"/>
      <c r="AV237" s="613"/>
    </row>
    <row r="238" spans="26:48" ht="20.25" customHeight="1" x14ac:dyDescent="0.25">
      <c r="Z238" s="610"/>
      <c r="AA238" s="639"/>
      <c r="AB238" s="639" t="str">
        <f>B42</f>
        <v>Superfosfato simples</v>
      </c>
      <c r="AC238" s="639"/>
      <c r="AD238" s="643">
        <f>IFERROR(VLOOKUP(AB238,$AB$263:$AR$342,11,0)*0.01*VLOOKUP(AB238,$B$27:$J$47,9,0),0)</f>
        <v>0</v>
      </c>
      <c r="AE238" s="643">
        <f>IFERROR(VLOOKUP(AB238,$AB$263:$AR$342,12,0)*0.01*VLOOKUP(AB238,$B$27:$J$47,9,0),0)</f>
        <v>0</v>
      </c>
      <c r="AF238" s="643">
        <f>IFERROR(VLOOKUP(AB238,$AB$263:$AR$342,13,0)*0.01*VLOOKUP(AB238,$B$27:$J$47,9,0),0)</f>
        <v>0</v>
      </c>
      <c r="AG238" s="643">
        <f>IFERROR(VLOOKUP(AB238,$AB$263:$AR$342,14,0)*0.01*VLOOKUP(AB238,$B$27:$J$47,9,0),0)</f>
        <v>0</v>
      </c>
      <c r="AH238" s="642"/>
      <c r="AI238" s="642"/>
      <c r="AJ238" s="642"/>
      <c r="AK238" s="642"/>
      <c r="AL238" s="615"/>
      <c r="AM238" s="615"/>
      <c r="AN238" s="615"/>
      <c r="AO238" s="615"/>
      <c r="AP238" s="615"/>
      <c r="AQ238" s="615"/>
      <c r="AR238" s="615"/>
      <c r="AS238" s="615"/>
      <c r="AT238" s="615"/>
      <c r="AU238" s="615"/>
      <c r="AV238" s="613"/>
    </row>
    <row r="239" spans="26:48" ht="20.25" customHeight="1" x14ac:dyDescent="0.25">
      <c r="Z239" s="610"/>
      <c r="AA239" s="639"/>
      <c r="AB239" s="639" t="str">
        <f>B43</f>
        <v>-</v>
      </c>
      <c r="AC239" s="639"/>
      <c r="AD239" s="643">
        <f>IFERROR(VLOOKUP(AB239,$AB$263:$AR$342,11,0)*0.01*VLOOKUP(AB239,$B$27:$J$47,9,0),0)</f>
        <v>0</v>
      </c>
      <c r="AE239" s="643">
        <f>IFERROR(VLOOKUP(AB239,$AB$263:$AR$342,12,0)*0.01*VLOOKUP(AB239,$B$27:$J$47,9,0),0)</f>
        <v>0</v>
      </c>
      <c r="AF239" s="643">
        <f>IFERROR(VLOOKUP(AB239,$AB$263:$AR$342,13,0)*0.01*VLOOKUP(AB239,$B$27:$J$47,9,0),0)</f>
        <v>0</v>
      </c>
      <c r="AG239" s="643">
        <f>IFERROR(VLOOKUP(AB239,$AB$263:$AR$342,14,0)*0.01*VLOOKUP(AB239,$B$27:$J$47,9,0),0)</f>
        <v>0</v>
      </c>
      <c r="AH239" s="642"/>
      <c r="AI239" s="642"/>
      <c r="AJ239" s="642"/>
      <c r="AK239" s="642"/>
      <c r="AL239" s="615"/>
      <c r="AM239" s="615"/>
      <c r="AN239" s="615"/>
      <c r="AO239" s="615"/>
      <c r="AP239" s="615"/>
      <c r="AQ239" s="615"/>
      <c r="AR239" s="615"/>
      <c r="AS239" s="615"/>
      <c r="AT239" s="615"/>
      <c r="AU239" s="615"/>
      <c r="AV239" s="613"/>
    </row>
    <row r="240" spans="26:48" ht="20.25" customHeight="1" x14ac:dyDescent="0.25">
      <c r="Z240" s="610"/>
      <c r="AA240" s="639"/>
      <c r="AB240" s="639" t="str">
        <f>B44</f>
        <v>Cloreto de potássio</v>
      </c>
      <c r="AC240" s="639"/>
      <c r="AD240" s="643">
        <f>IFERROR(VLOOKUP(AB240,$AB$263:$AR$342,11,0)*0.01*VLOOKUP(AB240,$B$27:$J$47,9,0),0)</f>
        <v>0</v>
      </c>
      <c r="AE240" s="643">
        <f>IFERROR(VLOOKUP(AB240,$AB$263:$AR$342,12,0)*0.01*VLOOKUP(AB240,$B$27:$J$47,9,0),0)</f>
        <v>0</v>
      </c>
      <c r="AF240" s="643">
        <f>IFERROR(VLOOKUP(AB240,$AB$263:$AR$342,13,0)*0.01*VLOOKUP(AB240,$B$27:$J$47,9,0),0)</f>
        <v>0</v>
      </c>
      <c r="AG240" s="643">
        <f>IFERROR(VLOOKUP(AB240,$AB$263:$AR$342,14,0)*0.01*VLOOKUP(AB240,$B$27:$J$47,9,0),0)</f>
        <v>0</v>
      </c>
      <c r="AH240" s="642"/>
      <c r="AI240" s="642"/>
      <c r="AJ240" s="642"/>
      <c r="AK240" s="642"/>
      <c r="AL240" s="615"/>
      <c r="AM240" s="615"/>
      <c r="AN240" s="615"/>
      <c r="AO240" s="615"/>
      <c r="AP240" s="615"/>
      <c r="AQ240" s="615"/>
      <c r="AR240" s="615"/>
      <c r="AS240" s="615"/>
      <c r="AT240" s="615"/>
      <c r="AU240" s="615"/>
      <c r="AV240" s="613"/>
    </row>
    <row r="241" spans="26:48" ht="20.25" customHeight="1" x14ac:dyDescent="0.25">
      <c r="Z241" s="610"/>
      <c r="AA241" s="639"/>
      <c r="AB241" s="639" t="str">
        <f>B45</f>
        <v>EkoSil</v>
      </c>
      <c r="AC241" s="639"/>
      <c r="AD241" s="643">
        <f>IFERROR(VLOOKUP(AB241,$AB$263:$AR$342,11,0)*0.01*VLOOKUP(AB241,$B$27:$J$47,9,0),0)</f>
        <v>6.7241379310344822E-4</v>
      </c>
      <c r="AE241" s="643">
        <f>IFERROR(VLOOKUP(AB241,$AB$263:$AR$342,12,0)*0.01*VLOOKUP(AB241,$B$27:$J$47,9,0),0)</f>
        <v>6.7241379310344822E-4</v>
      </c>
      <c r="AF241" s="643">
        <f>IFERROR(VLOOKUP(AB241,$AB$263:$AR$342,13,0)*0.01*VLOOKUP(AB241,$B$27:$J$47,9,0),0)</f>
        <v>1.2931034482758623E-3</v>
      </c>
      <c r="AG241" s="643">
        <f>IFERROR(VLOOKUP(AB241,$AB$263:$AR$342,14,0)*0.01*VLOOKUP(AB241,$B$27:$J$47,9,0),0)</f>
        <v>1.4482758620689657E-4</v>
      </c>
      <c r="AH241" s="642"/>
      <c r="AI241" s="642"/>
      <c r="AJ241" s="642"/>
      <c r="AK241" s="642"/>
      <c r="AL241" s="615"/>
      <c r="AM241" s="615"/>
      <c r="AN241" s="615"/>
      <c r="AO241" s="615"/>
      <c r="AP241" s="615"/>
      <c r="AQ241" s="615"/>
      <c r="AR241" s="615"/>
      <c r="AS241" s="615"/>
      <c r="AT241" s="615"/>
      <c r="AU241" s="615"/>
      <c r="AV241" s="613"/>
    </row>
    <row r="242" spans="26:48" ht="20.25" customHeight="1" x14ac:dyDescent="0.25">
      <c r="Z242" s="610"/>
      <c r="AA242" s="639"/>
      <c r="AB242" s="639" t="str">
        <f>B46</f>
        <v>-</v>
      </c>
      <c r="AC242" s="639"/>
      <c r="AD242" s="643">
        <f>IFERROR(VLOOKUP(AB242,$AB$263:$AR$342,11,0)*0.01*VLOOKUP(AB242,$B$27:$J$47,9,0),0)</f>
        <v>0</v>
      </c>
      <c r="AE242" s="643">
        <f>IFERROR(VLOOKUP(AB242,$AB$263:$AR$342,12,0)*0.01*VLOOKUP(AB242,$B$27:$J$47,9,0),0)</f>
        <v>0</v>
      </c>
      <c r="AF242" s="643">
        <f>IFERROR(VLOOKUP(AB242,$AB$263:$AR$342,13,0)*0.01*VLOOKUP(AB242,$B$27:$J$47,9,0),0)</f>
        <v>0</v>
      </c>
      <c r="AG242" s="643">
        <f>IFERROR(VLOOKUP(AB242,$AB$263:$AR$342,14,0)*0.01*VLOOKUP(AB242,$B$27:$J$47,9,0),0)</f>
        <v>0</v>
      </c>
      <c r="AH242" s="642"/>
      <c r="AI242" s="642"/>
      <c r="AJ242" s="642"/>
      <c r="AK242" s="642"/>
      <c r="AL242" s="615"/>
      <c r="AM242" s="615"/>
      <c r="AN242" s="615"/>
      <c r="AO242" s="615"/>
      <c r="AP242" s="615"/>
      <c r="AQ242" s="615"/>
      <c r="AR242" s="615"/>
      <c r="AS242" s="615"/>
      <c r="AT242" s="615"/>
      <c r="AU242" s="615"/>
      <c r="AV242" s="613"/>
    </row>
    <row r="243" spans="26:48" ht="20.25" customHeight="1" x14ac:dyDescent="0.25">
      <c r="Z243" s="610"/>
      <c r="AA243" s="639"/>
      <c r="AB243" s="639" t="str">
        <f>B47</f>
        <v>Nitrato de Amônio</v>
      </c>
      <c r="AC243" s="639"/>
      <c r="AD243" s="643">
        <f>IFERROR(VLOOKUP(AB243,$AB$263:$AR$342,11,0)*0.01*VLOOKUP(AB243,$B$27:$J$47,9,0),0)</f>
        <v>0</v>
      </c>
      <c r="AE243" s="643">
        <f>IFERROR(VLOOKUP(AB243,$AB$263:$AR$342,12,0)*0.01*VLOOKUP(AB243,$B$27:$J$47,9,0),0)</f>
        <v>0</v>
      </c>
      <c r="AF243" s="643">
        <f>IFERROR(VLOOKUP(AB243,$AB$263:$AR$342,13,0)*0.01*VLOOKUP(AB243,$B$27:$J$47,9,0),0)</f>
        <v>0</v>
      </c>
      <c r="AG243" s="643">
        <f>IFERROR(VLOOKUP(AB243,$AB$263:$AR$342,14,0)*0.01*VLOOKUP(AB243,$B$27:$J$47,9,0),0)</f>
        <v>0</v>
      </c>
      <c r="AH243" s="642"/>
      <c r="AI243" s="642"/>
      <c r="AJ243" s="642"/>
      <c r="AK243" s="642"/>
      <c r="AL243" s="615"/>
      <c r="AM243" s="615"/>
      <c r="AN243" s="615"/>
      <c r="AO243" s="615"/>
      <c r="AP243" s="615"/>
      <c r="AQ243" s="615"/>
      <c r="AR243" s="615"/>
      <c r="AS243" s="615"/>
      <c r="AT243" s="615"/>
      <c r="AU243" s="615"/>
      <c r="AV243" s="613"/>
    </row>
    <row r="244" spans="26:48" ht="20.25" customHeight="1" x14ac:dyDescent="0.25">
      <c r="Z244" s="610"/>
      <c r="AA244" s="639"/>
      <c r="AB244" s="639" t="str">
        <f>B48</f>
        <v>-</v>
      </c>
      <c r="AC244" s="639"/>
      <c r="AD244" s="643">
        <f>IFERROR(VLOOKUP(AB244,$AB$263:$AR$342,11,0)*0.01*VLOOKUP(AB244,$B$27:$J$47,9,0),0)</f>
        <v>0</v>
      </c>
      <c r="AE244" s="643">
        <f>IFERROR(VLOOKUP(AB244,$AB$263:$AR$342,12,0)*0.01*VLOOKUP(AB244,$B$27:$J$47,9,0),0)</f>
        <v>0</v>
      </c>
      <c r="AF244" s="643">
        <f>IFERROR(VLOOKUP(AB244,$AB$263:$AR$342,13,0)*0.01*VLOOKUP(AB244,$B$27:$J$47,9,0),0)</f>
        <v>0</v>
      </c>
      <c r="AG244" s="643">
        <f>IFERROR(VLOOKUP(AB244,$AB$263:$AR$342,14,0)*0.01*VLOOKUP(AB244,$B$27:$J$47,9,0),0)</f>
        <v>0</v>
      </c>
      <c r="AH244" s="642"/>
      <c r="AI244" s="642"/>
      <c r="AJ244" s="642"/>
      <c r="AK244" s="642"/>
      <c r="AL244" s="615"/>
      <c r="AM244" s="615"/>
      <c r="AN244" s="615"/>
      <c r="AO244" s="615"/>
      <c r="AP244" s="615"/>
      <c r="AQ244" s="615"/>
      <c r="AR244" s="615"/>
      <c r="AS244" s="615"/>
      <c r="AT244" s="615"/>
      <c r="AU244" s="615"/>
      <c r="AV244" s="613"/>
    </row>
    <row r="245" spans="26:48" ht="20.25" customHeight="1" x14ac:dyDescent="0.25">
      <c r="Z245" s="610"/>
      <c r="AA245" s="639"/>
      <c r="AB245" s="639" t="str">
        <f>B49</f>
        <v>-</v>
      </c>
      <c r="AC245" s="639"/>
      <c r="AD245" s="643">
        <f>IFERROR(VLOOKUP(AB245,$AB$263:$AR$342,11,0)*0.01*VLOOKUP(AB245,$B$27:$J$47,9,0),0)</f>
        <v>0</v>
      </c>
      <c r="AE245" s="643">
        <f>IFERROR(VLOOKUP(AB245,$AB$263:$AR$342,12,0)*0.01*VLOOKUP(AB245,$B$27:$J$47,9,0),0)</f>
        <v>0</v>
      </c>
      <c r="AF245" s="643">
        <f>IFERROR(VLOOKUP(AB245,$AB$263:$AR$342,13,0)*0.01*VLOOKUP(AB245,$B$27:$J$47,9,0),0)</f>
        <v>0</v>
      </c>
      <c r="AG245" s="643">
        <f>IFERROR(VLOOKUP(AB245,$AB$263:$AR$342,14,0)*0.01*VLOOKUP(AB245,$B$27:$J$47,9,0),0)</f>
        <v>0</v>
      </c>
      <c r="AH245" s="642"/>
      <c r="AI245" s="642"/>
      <c r="AJ245" s="642"/>
      <c r="AK245" s="642"/>
      <c r="AL245" s="615"/>
      <c r="AM245" s="615"/>
      <c r="AN245" s="615"/>
      <c r="AO245" s="615"/>
      <c r="AP245" s="615"/>
      <c r="AQ245" s="615"/>
      <c r="AR245" s="615"/>
      <c r="AS245" s="615"/>
      <c r="AT245" s="615"/>
      <c r="AU245" s="615"/>
      <c r="AV245" s="613"/>
    </row>
    <row r="246" spans="26:48" ht="20.25" customHeight="1" x14ac:dyDescent="0.25">
      <c r="Z246" s="610"/>
      <c r="AA246" s="647"/>
      <c r="AB246" s="647"/>
      <c r="AC246" s="647"/>
      <c r="AD246" s="647">
        <f>IF(AD233&gt;0,AD233,0)</f>
        <v>9.599327586206897</v>
      </c>
      <c r="AE246" s="647">
        <f>IF(AE233&gt;0,AE233,0)</f>
        <v>0</v>
      </c>
      <c r="AF246" s="647">
        <f>IF(AF233&gt;0,AF233,0)</f>
        <v>0</v>
      </c>
      <c r="AG246" s="647">
        <f>IF(AG233&gt;0,AG233,0)</f>
        <v>0</v>
      </c>
      <c r="AH246" s="642"/>
      <c r="AI246" s="642"/>
      <c r="AJ246" s="642"/>
      <c r="AK246" s="642"/>
      <c r="AL246" s="615"/>
      <c r="AM246" s="615"/>
      <c r="AN246" s="615"/>
      <c r="AO246" s="615"/>
      <c r="AP246" s="615"/>
      <c r="AQ246" s="615"/>
      <c r="AR246" s="615"/>
      <c r="AS246" s="615"/>
      <c r="AT246" s="615"/>
      <c r="AU246" s="615"/>
      <c r="AV246" s="613"/>
    </row>
    <row r="247" spans="26:48" ht="20.25" customHeight="1" x14ac:dyDescent="0.25">
      <c r="Z247" s="610"/>
      <c r="AA247" s="642"/>
      <c r="AB247" s="642"/>
      <c r="AC247" s="642"/>
      <c r="AD247" s="642"/>
      <c r="AE247" s="642"/>
      <c r="AF247" s="642"/>
      <c r="AG247" s="642"/>
      <c r="AH247" s="642"/>
      <c r="AI247" s="642"/>
      <c r="AJ247" s="642"/>
      <c r="AK247" s="642"/>
      <c r="AL247" s="615"/>
      <c r="AM247" s="615"/>
      <c r="AN247" s="615"/>
      <c r="AO247" s="615"/>
      <c r="AP247" s="615"/>
      <c r="AQ247" s="615"/>
      <c r="AR247" s="615"/>
      <c r="AS247" s="615"/>
      <c r="AT247" s="615"/>
      <c r="AU247" s="615"/>
      <c r="AV247" s="613"/>
    </row>
    <row r="248" spans="26:48" ht="20.25" customHeight="1" x14ac:dyDescent="0.25">
      <c r="Z248" s="610"/>
      <c r="AA248" s="639" t="s">
        <v>261</v>
      </c>
      <c r="AB248" s="639"/>
      <c r="AC248" s="640" t="s">
        <v>84</v>
      </c>
      <c r="AD248" s="640" t="s">
        <v>87</v>
      </c>
      <c r="AE248" s="640" t="s">
        <v>85</v>
      </c>
      <c r="AF248" s="640" t="s">
        <v>86</v>
      </c>
      <c r="AG248" s="640" t="s">
        <v>225</v>
      </c>
      <c r="AH248" s="640" t="s">
        <v>84</v>
      </c>
      <c r="AI248" s="640" t="s">
        <v>87</v>
      </c>
      <c r="AJ248" s="640" t="s">
        <v>85</v>
      </c>
      <c r="AK248" s="640" t="s">
        <v>86</v>
      </c>
      <c r="AL248" s="615"/>
      <c r="AM248" s="615"/>
      <c r="AN248" s="615"/>
      <c r="AO248" s="615"/>
      <c r="AP248" s="615"/>
      <c r="AQ248" s="615"/>
      <c r="AR248" s="615"/>
      <c r="AS248" s="615"/>
      <c r="AT248" s="615"/>
      <c r="AU248" s="615"/>
      <c r="AV248" s="613"/>
    </row>
    <row r="249" spans="26:48" ht="20.25" customHeight="1" x14ac:dyDescent="0.25">
      <c r="Z249" s="610"/>
      <c r="AA249" s="639" t="str">
        <f>O105</f>
        <v>Ácido Bórico</v>
      </c>
      <c r="AB249" s="639"/>
      <c r="AC249" s="643">
        <f>IFERROR($AD$246/((VLOOKUP(AA249,$AB$263:$AU$342,11,0)*0.01)),0)</f>
        <v>54.853300492610835</v>
      </c>
      <c r="AD249" s="643">
        <f>IFERROR($AE$246/((VLOOKUP(AA249,$AB$263:$AU$342,14,0)*0.01)),0)</f>
        <v>0</v>
      </c>
      <c r="AE249" s="643">
        <f>IFERROR($AF$246/((VLOOKUP(AA249,$AB$263:$AU$342,12,0)*0.01)),0)</f>
        <v>0</v>
      </c>
      <c r="AF249" s="643">
        <f>IFERROR($AG$246/((VLOOKUP(AA249,$AB$263:$AU$342,13,0)*0.01)),0)</f>
        <v>0</v>
      </c>
      <c r="AG249" s="643">
        <f>MAX(AC249:AF249)</f>
        <v>54.853300492610835</v>
      </c>
      <c r="AH249" s="643">
        <f>IFERROR(AG249*(VLOOKUP(AA249,$AB$263:$AU$342,11,0)*0.01),0)</f>
        <v>9.599327586206897</v>
      </c>
      <c r="AI249" s="643">
        <f>IFERROR(AG249*(VLOOKUP(AA249,$AB$263:$AU$342,14,0)*0.01),0)</f>
        <v>0</v>
      </c>
      <c r="AJ249" s="643">
        <f>IFERROR(AG249*(VLOOKUP(AA249,$AB$263:$AU$342,12,0)*0.01),0)</f>
        <v>0</v>
      </c>
      <c r="AK249" s="643">
        <f>IFERROR(AG249*(VLOOKUP(AA249,$AB$263:$AU$342,13,0)*0.01),0)</f>
        <v>0</v>
      </c>
      <c r="AL249" s="615"/>
      <c r="AM249" s="615"/>
      <c r="AN249" s="615"/>
      <c r="AO249" s="615"/>
      <c r="AP249" s="615"/>
      <c r="AQ249" s="615"/>
      <c r="AR249" s="615"/>
      <c r="AS249" s="615"/>
      <c r="AT249" s="615"/>
      <c r="AU249" s="615"/>
      <c r="AV249" s="613"/>
    </row>
    <row r="250" spans="26:48" ht="20.25" customHeight="1" x14ac:dyDescent="0.25">
      <c r="Z250" s="610"/>
      <c r="AA250" s="639" t="str">
        <f>O106</f>
        <v>Sulfato de cobre</v>
      </c>
      <c r="AB250" s="639"/>
      <c r="AC250" s="643">
        <f>IFERROR($AD$246/((VLOOKUP(AA250,$AB$263:$AU$342,11,0)*0.01)),0)</f>
        <v>0</v>
      </c>
      <c r="AD250" s="643">
        <f>IFERROR($AE$246/((VLOOKUP(AA250,$AB$263:$AU$342,14,0)*0.01)),0)</f>
        <v>0</v>
      </c>
      <c r="AE250" s="643">
        <f>IFERROR($AF$246/((VLOOKUP(AA250,$AB$263:$AU$342,12,0)*0.01)),0)</f>
        <v>0</v>
      </c>
      <c r="AF250" s="643">
        <f>IFERROR($AG$246/((VLOOKUP(AA250,$AB$263:$AU$342,13,0)*0.01)),0)</f>
        <v>0</v>
      </c>
      <c r="AG250" s="643">
        <f t="shared" ref="AG250:AG252" si="13">MAX(AC250:AF250)</f>
        <v>0</v>
      </c>
      <c r="AH250" s="643">
        <f>IFERROR(AG250*(VLOOKUP(AA250,$AB$263:$AU$342,11,0)*0.01),0)</f>
        <v>0</v>
      </c>
      <c r="AI250" s="643">
        <f>IFERROR(AG250*(VLOOKUP(AA250,$AB$263:$AU$342,14,0)*0.01),0)</f>
        <v>0</v>
      </c>
      <c r="AJ250" s="643">
        <f>IFERROR(AG250*(VLOOKUP(AA250,$AB$263:$AU$342,12,0)*0.01),0)</f>
        <v>0</v>
      </c>
      <c r="AK250" s="643">
        <f>IFERROR(AG250*(VLOOKUP(AA250,$AB$263:$AU$342,13,0)*0.01),0)</f>
        <v>0</v>
      </c>
      <c r="AL250" s="615"/>
      <c r="AM250" s="615"/>
      <c r="AN250" s="615"/>
      <c r="AO250" s="615"/>
      <c r="AP250" s="615"/>
      <c r="AQ250" s="615"/>
      <c r="AR250" s="615"/>
      <c r="AS250" s="615"/>
      <c r="AT250" s="615"/>
      <c r="AU250" s="615"/>
      <c r="AV250" s="613"/>
    </row>
    <row r="251" spans="26:48" ht="20.25" customHeight="1" x14ac:dyDescent="0.25">
      <c r="Z251" s="610"/>
      <c r="AA251" s="639" t="str">
        <f>O107</f>
        <v>Sulfato de zinco</v>
      </c>
      <c r="AB251" s="639"/>
      <c r="AC251" s="643">
        <f>IFERROR($AD$246/((VLOOKUP(AA251,$AB$263:$AU$342,11,0)*0.01)),0)</f>
        <v>0</v>
      </c>
      <c r="AD251" s="643">
        <f>IFERROR($AE$246/((VLOOKUP(AA251,$AB$263:$AU$342,14,0)*0.01)),0)</f>
        <v>0</v>
      </c>
      <c r="AE251" s="643">
        <f>IFERROR($AF$246/((VLOOKUP(AA251,$AB$263:$AU$342,12,0)*0.01)),0)</f>
        <v>0</v>
      </c>
      <c r="AF251" s="643">
        <f>IFERROR($AG$246/((VLOOKUP(AA251,$AB$263:$AU$342,13,0)*0.01)),0)</f>
        <v>0</v>
      </c>
      <c r="AG251" s="643">
        <f t="shared" si="13"/>
        <v>0</v>
      </c>
      <c r="AH251" s="643">
        <f>IFERROR(AG251*(VLOOKUP(AA251,$AB$263:$AU$342,11,0)*0.01),0)</f>
        <v>0</v>
      </c>
      <c r="AI251" s="643">
        <f>IFERROR(AG251*(VLOOKUP(AA251,$AB$263:$AU$342,14,0)*0.01),0)</f>
        <v>0</v>
      </c>
      <c r="AJ251" s="643">
        <f>IFERROR(AG251*(VLOOKUP(AA251,$AB$263:$AU$342,12,0)*0.01),0)</f>
        <v>0</v>
      </c>
      <c r="AK251" s="643">
        <f>IFERROR(AG251*(VLOOKUP(AA251,$AB$263:$AU$342,13,0)*0.01),0)</f>
        <v>0</v>
      </c>
      <c r="AL251" s="615"/>
      <c r="AM251" s="615"/>
      <c r="AN251" s="615"/>
      <c r="AO251" s="615"/>
      <c r="AP251" s="615"/>
      <c r="AQ251" s="615"/>
      <c r="AR251" s="615"/>
      <c r="AS251" s="615"/>
      <c r="AT251" s="615"/>
      <c r="AU251" s="615"/>
      <c r="AV251" s="613"/>
    </row>
    <row r="252" spans="26:48" ht="20.25" customHeight="1" x14ac:dyDescent="0.25">
      <c r="Z252" s="610"/>
      <c r="AA252" s="639" t="str">
        <f>O108</f>
        <v>Sulfato de manganês</v>
      </c>
      <c r="AB252" s="639"/>
      <c r="AC252" s="643">
        <f>IFERROR($AD$246/((VLOOKUP(AA252,$AB$263:$AU$342,11,0)*0.01)),0)</f>
        <v>0</v>
      </c>
      <c r="AD252" s="643">
        <f>IFERROR($AE$246/((VLOOKUP(AA252,$AB$263:$AU$342,14,0)*0.01)),0)</f>
        <v>0</v>
      </c>
      <c r="AE252" s="643">
        <f>IFERROR($AF$246/((VLOOKUP(AA252,$AB$263:$AU$342,12,0)*0.01)),0)</f>
        <v>0</v>
      </c>
      <c r="AF252" s="643">
        <f>IFERROR($AG$246/((VLOOKUP(AA252,$AB$263:$AU$342,13,0)*0.01)),0)</f>
        <v>0</v>
      </c>
      <c r="AG252" s="643">
        <f t="shared" si="13"/>
        <v>0</v>
      </c>
      <c r="AH252" s="643">
        <f>IFERROR(AG252*(VLOOKUP(AA252,$AB$263:$AU$342,11,0)*0.01),0)</f>
        <v>0</v>
      </c>
      <c r="AI252" s="643">
        <f>IFERROR(AG252*(VLOOKUP(AA252,$AB$263:$AU$342,14,0)*0.01),0)</f>
        <v>0</v>
      </c>
      <c r="AJ252" s="643">
        <f>IFERROR(AG252*(VLOOKUP(AA252,$AB$263:$AU$342,12,0)*0.01),0)</f>
        <v>0</v>
      </c>
      <c r="AK252" s="643">
        <f>IFERROR(AG252*(VLOOKUP(AA252,$AB$263:$AU$342,13,0)*0.01),0)</f>
        <v>0</v>
      </c>
      <c r="AL252" s="615"/>
      <c r="AM252" s="615"/>
      <c r="AN252" s="615"/>
      <c r="AO252" s="615"/>
      <c r="AP252" s="615"/>
      <c r="AQ252" s="615"/>
      <c r="AR252" s="615"/>
      <c r="AS252" s="615"/>
      <c r="AT252" s="615"/>
      <c r="AU252" s="615"/>
      <c r="AV252" s="613"/>
    </row>
    <row r="253" spans="26:48" ht="20.25" customHeight="1" x14ac:dyDescent="0.25">
      <c r="Z253" s="610"/>
      <c r="AA253" s="639">
        <f>O109</f>
        <v>0</v>
      </c>
      <c r="AB253" s="639"/>
      <c r="AC253" s="643">
        <f>IFERROR($AD$246/((VLOOKUP(AA253,$AB$263:$AU$342,11,0)*0.01)),0)</f>
        <v>0</v>
      </c>
      <c r="AD253" s="643">
        <f>IFERROR($AE$246/((VLOOKUP(AA253,$AB$263:$AU$342,14,0)*0.01)),0)</f>
        <v>0</v>
      </c>
      <c r="AE253" s="643">
        <f>IFERROR($AF$246/((VLOOKUP(AA253,$AB$263:$AU$342,12,0)*0.01)),0)</f>
        <v>0</v>
      </c>
      <c r="AF253" s="643">
        <f>IFERROR($AG$246/((VLOOKUP(AA253,$AB$263:$AU$342,13,0)*0.01)),0)</f>
        <v>0</v>
      </c>
      <c r="AG253" s="643">
        <f>MAX(AC253:AF253)</f>
        <v>0</v>
      </c>
      <c r="AH253" s="643">
        <f>IFERROR(AG253*(VLOOKUP(AA253,$AB$263:$AU$342,11,0)*0.01),0)</f>
        <v>0</v>
      </c>
      <c r="AI253" s="643">
        <f>IFERROR(AG253*(VLOOKUP(AA253,$AB$263:$AU$342,14,0)*0.01),0)</f>
        <v>0</v>
      </c>
      <c r="AJ253" s="643">
        <f>IFERROR(AG253*(VLOOKUP(AA253,$AB$263:$AU$342,12,0)*0.01),0)</f>
        <v>0</v>
      </c>
      <c r="AK253" s="643">
        <f>IFERROR(AG253*(VLOOKUP(AA253,$AB$263:$AU$342,13,0)*0.01),0)</f>
        <v>0</v>
      </c>
      <c r="AL253" s="615"/>
      <c r="AM253" s="615"/>
      <c r="AN253" s="615"/>
      <c r="AO253" s="615"/>
      <c r="AP253" s="615"/>
      <c r="AQ253" s="615"/>
      <c r="AR253" s="615"/>
      <c r="AS253" s="615"/>
      <c r="AT253" s="615"/>
      <c r="AU253" s="615"/>
      <c r="AV253" s="613"/>
    </row>
    <row r="254" spans="26:48" ht="20.25" customHeight="1" x14ac:dyDescent="0.25">
      <c r="Z254" s="610"/>
      <c r="AA254" s="615"/>
      <c r="AB254" s="615"/>
      <c r="AC254" s="615"/>
      <c r="AD254" s="615"/>
      <c r="AE254" s="615"/>
      <c r="AF254" s="615"/>
      <c r="AG254" s="615"/>
      <c r="AH254" s="615"/>
      <c r="AI254" s="615"/>
      <c r="AJ254" s="615"/>
      <c r="AK254" s="615"/>
      <c r="AL254" s="615"/>
      <c r="AM254" s="615"/>
      <c r="AN254" s="615"/>
      <c r="AO254" s="615"/>
      <c r="AP254" s="615"/>
      <c r="AQ254" s="615"/>
      <c r="AR254" s="615"/>
      <c r="AS254" s="615"/>
      <c r="AT254" s="615"/>
      <c r="AU254" s="615"/>
      <c r="AV254" s="613"/>
    </row>
    <row r="255" spans="26:48" ht="20.25" customHeight="1" x14ac:dyDescent="0.25">
      <c r="Z255" s="610"/>
      <c r="AA255" s="615"/>
      <c r="AB255" s="615"/>
      <c r="AC255" s="615"/>
      <c r="AD255" s="615"/>
      <c r="AE255" s="615"/>
      <c r="AF255" s="615"/>
      <c r="AG255" s="615"/>
      <c r="AH255" s="615"/>
      <c r="AI255" s="615"/>
      <c r="AJ255" s="615"/>
      <c r="AK255" s="615"/>
      <c r="AL255" s="615"/>
      <c r="AM255" s="615"/>
      <c r="AN255" s="615"/>
      <c r="AO255" s="615"/>
      <c r="AP255" s="615"/>
      <c r="AQ255" s="615"/>
      <c r="AR255" s="615"/>
      <c r="AS255" s="615"/>
      <c r="AT255" s="615"/>
      <c r="AU255" s="615"/>
      <c r="AV255" s="613"/>
    </row>
    <row r="256" spans="26:48" ht="20.25" customHeight="1" x14ac:dyDescent="0.25">
      <c r="Z256" s="610"/>
      <c r="AA256" s="615"/>
      <c r="AB256" s="615"/>
      <c r="AC256" s="615"/>
      <c r="AD256" s="615"/>
      <c r="AE256" s="615"/>
      <c r="AF256" s="615"/>
      <c r="AG256" s="615"/>
      <c r="AH256" s="615"/>
      <c r="AI256" s="615"/>
      <c r="AJ256" s="615"/>
      <c r="AK256" s="615"/>
      <c r="AL256" s="615"/>
      <c r="AM256" s="615"/>
      <c r="AN256" s="615"/>
      <c r="AO256" s="615"/>
      <c r="AP256" s="615"/>
      <c r="AQ256" s="615"/>
      <c r="AR256" s="615"/>
      <c r="AS256" s="615"/>
      <c r="AT256" s="615"/>
      <c r="AU256" s="615"/>
      <c r="AV256" s="613"/>
    </row>
    <row r="257" spans="20:48" ht="20.25" customHeight="1" x14ac:dyDescent="0.25">
      <c r="Z257" s="610"/>
      <c r="AA257" s="615"/>
      <c r="AB257" s="615"/>
      <c r="AC257" s="615"/>
      <c r="AD257" s="615"/>
      <c r="AE257" s="615"/>
      <c r="AF257" s="615"/>
      <c r="AG257" s="615"/>
      <c r="AH257" s="615"/>
      <c r="AI257" s="615"/>
      <c r="AJ257" s="615"/>
      <c r="AK257" s="615"/>
      <c r="AL257" s="615"/>
      <c r="AM257" s="615"/>
      <c r="AN257" s="615"/>
      <c r="AO257" s="615"/>
      <c r="AP257" s="615"/>
      <c r="AQ257" s="615"/>
      <c r="AR257" s="615"/>
      <c r="AS257" s="615"/>
      <c r="AT257" s="615"/>
      <c r="AU257" s="615"/>
      <c r="AV257" s="613"/>
    </row>
    <row r="258" spans="20:48" ht="20.25" customHeight="1" x14ac:dyDescent="0.25">
      <c r="Z258" s="610"/>
      <c r="AA258" s="615"/>
      <c r="AB258" s="615"/>
      <c r="AC258" s="615"/>
      <c r="AD258" s="615"/>
      <c r="AE258" s="615"/>
      <c r="AF258" s="615"/>
      <c r="AG258" s="615"/>
      <c r="AH258" s="615"/>
      <c r="AI258" s="615"/>
      <c r="AJ258" s="615"/>
      <c r="AK258" s="615"/>
      <c r="AL258" s="615"/>
      <c r="AM258" s="615"/>
      <c r="AN258" s="615"/>
      <c r="AO258" s="615"/>
      <c r="AP258" s="615"/>
      <c r="AQ258" s="615"/>
      <c r="AR258" s="615"/>
      <c r="AS258" s="615"/>
      <c r="AT258" s="615"/>
      <c r="AU258" s="615"/>
      <c r="AV258" s="613"/>
    </row>
    <row r="259" spans="20:48" ht="20.25" customHeight="1" x14ac:dyDescent="0.25">
      <c r="Z259" s="610"/>
      <c r="AA259" s="615"/>
      <c r="AB259" s="615"/>
      <c r="AC259" s="615"/>
      <c r="AD259" s="615"/>
      <c r="AE259" s="615"/>
      <c r="AF259" s="615"/>
      <c r="AG259" s="615"/>
      <c r="AH259" s="615"/>
      <c r="AI259" s="615"/>
      <c r="AJ259" s="615"/>
      <c r="AK259" s="615"/>
      <c r="AL259" s="615"/>
      <c r="AM259" s="615"/>
      <c r="AN259" s="615"/>
      <c r="AO259" s="615"/>
      <c r="AP259" s="615"/>
      <c r="AQ259" s="615"/>
      <c r="AR259" s="615"/>
      <c r="AS259" s="615"/>
      <c r="AT259" s="615"/>
      <c r="AU259" s="615"/>
      <c r="AV259" s="613"/>
    </row>
    <row r="260" spans="20:48" ht="20.25" customHeight="1" thickBot="1" x14ac:dyDescent="0.3">
      <c r="Z260" s="610"/>
      <c r="AA260" s="615"/>
      <c r="AB260" s="615"/>
      <c r="AC260" s="615"/>
      <c r="AD260" s="615"/>
      <c r="AE260" s="615"/>
      <c r="AF260" s="615"/>
      <c r="AG260" s="615"/>
      <c r="AH260" s="615"/>
      <c r="AI260" s="615"/>
      <c r="AJ260" s="615"/>
      <c r="AK260" s="615"/>
      <c r="AL260" s="615"/>
      <c r="AM260" s="615"/>
      <c r="AN260" s="615"/>
      <c r="AO260" s="615"/>
      <c r="AP260" s="615"/>
      <c r="AQ260" s="615"/>
      <c r="AR260" s="615"/>
      <c r="AS260" s="615"/>
      <c r="AT260" s="615"/>
      <c r="AU260" s="615"/>
      <c r="AV260" s="613"/>
    </row>
    <row r="261" spans="20:48" ht="20.25" customHeight="1" thickBot="1" x14ac:dyDescent="0.3">
      <c r="T261" s="223"/>
      <c r="U261" s="224"/>
      <c r="V261" s="224"/>
      <c r="W261" s="224"/>
      <c r="X261" s="225"/>
      <c r="Z261" s="610"/>
      <c r="AA261" s="632" t="s">
        <v>136</v>
      </c>
      <c r="AB261" s="632" t="s">
        <v>76</v>
      </c>
      <c r="AC261" s="632" t="s">
        <v>77</v>
      </c>
      <c r="AD261" s="632" t="s">
        <v>78</v>
      </c>
      <c r="AE261" s="632"/>
      <c r="AF261" s="632"/>
      <c r="AG261" s="632"/>
      <c r="AH261" s="632"/>
      <c r="AI261" s="632"/>
      <c r="AJ261" s="632"/>
      <c r="AK261" s="632"/>
      <c r="AL261" s="632"/>
      <c r="AM261" s="632"/>
      <c r="AN261" s="632"/>
      <c r="AO261" s="632"/>
      <c r="AP261" s="632"/>
      <c r="AQ261" s="632"/>
      <c r="AR261" s="632"/>
      <c r="AS261" s="632"/>
      <c r="AT261" s="632"/>
      <c r="AU261" s="632"/>
      <c r="AV261" s="613"/>
    </row>
    <row r="262" spans="20:48" ht="20.25" customHeight="1" x14ac:dyDescent="0.25">
      <c r="T262" s="226"/>
      <c r="U262" s="621" t="s">
        <v>634</v>
      </c>
      <c r="V262" s="621"/>
      <c r="W262" s="621"/>
      <c r="X262" s="228"/>
      <c r="Z262" s="610"/>
      <c r="AA262" s="632"/>
      <c r="AB262" s="632"/>
      <c r="AC262" s="632"/>
      <c r="AD262" s="633" t="s">
        <v>33</v>
      </c>
      <c r="AE262" s="633" t="s">
        <v>79</v>
      </c>
      <c r="AF262" s="633" t="s">
        <v>66</v>
      </c>
      <c r="AG262" s="633" t="s">
        <v>80</v>
      </c>
      <c r="AH262" s="633" t="s">
        <v>67</v>
      </c>
      <c r="AI262" s="633" t="s">
        <v>81</v>
      </c>
      <c r="AJ262" s="633" t="s">
        <v>82</v>
      </c>
      <c r="AK262" s="633" t="s">
        <v>83</v>
      </c>
      <c r="AL262" s="633" t="s">
        <v>84</v>
      </c>
      <c r="AM262" s="633" t="s">
        <v>85</v>
      </c>
      <c r="AN262" s="633" t="s">
        <v>86</v>
      </c>
      <c r="AO262" s="633" t="s">
        <v>87</v>
      </c>
      <c r="AP262" s="633" t="s">
        <v>88</v>
      </c>
      <c r="AQ262" s="633" t="s">
        <v>89</v>
      </c>
      <c r="AR262" s="633" t="s">
        <v>117</v>
      </c>
      <c r="AS262" s="633" t="s">
        <v>90</v>
      </c>
      <c r="AT262" s="633" t="s">
        <v>91</v>
      </c>
      <c r="AU262" s="633" t="s">
        <v>92</v>
      </c>
      <c r="AV262" s="613"/>
    </row>
    <row r="263" spans="20:48" ht="20.25" customHeight="1" x14ac:dyDescent="0.25">
      <c r="T263" s="226"/>
      <c r="U263" s="465"/>
      <c r="V263" s="465"/>
      <c r="W263" s="465"/>
      <c r="X263" s="228"/>
      <c r="Z263" s="610"/>
      <c r="AA263" s="634" t="s">
        <v>227</v>
      </c>
      <c r="AB263" s="636" t="str">
        <f>'Adubos e corretivos'!C3</f>
        <v>Cloreto de potássio</v>
      </c>
      <c r="AC263" s="636">
        <f>'Adubos e corretivos'!D3</f>
        <v>0</v>
      </c>
      <c r="AD263" s="636">
        <f>'Adubos e corretivos'!E3</f>
        <v>0</v>
      </c>
      <c r="AE263" s="636">
        <f>'Adubos e corretivos'!F3</f>
        <v>0</v>
      </c>
      <c r="AF263" s="636">
        <f>'Adubos e corretivos'!G3</f>
        <v>0</v>
      </c>
      <c r="AG263" s="636">
        <f>'Adubos e corretivos'!H3</f>
        <v>50</v>
      </c>
      <c r="AH263" s="636">
        <f>'Adubos e corretivos'!I3</f>
        <v>60</v>
      </c>
      <c r="AI263" s="636">
        <f>'Adubos e corretivos'!J3</f>
        <v>0</v>
      </c>
      <c r="AJ263" s="636">
        <f>'Adubos e corretivos'!K3</f>
        <v>0</v>
      </c>
      <c r="AK263" s="636">
        <f>'Adubos e corretivos'!L3</f>
        <v>0</v>
      </c>
      <c r="AL263" s="636">
        <f>'Adubos e corretivos'!M3</f>
        <v>0</v>
      </c>
      <c r="AM263" s="636">
        <f>'Adubos e corretivos'!N3</f>
        <v>0</v>
      </c>
      <c r="AN263" s="636">
        <f>'Adubos e corretivos'!O3</f>
        <v>0</v>
      </c>
      <c r="AO263" s="636">
        <f>'Adubos e corretivos'!P3</f>
        <v>0</v>
      </c>
      <c r="AP263" s="636">
        <f>'Adubos e corretivos'!Q3</f>
        <v>0</v>
      </c>
      <c r="AQ263" s="636">
        <f>'Adubos e corretivos'!R3</f>
        <v>0</v>
      </c>
      <c r="AR263" s="636">
        <f>'Adubos e corretivos'!S3</f>
        <v>0</v>
      </c>
      <c r="AS263" s="636">
        <f>'Adubos e corretivos'!T3</f>
        <v>0</v>
      </c>
      <c r="AT263" s="636">
        <f>'Adubos e corretivos'!U3</f>
        <v>0</v>
      </c>
      <c r="AU263" s="636">
        <f>'Adubos e corretivos'!V3</f>
        <v>1.7</v>
      </c>
      <c r="AV263" s="613"/>
    </row>
    <row r="264" spans="20:48" ht="20.25" customHeight="1" x14ac:dyDescent="0.25">
      <c r="T264" s="226"/>
      <c r="U264" s="465"/>
      <c r="V264" s="465"/>
      <c r="W264" s="465"/>
      <c r="X264" s="228"/>
      <c r="Z264" s="610"/>
      <c r="AA264" s="634"/>
      <c r="AB264" s="636" t="str">
        <f>'Adubos e corretivos'!C4</f>
        <v>Dripsol Alface</v>
      </c>
      <c r="AC264" s="636">
        <f>'Adubos e corretivos'!D4</f>
        <v>0</v>
      </c>
      <c r="AD264" s="636">
        <f>'Adubos e corretivos'!E4</f>
        <v>0</v>
      </c>
      <c r="AE264" s="636">
        <f>'Adubos e corretivos'!F4</f>
        <v>0</v>
      </c>
      <c r="AF264" s="636">
        <f>'Adubos e corretivos'!G4</f>
        <v>0</v>
      </c>
      <c r="AG264" s="636">
        <f>'Adubos e corretivos'!H4</f>
        <v>43</v>
      </c>
      <c r="AH264" s="636">
        <f>'Adubos e corretivos'!I4</f>
        <v>52</v>
      </c>
      <c r="AI264" s="636">
        <f>'Adubos e corretivos'!J4</f>
        <v>0</v>
      </c>
      <c r="AJ264" s="636">
        <f>'Adubos e corretivos'!K4</f>
        <v>0</v>
      </c>
      <c r="AK264" s="636">
        <f>'Adubos e corretivos'!L4</f>
        <v>0</v>
      </c>
      <c r="AL264" s="636">
        <f>'Adubos e corretivos'!M4</f>
        <v>0</v>
      </c>
      <c r="AM264" s="636">
        <f>'Adubos e corretivos'!N4</f>
        <v>0</v>
      </c>
      <c r="AN264" s="636">
        <f>'Adubos e corretivos'!O4</f>
        <v>0</v>
      </c>
      <c r="AO264" s="636">
        <f>'Adubos e corretivos'!P4</f>
        <v>0</v>
      </c>
      <c r="AP264" s="636">
        <f>'Adubos e corretivos'!Q4</f>
        <v>0</v>
      </c>
      <c r="AQ264" s="636">
        <f>'Adubos e corretivos'!R4</f>
        <v>0</v>
      </c>
      <c r="AR264" s="636">
        <f>'Adubos e corretivos'!S4</f>
        <v>0</v>
      </c>
      <c r="AS264" s="636">
        <f>'Adubos e corretivos'!T4</f>
        <v>0</v>
      </c>
      <c r="AT264" s="636">
        <f>'Adubos e corretivos'!U4</f>
        <v>0</v>
      </c>
      <c r="AU264" s="636">
        <f>'Adubos e corretivos'!V4</f>
        <v>0</v>
      </c>
      <c r="AV264" s="613"/>
    </row>
    <row r="265" spans="20:48" ht="20.25" customHeight="1" x14ac:dyDescent="0.25">
      <c r="T265" s="226"/>
      <c r="U265" s="465"/>
      <c r="V265" s="465"/>
      <c r="W265" s="465"/>
      <c r="X265" s="228"/>
      <c r="Z265" s="610"/>
      <c r="AA265" s="634"/>
      <c r="AB265" s="636" t="str">
        <f>'Adubos e corretivos'!C5</f>
        <v>MAP</v>
      </c>
      <c r="AC265" s="636">
        <f>'Adubos e corretivos'!D5</f>
        <v>0</v>
      </c>
      <c r="AD265" s="636">
        <f>'Adubos e corretivos'!E5</f>
        <v>12</v>
      </c>
      <c r="AE265" s="636">
        <f>'Adubos e corretivos'!F5</f>
        <v>27</v>
      </c>
      <c r="AF265" s="636">
        <f>'Adubos e corretivos'!G5</f>
        <v>62</v>
      </c>
      <c r="AG265" s="636">
        <f>'Adubos e corretivos'!H5</f>
        <v>0</v>
      </c>
      <c r="AH265" s="636">
        <f>'Adubos e corretivos'!I5</f>
        <v>0</v>
      </c>
      <c r="AI265" s="636">
        <f>'Adubos e corretivos'!J5</f>
        <v>0</v>
      </c>
      <c r="AJ265" s="636">
        <f>'Adubos e corretivos'!K5</f>
        <v>0</v>
      </c>
      <c r="AK265" s="636">
        <f>'Adubos e corretivos'!L5</f>
        <v>0</v>
      </c>
      <c r="AL265" s="636">
        <f>'Adubos e corretivos'!M5</f>
        <v>0</v>
      </c>
      <c r="AM265" s="636">
        <f>'Adubos e corretivos'!N5</f>
        <v>0</v>
      </c>
      <c r="AN265" s="636">
        <f>'Adubos e corretivos'!O5</f>
        <v>0</v>
      </c>
      <c r="AO265" s="636">
        <f>'Adubos e corretivos'!P5</f>
        <v>0</v>
      </c>
      <c r="AP265" s="636">
        <f>'Adubos e corretivos'!Q5</f>
        <v>0</v>
      </c>
      <c r="AQ265" s="636">
        <f>'Adubos e corretivos'!R5</f>
        <v>0</v>
      </c>
      <c r="AR265" s="636">
        <f>'Adubos e corretivos'!S5</f>
        <v>0</v>
      </c>
      <c r="AS265" s="636">
        <f>'Adubos e corretivos'!T5</f>
        <v>12</v>
      </c>
      <c r="AT265" s="636">
        <f>'Adubos e corretivos'!U5</f>
        <v>0</v>
      </c>
      <c r="AU265" s="636">
        <f>'Adubos e corretivos'!V5</f>
        <v>0.95</v>
      </c>
      <c r="AV265" s="613"/>
    </row>
    <row r="266" spans="20:48" ht="20.25" customHeight="1" x14ac:dyDescent="0.25">
      <c r="T266" s="226"/>
      <c r="U266" s="465"/>
      <c r="V266" s="465"/>
      <c r="W266" s="465"/>
      <c r="X266" s="228"/>
      <c r="Z266" s="610"/>
      <c r="AA266" s="634"/>
      <c r="AB266" s="636" t="str">
        <f>'Adubos e corretivos'!C6</f>
        <v>MKP</v>
      </c>
      <c r="AC266" s="636">
        <f>'Adubos e corretivos'!D6</f>
        <v>0</v>
      </c>
      <c r="AD266" s="636">
        <f>'Adubos e corretivos'!E6</f>
        <v>0</v>
      </c>
      <c r="AE266" s="636">
        <f>'Adubos e corretivos'!F6</f>
        <v>23</v>
      </c>
      <c r="AF266" s="636">
        <f>'Adubos e corretivos'!G6</f>
        <v>53</v>
      </c>
      <c r="AG266" s="636">
        <f>'Adubos e corretivos'!H6</f>
        <v>28</v>
      </c>
      <c r="AH266" s="636">
        <f>'Adubos e corretivos'!I6</f>
        <v>34</v>
      </c>
      <c r="AI266" s="636">
        <f>'Adubos e corretivos'!J6</f>
        <v>0</v>
      </c>
      <c r="AJ266" s="636">
        <f>'Adubos e corretivos'!K6</f>
        <v>0</v>
      </c>
      <c r="AK266" s="636">
        <f>'Adubos e corretivos'!L6</f>
        <v>0</v>
      </c>
      <c r="AL266" s="636">
        <f>'Adubos e corretivos'!M6</f>
        <v>0</v>
      </c>
      <c r="AM266" s="636">
        <f>'Adubos e corretivos'!N6</f>
        <v>0</v>
      </c>
      <c r="AN266" s="636">
        <f>'Adubos e corretivos'!O6</f>
        <v>0</v>
      </c>
      <c r="AO266" s="636">
        <f>'Adubos e corretivos'!P6</f>
        <v>0</v>
      </c>
      <c r="AP266" s="636">
        <f>'Adubos e corretivos'!Q6</f>
        <v>0</v>
      </c>
      <c r="AQ266" s="636">
        <f>'Adubos e corretivos'!R6</f>
        <v>0</v>
      </c>
      <c r="AR266" s="636">
        <f>'Adubos e corretivos'!S6</f>
        <v>0</v>
      </c>
      <c r="AS266" s="636">
        <f>'Adubos e corretivos'!T6</f>
        <v>0</v>
      </c>
      <c r="AT266" s="636">
        <f>'Adubos e corretivos'!U6</f>
        <v>0</v>
      </c>
      <c r="AU266" s="636">
        <f>'Adubos e corretivos'!V6</f>
        <v>0.7</v>
      </c>
      <c r="AV266" s="613"/>
    </row>
    <row r="267" spans="20:48" ht="20.25" customHeight="1" x14ac:dyDescent="0.25">
      <c r="T267" s="226"/>
      <c r="U267" s="465"/>
      <c r="V267" s="465"/>
      <c r="W267" s="465"/>
      <c r="X267" s="228"/>
      <c r="Z267" s="610"/>
      <c r="AA267" s="634"/>
      <c r="AB267" s="636" t="str">
        <f>'Adubos e corretivos'!C7</f>
        <v>Nitrato de Amônio</v>
      </c>
      <c r="AC267" s="636">
        <f>'Adubos e corretivos'!D7</f>
        <v>0</v>
      </c>
      <c r="AD267" s="636">
        <f>'Adubos e corretivos'!E7</f>
        <v>29</v>
      </c>
      <c r="AE267" s="636">
        <f>'Adubos e corretivos'!F7</f>
        <v>0</v>
      </c>
      <c r="AF267" s="636">
        <f>'Adubos e corretivos'!G7</f>
        <v>0</v>
      </c>
      <c r="AG267" s="636">
        <f>'Adubos e corretivos'!H7</f>
        <v>0</v>
      </c>
      <c r="AH267" s="636">
        <f>'Adubos e corretivos'!I7</f>
        <v>0</v>
      </c>
      <c r="AI267" s="636">
        <f>'Adubos e corretivos'!J7</f>
        <v>0</v>
      </c>
      <c r="AJ267" s="636">
        <f>'Adubos e corretivos'!K7</f>
        <v>1</v>
      </c>
      <c r="AK267" s="636">
        <f>'Adubos e corretivos'!L7</f>
        <v>1</v>
      </c>
      <c r="AL267" s="636">
        <f>'Adubos e corretivos'!M7</f>
        <v>0</v>
      </c>
      <c r="AM267" s="636">
        <f>'Adubos e corretivos'!N7</f>
        <v>0</v>
      </c>
      <c r="AN267" s="636">
        <f>'Adubos e corretivos'!O7</f>
        <v>1</v>
      </c>
      <c r="AO267" s="636">
        <f>'Adubos e corretivos'!P7</f>
        <v>0</v>
      </c>
      <c r="AP267" s="636">
        <f>'Adubos e corretivos'!Q7</f>
        <v>0</v>
      </c>
      <c r="AQ267" s="636">
        <f>'Adubos e corretivos'!R7</f>
        <v>0</v>
      </c>
      <c r="AR267" s="636">
        <f>'Adubos e corretivos'!S7</f>
        <v>0</v>
      </c>
      <c r="AS267" s="636">
        <f>'Adubos e corretivos'!T7</f>
        <v>14.5</v>
      </c>
      <c r="AT267" s="636">
        <f>'Adubos e corretivos'!U7</f>
        <v>14.5</v>
      </c>
      <c r="AU267" s="636">
        <f>'Adubos e corretivos'!V7</f>
        <v>1.5</v>
      </c>
      <c r="AV267" s="613"/>
    </row>
    <row r="268" spans="20:48" ht="20.25" customHeight="1" x14ac:dyDescent="0.25">
      <c r="T268" s="226"/>
      <c r="U268" s="227"/>
      <c r="V268" s="227"/>
      <c r="W268" s="227"/>
      <c r="X268" s="228"/>
      <c r="Z268" s="610"/>
      <c r="AA268" s="634"/>
      <c r="AB268" s="636" t="str">
        <f>'Adubos e corretivos'!C8</f>
        <v>Nitrato de cálcio</v>
      </c>
      <c r="AC268" s="636">
        <f>'Adubos e corretivos'!D8</f>
        <v>0</v>
      </c>
      <c r="AD268" s="636">
        <f>'Adubos e corretivos'!E8</f>
        <v>15</v>
      </c>
      <c r="AE268" s="636">
        <f>'Adubos e corretivos'!F8</f>
        <v>0</v>
      </c>
      <c r="AF268" s="636">
        <f>'Adubos e corretivos'!G8</f>
        <v>0</v>
      </c>
      <c r="AG268" s="636">
        <f>'Adubos e corretivos'!H8</f>
        <v>0</v>
      </c>
      <c r="AH268" s="636">
        <f>'Adubos e corretivos'!I8</f>
        <v>0</v>
      </c>
      <c r="AI268" s="636">
        <f>'Adubos e corretivos'!J8</f>
        <v>19</v>
      </c>
      <c r="AJ268" s="636">
        <f>'Adubos e corretivos'!K8</f>
        <v>0</v>
      </c>
      <c r="AK268" s="636">
        <f>'Adubos e corretivos'!L8</f>
        <v>0</v>
      </c>
      <c r="AL268" s="636">
        <f>'Adubos e corretivos'!M8</f>
        <v>0</v>
      </c>
      <c r="AM268" s="636">
        <f>'Adubos e corretivos'!N8</f>
        <v>0</v>
      </c>
      <c r="AN268" s="636">
        <f>'Adubos e corretivos'!O8</f>
        <v>0</v>
      </c>
      <c r="AO268" s="636">
        <f>'Adubos e corretivos'!P8</f>
        <v>0</v>
      </c>
      <c r="AP268" s="636">
        <f>'Adubos e corretivos'!Q8</f>
        <v>0</v>
      </c>
      <c r="AQ268" s="636">
        <f>'Adubos e corretivos'!R8</f>
        <v>0</v>
      </c>
      <c r="AR268" s="636">
        <f>'Adubos e corretivos'!S8</f>
        <v>0</v>
      </c>
      <c r="AS268" s="636">
        <f>'Adubos e corretivos'!T8</f>
        <v>1</v>
      </c>
      <c r="AT268" s="636">
        <f>'Adubos e corretivos'!U8</f>
        <v>14</v>
      </c>
      <c r="AU268" s="636">
        <f>'Adubos e corretivos'!V8</f>
        <v>1.18</v>
      </c>
      <c r="AV268" s="613"/>
    </row>
    <row r="269" spans="20:48" ht="20.25" customHeight="1" x14ac:dyDescent="0.25">
      <c r="T269" s="226"/>
      <c r="U269" s="450" t="s">
        <v>252</v>
      </c>
      <c r="V269" s="451"/>
      <c r="W269" s="452"/>
      <c r="X269" s="228"/>
      <c r="Z269" s="610"/>
      <c r="AA269" s="634"/>
      <c r="AB269" s="636" t="str">
        <f>'Adubos e corretivos'!C9</f>
        <v>Nitrato de magnésio</v>
      </c>
      <c r="AC269" s="636">
        <f>'Adubos e corretivos'!D9</f>
        <v>0</v>
      </c>
      <c r="AD269" s="636">
        <f>'Adubos e corretivos'!E9</f>
        <v>11</v>
      </c>
      <c r="AE269" s="636">
        <f>'Adubos e corretivos'!F9</f>
        <v>0</v>
      </c>
      <c r="AF269" s="636">
        <f>'Adubos e corretivos'!G9</f>
        <v>0</v>
      </c>
      <c r="AG269" s="636">
        <f>'Adubos e corretivos'!H9</f>
        <v>0</v>
      </c>
      <c r="AH269" s="636">
        <f>'Adubos e corretivos'!I9</f>
        <v>0</v>
      </c>
      <c r="AI269" s="636">
        <f>'Adubos e corretivos'!J9</f>
        <v>0</v>
      </c>
      <c r="AJ269" s="636">
        <f>'Adubos e corretivos'!K9</f>
        <v>9.5</v>
      </c>
      <c r="AK269" s="636">
        <f>'Adubos e corretivos'!L9</f>
        <v>0</v>
      </c>
      <c r="AL269" s="636">
        <f>'Adubos e corretivos'!M9</f>
        <v>0</v>
      </c>
      <c r="AM269" s="636">
        <f>'Adubos e corretivos'!N9</f>
        <v>0</v>
      </c>
      <c r="AN269" s="636">
        <f>'Adubos e corretivos'!O9</f>
        <v>0</v>
      </c>
      <c r="AO269" s="636">
        <f>'Adubos e corretivos'!P9</f>
        <v>0</v>
      </c>
      <c r="AP269" s="636">
        <f>'Adubos e corretivos'!Q9</f>
        <v>0</v>
      </c>
      <c r="AQ269" s="636">
        <f>'Adubos e corretivos'!R9</f>
        <v>0</v>
      </c>
      <c r="AR269" s="636">
        <f>'Adubos e corretivos'!S9</f>
        <v>0</v>
      </c>
      <c r="AS269" s="636">
        <f>'Adubos e corretivos'!T9</f>
        <v>0</v>
      </c>
      <c r="AT269" s="636">
        <f>'Adubos e corretivos'!U9</f>
        <v>11</v>
      </c>
      <c r="AU269" s="636">
        <f>'Adubos e corretivos'!V9</f>
        <v>0.9</v>
      </c>
      <c r="AV269" s="613"/>
    </row>
    <row r="270" spans="20:48" ht="20.25" customHeight="1" x14ac:dyDescent="0.25">
      <c r="T270" s="226"/>
      <c r="U270" s="450" t="s">
        <v>251</v>
      </c>
      <c r="V270" s="451"/>
      <c r="W270" s="452"/>
      <c r="X270" s="228"/>
      <c r="Z270" s="610"/>
      <c r="AA270" s="634"/>
      <c r="AB270" s="636" t="str">
        <f>'Adubos e corretivos'!C10</f>
        <v>Nitrato de potássio</v>
      </c>
      <c r="AC270" s="636">
        <f>'Adubos e corretivos'!D10</f>
        <v>0</v>
      </c>
      <c r="AD270" s="636">
        <f>'Adubos e corretivos'!E10</f>
        <v>12</v>
      </c>
      <c r="AE270" s="636">
        <f>'Adubos e corretivos'!F10</f>
        <v>0</v>
      </c>
      <c r="AF270" s="636">
        <f>'Adubos e corretivos'!G10</f>
        <v>0</v>
      </c>
      <c r="AG270" s="636">
        <f>'Adubos e corretivos'!H10</f>
        <v>38</v>
      </c>
      <c r="AH270" s="636">
        <f>'Adubos e corretivos'!I10</f>
        <v>0</v>
      </c>
      <c r="AI270" s="636">
        <f>'Adubos e corretivos'!J10</f>
        <v>0</v>
      </c>
      <c r="AJ270" s="636">
        <f>'Adubos e corretivos'!K10</f>
        <v>0</v>
      </c>
      <c r="AK270" s="636">
        <f>'Adubos e corretivos'!L10</f>
        <v>0</v>
      </c>
      <c r="AL270" s="636">
        <f>'Adubos e corretivos'!M10</f>
        <v>0</v>
      </c>
      <c r="AM270" s="636">
        <f>'Adubos e corretivos'!N10</f>
        <v>0</v>
      </c>
      <c r="AN270" s="636">
        <f>'Adubos e corretivos'!O10</f>
        <v>0</v>
      </c>
      <c r="AO270" s="636">
        <f>'Adubos e corretivos'!P10</f>
        <v>0</v>
      </c>
      <c r="AP270" s="636">
        <f>'Adubos e corretivos'!Q10</f>
        <v>0</v>
      </c>
      <c r="AQ270" s="636">
        <f>'Adubos e corretivos'!R10</f>
        <v>0</v>
      </c>
      <c r="AR270" s="636">
        <f>'Adubos e corretivos'!S10</f>
        <v>0</v>
      </c>
      <c r="AS270" s="636">
        <f>'Adubos e corretivos'!T10</f>
        <v>0</v>
      </c>
      <c r="AT270" s="636">
        <f>'Adubos e corretivos'!U10</f>
        <v>12</v>
      </c>
      <c r="AU270" s="636">
        <f>'Adubos e corretivos'!V10</f>
        <v>1.28</v>
      </c>
      <c r="AV270" s="613"/>
    </row>
    <row r="271" spans="20:48" ht="20.25" customHeight="1" x14ac:dyDescent="0.25">
      <c r="T271" s="226"/>
      <c r="U271" s="448" t="s">
        <v>229</v>
      </c>
      <c r="V271" s="448"/>
      <c r="W271" s="92">
        <v>0.5</v>
      </c>
      <c r="X271" s="228"/>
      <c r="Z271" s="610"/>
      <c r="AA271" s="634"/>
      <c r="AB271" s="636" t="str">
        <f>'Adubos e corretivos'!C11</f>
        <v>Sulfato de amônio</v>
      </c>
      <c r="AC271" s="636">
        <f>'Adubos e corretivos'!D11</f>
        <v>0</v>
      </c>
      <c r="AD271" s="636">
        <f>'Adubos e corretivos'!E11</f>
        <v>20</v>
      </c>
      <c r="AE271" s="636">
        <f>'Adubos e corretivos'!F11</f>
        <v>0</v>
      </c>
      <c r="AF271" s="636">
        <f>'Adubos e corretivos'!G11</f>
        <v>0</v>
      </c>
      <c r="AG271" s="636">
        <f>'Adubos e corretivos'!H11</f>
        <v>0</v>
      </c>
      <c r="AH271" s="636">
        <f>'Adubos e corretivos'!I11</f>
        <v>0</v>
      </c>
      <c r="AI271" s="636">
        <f>'Adubos e corretivos'!J11</f>
        <v>0</v>
      </c>
      <c r="AJ271" s="636">
        <f>'Adubos e corretivos'!K11</f>
        <v>0</v>
      </c>
      <c r="AK271" s="636">
        <f>'Adubos e corretivos'!L11</f>
        <v>24</v>
      </c>
      <c r="AL271" s="636">
        <f>'Adubos e corretivos'!M11</f>
        <v>0</v>
      </c>
      <c r="AM271" s="636">
        <f>'Adubos e corretivos'!N11</f>
        <v>0</v>
      </c>
      <c r="AN271" s="636">
        <f>'Adubos e corretivos'!O11</f>
        <v>0</v>
      </c>
      <c r="AO271" s="636">
        <f>'Adubos e corretivos'!P11</f>
        <v>0</v>
      </c>
      <c r="AP271" s="636">
        <f>'Adubos e corretivos'!Q11</f>
        <v>0</v>
      </c>
      <c r="AQ271" s="636">
        <f>'Adubos e corretivos'!R11</f>
        <v>0</v>
      </c>
      <c r="AR271" s="636">
        <f>'Adubos e corretivos'!S11</f>
        <v>0</v>
      </c>
      <c r="AS271" s="636">
        <f>'Adubos e corretivos'!T11</f>
        <v>20</v>
      </c>
      <c r="AT271" s="636">
        <f>'Adubos e corretivos'!U11</f>
        <v>0</v>
      </c>
      <c r="AU271" s="636">
        <f>'Adubos e corretivos'!V11</f>
        <v>0</v>
      </c>
      <c r="AV271" s="613"/>
    </row>
    <row r="272" spans="20:48" ht="20.25" customHeight="1" x14ac:dyDescent="0.25">
      <c r="T272" s="226"/>
      <c r="U272" s="448" t="s">
        <v>216</v>
      </c>
      <c r="V272" s="448"/>
      <c r="W272" s="92">
        <v>0.5</v>
      </c>
      <c r="X272" s="228"/>
      <c r="Z272" s="610"/>
      <c r="AA272" s="634"/>
      <c r="AB272" s="636" t="str">
        <f>'Adubos e corretivos'!C12</f>
        <v>Sulfato de potássio</v>
      </c>
      <c r="AC272" s="636">
        <f>'Adubos e corretivos'!D12</f>
        <v>0</v>
      </c>
      <c r="AD272" s="636">
        <f>'Adubos e corretivos'!E12</f>
        <v>0</v>
      </c>
      <c r="AE272" s="636">
        <f>'Adubos e corretivos'!F12</f>
        <v>0</v>
      </c>
      <c r="AF272" s="636">
        <f>'Adubos e corretivos'!G12</f>
        <v>0</v>
      </c>
      <c r="AG272" s="636">
        <f>'Adubos e corretivos'!H12</f>
        <v>43</v>
      </c>
      <c r="AH272" s="636">
        <f>'Adubos e corretivos'!I12</f>
        <v>52</v>
      </c>
      <c r="AI272" s="636">
        <f>'Adubos e corretivos'!J12</f>
        <v>0</v>
      </c>
      <c r="AJ272" s="636">
        <f>'Adubos e corretivos'!K12</f>
        <v>0</v>
      </c>
      <c r="AK272" s="636">
        <f>'Adubos e corretivos'!L12</f>
        <v>17</v>
      </c>
      <c r="AL272" s="636">
        <f>'Adubos e corretivos'!M12</f>
        <v>0</v>
      </c>
      <c r="AM272" s="636">
        <f>'Adubos e corretivos'!N12</f>
        <v>0</v>
      </c>
      <c r="AN272" s="636">
        <f>'Adubos e corretivos'!O12</f>
        <v>0</v>
      </c>
      <c r="AO272" s="636">
        <f>'Adubos e corretivos'!P12</f>
        <v>0</v>
      </c>
      <c r="AP272" s="636">
        <f>'Adubos e corretivos'!Q12</f>
        <v>0</v>
      </c>
      <c r="AQ272" s="636">
        <f>'Adubos e corretivos'!R12</f>
        <v>0</v>
      </c>
      <c r="AR272" s="636">
        <f>'Adubos e corretivos'!S12</f>
        <v>0</v>
      </c>
      <c r="AS272" s="636">
        <f>'Adubos e corretivos'!T12</f>
        <v>0</v>
      </c>
      <c r="AT272" s="636">
        <f>'Adubos e corretivos'!U12</f>
        <v>0</v>
      </c>
      <c r="AU272" s="636">
        <f>'Adubos e corretivos'!V12</f>
        <v>1.2</v>
      </c>
      <c r="AV272" s="613"/>
    </row>
    <row r="273" spans="20:48" ht="20.25" customHeight="1" x14ac:dyDescent="0.25">
      <c r="T273" s="226"/>
      <c r="U273" s="448"/>
      <c r="V273" s="448"/>
      <c r="W273" s="92"/>
      <c r="X273" s="228"/>
      <c r="Z273" s="610"/>
      <c r="AA273" s="634"/>
      <c r="AB273" s="636" t="str">
        <f>'Adubos e corretivos'!C13</f>
        <v>Superfosfato simples</v>
      </c>
      <c r="AC273" s="636">
        <f>'Adubos e corretivos'!D13</f>
        <v>0</v>
      </c>
      <c r="AD273" s="636">
        <f>'Adubos e corretivos'!E13</f>
        <v>0</v>
      </c>
      <c r="AE273" s="636">
        <f>'Adubos e corretivos'!F13</f>
        <v>7.86</v>
      </c>
      <c r="AF273" s="636">
        <f>'Adubos e corretivos'!G13</f>
        <v>18</v>
      </c>
      <c r="AG273" s="636">
        <f>'Adubos e corretivos'!H13</f>
        <v>0</v>
      </c>
      <c r="AH273" s="636">
        <f>'Adubos e corretivos'!I13</f>
        <v>0</v>
      </c>
      <c r="AI273" s="636">
        <f>'Adubos e corretivos'!J13</f>
        <v>0</v>
      </c>
      <c r="AJ273" s="636">
        <f>'Adubos e corretivos'!K13</f>
        <v>0</v>
      </c>
      <c r="AK273" s="636">
        <f>'Adubos e corretivos'!L13</f>
        <v>0</v>
      </c>
      <c r="AL273" s="636">
        <f>'Adubos e corretivos'!M13</f>
        <v>0</v>
      </c>
      <c r="AM273" s="636">
        <f>'Adubos e corretivos'!N13</f>
        <v>0</v>
      </c>
      <c r="AN273" s="636">
        <f>'Adubos e corretivos'!O13</f>
        <v>0</v>
      </c>
      <c r="AO273" s="636">
        <f>'Adubos e corretivos'!P13</f>
        <v>0</v>
      </c>
      <c r="AP273" s="636">
        <f>'Adubos e corretivos'!Q13</f>
        <v>0</v>
      </c>
      <c r="AQ273" s="636">
        <f>'Adubos e corretivos'!R13</f>
        <v>0</v>
      </c>
      <c r="AR273" s="636">
        <f>'Adubos e corretivos'!S13</f>
        <v>0</v>
      </c>
      <c r="AS273" s="636">
        <f>'Adubos e corretivos'!T13</f>
        <v>0</v>
      </c>
      <c r="AT273" s="636">
        <f>'Adubos e corretivos'!U13</f>
        <v>0</v>
      </c>
      <c r="AU273" s="636">
        <f>'Adubos e corretivos'!V13</f>
        <v>0</v>
      </c>
      <c r="AV273" s="613"/>
    </row>
    <row r="274" spans="20:48" ht="20.25" customHeight="1" x14ac:dyDescent="0.25">
      <c r="T274" s="226"/>
      <c r="U274" s="227"/>
      <c r="V274" s="227"/>
      <c r="W274" s="227"/>
      <c r="X274" s="228"/>
      <c r="Z274" s="610"/>
      <c r="AA274" s="634"/>
      <c r="AB274" s="636" t="str">
        <f>'Adubos e corretivos'!C14</f>
        <v>Superfosfato triplo</v>
      </c>
      <c r="AC274" s="636">
        <f>'Adubos e corretivos'!D14</f>
        <v>0</v>
      </c>
      <c r="AD274" s="636">
        <f>'Adubos e corretivos'!E14</f>
        <v>0</v>
      </c>
      <c r="AE274" s="636">
        <f>'Adubos e corretivos'!F14</f>
        <v>17.91</v>
      </c>
      <c r="AF274" s="636">
        <f>'Adubos e corretivos'!G14</f>
        <v>41</v>
      </c>
      <c r="AG274" s="636">
        <f>'Adubos e corretivos'!H14</f>
        <v>0</v>
      </c>
      <c r="AH274" s="636">
        <f>'Adubos e corretivos'!I14</f>
        <v>0</v>
      </c>
      <c r="AI274" s="636">
        <f>'Adubos e corretivos'!J14</f>
        <v>0</v>
      </c>
      <c r="AJ274" s="636">
        <f>'Adubos e corretivos'!K14</f>
        <v>0</v>
      </c>
      <c r="AK274" s="636">
        <f>'Adubos e corretivos'!L14</f>
        <v>0</v>
      </c>
      <c r="AL274" s="636">
        <f>'Adubos e corretivos'!M14</f>
        <v>0</v>
      </c>
      <c r="AM274" s="636">
        <f>'Adubos e corretivos'!N14</f>
        <v>0</v>
      </c>
      <c r="AN274" s="636">
        <f>'Adubos e corretivos'!O14</f>
        <v>0</v>
      </c>
      <c r="AO274" s="636">
        <f>'Adubos e corretivos'!P14</f>
        <v>0</v>
      </c>
      <c r="AP274" s="636">
        <f>'Adubos e corretivos'!Q14</f>
        <v>0</v>
      </c>
      <c r="AQ274" s="636">
        <f>'Adubos e corretivos'!R14</f>
        <v>0</v>
      </c>
      <c r="AR274" s="636">
        <f>'Adubos e corretivos'!S14</f>
        <v>0</v>
      </c>
      <c r="AS274" s="636">
        <f>'Adubos e corretivos'!T14</f>
        <v>0</v>
      </c>
      <c r="AT274" s="636">
        <f>'Adubos e corretivos'!U14</f>
        <v>0</v>
      </c>
      <c r="AU274" s="636">
        <f>'Adubos e corretivos'!V14</f>
        <v>0</v>
      </c>
      <c r="AV274" s="613"/>
    </row>
    <row r="275" spans="20:48" ht="20.25" customHeight="1" x14ac:dyDescent="0.25">
      <c r="T275" s="226"/>
      <c r="U275" s="365" t="s">
        <v>264</v>
      </c>
      <c r="V275" s="365"/>
      <c r="W275" s="365"/>
      <c r="X275" s="228"/>
      <c r="Z275" s="610"/>
      <c r="AA275" s="634"/>
      <c r="AB275" s="636" t="str">
        <f>'Adubos e corretivos'!C15</f>
        <v>Uréia</v>
      </c>
      <c r="AC275" s="636">
        <f>'Adubos e corretivos'!D15</f>
        <v>0</v>
      </c>
      <c r="AD275" s="636">
        <f>'Adubos e corretivos'!E15</f>
        <v>45</v>
      </c>
      <c r="AE275" s="636">
        <f>'Adubos e corretivos'!F15</f>
        <v>0</v>
      </c>
      <c r="AF275" s="636">
        <f>'Adubos e corretivos'!G15</f>
        <v>0</v>
      </c>
      <c r="AG275" s="636">
        <f>'Adubos e corretivos'!H15</f>
        <v>0</v>
      </c>
      <c r="AH275" s="636">
        <f>'Adubos e corretivos'!I15</f>
        <v>0</v>
      </c>
      <c r="AI275" s="636">
        <f>'Adubos e corretivos'!J15</f>
        <v>0</v>
      </c>
      <c r="AJ275" s="636">
        <f>'Adubos e corretivos'!K15</f>
        <v>0</v>
      </c>
      <c r="AK275" s="636">
        <f>'Adubos e corretivos'!L15</f>
        <v>0</v>
      </c>
      <c r="AL275" s="636">
        <f>'Adubos e corretivos'!M15</f>
        <v>0</v>
      </c>
      <c r="AM275" s="636">
        <f>'Adubos e corretivos'!N15</f>
        <v>0</v>
      </c>
      <c r="AN275" s="636">
        <f>'Adubos e corretivos'!O15</f>
        <v>0</v>
      </c>
      <c r="AO275" s="636">
        <f>'Adubos e corretivos'!P15</f>
        <v>0</v>
      </c>
      <c r="AP275" s="636">
        <f>'Adubos e corretivos'!Q15</f>
        <v>0</v>
      </c>
      <c r="AQ275" s="636">
        <f>'Adubos e corretivos'!R15</f>
        <v>0</v>
      </c>
      <c r="AR275" s="636">
        <f>'Adubos e corretivos'!S15</f>
        <v>0</v>
      </c>
      <c r="AS275" s="636">
        <f>'Adubos e corretivos'!T15</f>
        <v>45</v>
      </c>
      <c r="AT275" s="636">
        <f>'Adubos e corretivos'!U15</f>
        <v>0</v>
      </c>
      <c r="AU275" s="636">
        <f>'Adubos e corretivos'!V15</f>
        <v>0</v>
      </c>
      <c r="AV275" s="613"/>
    </row>
    <row r="276" spans="20:48" ht="20.25" customHeight="1" x14ac:dyDescent="0.25">
      <c r="T276" s="226"/>
      <c r="U276" s="227"/>
      <c r="V276" s="227"/>
      <c r="W276" s="227"/>
      <c r="X276" s="228"/>
      <c r="Z276" s="610"/>
      <c r="AA276" s="634"/>
      <c r="AB276" s="636">
        <f>'Adubos e corretivos'!C16</f>
        <v>0</v>
      </c>
      <c r="AC276" s="636">
        <f>'Adubos e corretivos'!D16</f>
        <v>0</v>
      </c>
      <c r="AD276" s="636">
        <f>'Adubos e corretivos'!E16</f>
        <v>0</v>
      </c>
      <c r="AE276" s="636">
        <f>'Adubos e corretivos'!F16</f>
        <v>0</v>
      </c>
      <c r="AF276" s="636">
        <f>'Adubos e corretivos'!G16</f>
        <v>0</v>
      </c>
      <c r="AG276" s="636">
        <f>'Adubos e corretivos'!H16</f>
        <v>0</v>
      </c>
      <c r="AH276" s="636">
        <f>'Adubos e corretivos'!I16</f>
        <v>0</v>
      </c>
      <c r="AI276" s="636">
        <f>'Adubos e corretivos'!J16</f>
        <v>0</v>
      </c>
      <c r="AJ276" s="636">
        <f>'Adubos e corretivos'!K16</f>
        <v>0</v>
      </c>
      <c r="AK276" s="636">
        <f>'Adubos e corretivos'!L16</f>
        <v>0</v>
      </c>
      <c r="AL276" s="636">
        <f>'Adubos e corretivos'!M16</f>
        <v>0</v>
      </c>
      <c r="AM276" s="636">
        <f>'Adubos e corretivos'!N16</f>
        <v>0</v>
      </c>
      <c r="AN276" s="636">
        <f>'Adubos e corretivos'!O16</f>
        <v>0</v>
      </c>
      <c r="AO276" s="636">
        <f>'Adubos e corretivos'!P16</f>
        <v>0</v>
      </c>
      <c r="AP276" s="636">
        <f>'Adubos e corretivos'!Q16</f>
        <v>0</v>
      </c>
      <c r="AQ276" s="636">
        <f>'Adubos e corretivos'!R16</f>
        <v>0</v>
      </c>
      <c r="AR276" s="636">
        <f>'Adubos e corretivos'!S16</f>
        <v>0</v>
      </c>
      <c r="AS276" s="636">
        <f>'Adubos e corretivos'!T16</f>
        <v>0</v>
      </c>
      <c r="AT276" s="636">
        <f>'Adubos e corretivos'!U16</f>
        <v>0</v>
      </c>
      <c r="AU276" s="636">
        <f>'Adubos e corretivos'!V16</f>
        <v>0</v>
      </c>
      <c r="AV276" s="613"/>
    </row>
    <row r="277" spans="20:48" ht="20.25" customHeight="1" x14ac:dyDescent="0.25">
      <c r="T277" s="226"/>
      <c r="U277" s="450" t="s">
        <v>253</v>
      </c>
      <c r="V277" s="451"/>
      <c r="W277" s="452"/>
      <c r="X277" s="228"/>
      <c r="Y277" s="11" t="s">
        <v>631</v>
      </c>
      <c r="Z277" s="610"/>
      <c r="AA277" s="634"/>
      <c r="AB277" s="636">
        <f>'Adubos e corretivos'!C17</f>
        <v>0</v>
      </c>
      <c r="AC277" s="636">
        <f>'Adubos e corretivos'!D17</f>
        <v>0</v>
      </c>
      <c r="AD277" s="636">
        <f>'Adubos e corretivos'!E17</f>
        <v>0</v>
      </c>
      <c r="AE277" s="636">
        <f>'Adubos e corretivos'!F17</f>
        <v>0</v>
      </c>
      <c r="AF277" s="636">
        <f>'Adubos e corretivos'!G17</f>
        <v>0</v>
      </c>
      <c r="AG277" s="636">
        <f>'Adubos e corretivos'!H17</f>
        <v>0</v>
      </c>
      <c r="AH277" s="636">
        <f>'Adubos e corretivos'!I17</f>
        <v>0</v>
      </c>
      <c r="AI277" s="636">
        <f>'Adubos e corretivos'!J17</f>
        <v>0</v>
      </c>
      <c r="AJ277" s="636">
        <f>'Adubos e corretivos'!K17</f>
        <v>0</v>
      </c>
      <c r="AK277" s="636">
        <f>'Adubos e corretivos'!L17</f>
        <v>0</v>
      </c>
      <c r="AL277" s="636">
        <f>'Adubos e corretivos'!M17</f>
        <v>0</v>
      </c>
      <c r="AM277" s="636">
        <f>'Adubos e corretivos'!N17</f>
        <v>0</v>
      </c>
      <c r="AN277" s="636">
        <f>'Adubos e corretivos'!O17</f>
        <v>0</v>
      </c>
      <c r="AO277" s="636">
        <f>'Adubos e corretivos'!P17</f>
        <v>0</v>
      </c>
      <c r="AP277" s="636">
        <f>'Adubos e corretivos'!Q17</f>
        <v>0</v>
      </c>
      <c r="AQ277" s="636">
        <f>'Adubos e corretivos'!R17</f>
        <v>0</v>
      </c>
      <c r="AR277" s="636">
        <f>'Adubos e corretivos'!S17</f>
        <v>0</v>
      </c>
      <c r="AS277" s="636">
        <f>'Adubos e corretivos'!T17</f>
        <v>0</v>
      </c>
      <c r="AT277" s="636">
        <f>'Adubos e corretivos'!U17</f>
        <v>0</v>
      </c>
      <c r="AU277" s="636">
        <f>'Adubos e corretivos'!V17</f>
        <v>0</v>
      </c>
      <c r="AV277" s="613"/>
    </row>
    <row r="278" spans="20:48" ht="20.25" customHeight="1" x14ac:dyDescent="0.25">
      <c r="T278" s="226"/>
      <c r="U278" s="450" t="s">
        <v>251</v>
      </c>
      <c r="V278" s="451"/>
      <c r="W278" s="452"/>
      <c r="X278" s="228"/>
      <c r="Z278" s="610"/>
      <c r="AA278" s="634" t="s">
        <v>226</v>
      </c>
      <c r="AB278" s="636" t="str">
        <f>'Adubos e corretivos'!C18</f>
        <v>Formulado 00-18-00 (Timac)</v>
      </c>
      <c r="AC278" s="636">
        <f>'Adubos e corretivos'!D18</f>
        <v>0</v>
      </c>
      <c r="AD278" s="636">
        <f>'Adubos e corretivos'!E18</f>
        <v>0</v>
      </c>
      <c r="AE278" s="636">
        <f>'Adubos e corretivos'!F18</f>
        <v>7.87</v>
      </c>
      <c r="AF278" s="636">
        <f>'Adubos e corretivos'!G18</f>
        <v>18</v>
      </c>
      <c r="AG278" s="636">
        <f>'Adubos e corretivos'!H18</f>
        <v>0</v>
      </c>
      <c r="AH278" s="636">
        <f>'Adubos e corretivos'!I18</f>
        <v>0</v>
      </c>
      <c r="AI278" s="636">
        <f>'Adubos e corretivos'!J18</f>
        <v>0</v>
      </c>
      <c r="AJ278" s="636">
        <f>'Adubos e corretivos'!K18</f>
        <v>0</v>
      </c>
      <c r="AK278" s="636">
        <f>'Adubos e corretivos'!L18</f>
        <v>0</v>
      </c>
      <c r="AL278" s="636">
        <f>'Adubos e corretivos'!M18</f>
        <v>0</v>
      </c>
      <c r="AM278" s="636">
        <f>'Adubos e corretivos'!N18</f>
        <v>0</v>
      </c>
      <c r="AN278" s="636">
        <f>'Adubos e corretivos'!O18</f>
        <v>0</v>
      </c>
      <c r="AO278" s="636">
        <f>'Adubos e corretivos'!P18</f>
        <v>0</v>
      </c>
      <c r="AP278" s="636">
        <f>'Adubos e corretivos'!Q18</f>
        <v>0</v>
      </c>
      <c r="AQ278" s="636">
        <f>'Adubos e corretivos'!R18</f>
        <v>0</v>
      </c>
      <c r="AR278" s="636">
        <f>'Adubos e corretivos'!S18</f>
        <v>0</v>
      </c>
      <c r="AS278" s="636">
        <f>'Adubos e corretivos'!T18</f>
        <v>0</v>
      </c>
      <c r="AT278" s="636">
        <f>'Adubos e corretivos'!U18</f>
        <v>0</v>
      </c>
      <c r="AU278" s="636">
        <f>'Adubos e corretivos'!V18</f>
        <v>0</v>
      </c>
      <c r="AV278" s="613"/>
    </row>
    <row r="279" spans="20:48" ht="20.25" customHeight="1" x14ac:dyDescent="0.25">
      <c r="T279" s="226"/>
      <c r="U279" s="448" t="s">
        <v>205</v>
      </c>
      <c r="V279" s="448"/>
      <c r="W279" s="92">
        <v>0.5</v>
      </c>
      <c r="X279" s="228"/>
      <c r="Z279" s="610"/>
      <c r="AA279" s="634"/>
      <c r="AB279" s="636" t="str">
        <f>'Adubos e corretivos'!C19</f>
        <v>Formulado 04-14-08</v>
      </c>
      <c r="AC279" s="636">
        <f>'Adubos e corretivos'!D19</f>
        <v>0</v>
      </c>
      <c r="AD279" s="636">
        <f>'Adubos e corretivos'!E19</f>
        <v>4</v>
      </c>
      <c r="AE279" s="636">
        <f>'Adubos e corretivos'!F19</f>
        <v>6.15</v>
      </c>
      <c r="AF279" s="636">
        <f>'Adubos e corretivos'!G19</f>
        <v>14</v>
      </c>
      <c r="AG279" s="636">
        <f>'Adubos e corretivos'!H19</f>
        <v>6.65</v>
      </c>
      <c r="AH279" s="636">
        <f>'Adubos e corretivos'!I19</f>
        <v>8</v>
      </c>
      <c r="AI279" s="636">
        <f>'Adubos e corretivos'!J19</f>
        <v>0</v>
      </c>
      <c r="AJ279" s="636">
        <f>'Adubos e corretivos'!K19</f>
        <v>0</v>
      </c>
      <c r="AK279" s="636">
        <f>'Adubos e corretivos'!L19</f>
        <v>0</v>
      </c>
      <c r="AL279" s="636">
        <f>'Adubos e corretivos'!M19</f>
        <v>0</v>
      </c>
      <c r="AM279" s="636">
        <f>'Adubos e corretivos'!N19</f>
        <v>0</v>
      </c>
      <c r="AN279" s="636">
        <f>'Adubos e corretivos'!O19</f>
        <v>0</v>
      </c>
      <c r="AO279" s="636">
        <f>'Adubos e corretivos'!P19</f>
        <v>0</v>
      </c>
      <c r="AP279" s="636">
        <f>'Adubos e corretivos'!Q19</f>
        <v>0</v>
      </c>
      <c r="AQ279" s="636">
        <f>'Adubos e corretivos'!R19</f>
        <v>0</v>
      </c>
      <c r="AR279" s="636">
        <f>'Adubos e corretivos'!S19</f>
        <v>0</v>
      </c>
      <c r="AS279" s="636">
        <f>'Adubos e corretivos'!T19</f>
        <v>0</v>
      </c>
      <c r="AT279" s="636">
        <f>'Adubos e corretivos'!U19</f>
        <v>0</v>
      </c>
      <c r="AU279" s="636">
        <f>'Adubos e corretivos'!V19</f>
        <v>0</v>
      </c>
      <c r="AV279" s="613"/>
    </row>
    <row r="280" spans="20:48" ht="20.25" customHeight="1" x14ac:dyDescent="0.25">
      <c r="T280" s="226"/>
      <c r="U280" s="448" t="s">
        <v>116</v>
      </c>
      <c r="V280" s="448"/>
      <c r="W280" s="92">
        <v>0.5</v>
      </c>
      <c r="X280" s="228"/>
      <c r="Z280" s="610"/>
      <c r="AA280" s="634"/>
      <c r="AB280" s="636" t="str">
        <f>'Adubos e corretivos'!C20</f>
        <v>Formulado 04-26-10 (Timac)</v>
      </c>
      <c r="AC280" s="636">
        <f>'Adubos e corretivos'!D20</f>
        <v>0</v>
      </c>
      <c r="AD280" s="636">
        <f>'Adubos e corretivos'!E20</f>
        <v>4</v>
      </c>
      <c r="AE280" s="636">
        <f>'Adubos e corretivos'!F20</f>
        <v>11.35</v>
      </c>
      <c r="AF280" s="636">
        <f>'Adubos e corretivos'!G20</f>
        <v>26</v>
      </c>
      <c r="AG280" s="636">
        <f>'Adubos e corretivos'!H20</f>
        <v>8.3000000000000007</v>
      </c>
      <c r="AH280" s="636">
        <f>'Adubos e corretivos'!I20</f>
        <v>10</v>
      </c>
      <c r="AI280" s="636">
        <f>'Adubos e corretivos'!J20</f>
        <v>0</v>
      </c>
      <c r="AJ280" s="636">
        <f>'Adubos e corretivos'!K20</f>
        <v>0</v>
      </c>
      <c r="AK280" s="636">
        <f>'Adubos e corretivos'!L20</f>
        <v>0</v>
      </c>
      <c r="AL280" s="636">
        <f>'Adubos e corretivos'!M20</f>
        <v>0</v>
      </c>
      <c r="AM280" s="636">
        <f>'Adubos e corretivos'!N20</f>
        <v>0</v>
      </c>
      <c r="AN280" s="636">
        <f>'Adubos e corretivos'!O20</f>
        <v>0</v>
      </c>
      <c r="AO280" s="636">
        <f>'Adubos e corretivos'!P20</f>
        <v>0</v>
      </c>
      <c r="AP280" s="636">
        <f>'Adubos e corretivos'!Q20</f>
        <v>0</v>
      </c>
      <c r="AQ280" s="636">
        <f>'Adubos e corretivos'!R20</f>
        <v>0</v>
      </c>
      <c r="AR280" s="636">
        <f>'Adubos e corretivos'!S20</f>
        <v>0</v>
      </c>
      <c r="AS280" s="636">
        <f>'Adubos e corretivos'!T20</f>
        <v>0</v>
      </c>
      <c r="AT280" s="636">
        <f>'Adubos e corretivos'!U20</f>
        <v>0</v>
      </c>
      <c r="AU280" s="636">
        <f>'Adubos e corretivos'!V20</f>
        <v>0</v>
      </c>
      <c r="AV280" s="613"/>
    </row>
    <row r="281" spans="20:48" ht="20.25" customHeight="1" x14ac:dyDescent="0.25">
      <c r="T281" s="226"/>
      <c r="U281" s="448"/>
      <c r="V281" s="448"/>
      <c r="W281" s="92"/>
      <c r="X281" s="228"/>
      <c r="Z281" s="610"/>
      <c r="AA281" s="634"/>
      <c r="AB281" s="636" t="str">
        <f>'Adubos e corretivos'!C21</f>
        <v>Formulado 04-30-10</v>
      </c>
      <c r="AC281" s="636">
        <f>'Adubos e corretivos'!D21</f>
        <v>0</v>
      </c>
      <c r="AD281" s="636">
        <f>'Adubos e corretivos'!E21</f>
        <v>4</v>
      </c>
      <c r="AE281" s="636">
        <f>'Adubos e corretivos'!F21</f>
        <v>13.1</v>
      </c>
      <c r="AF281" s="636">
        <f>'Adubos e corretivos'!G21</f>
        <v>30</v>
      </c>
      <c r="AG281" s="636">
        <f>'Adubos e corretivos'!H21</f>
        <v>8.3000000000000007</v>
      </c>
      <c r="AH281" s="636">
        <f>'Adubos e corretivos'!I21</f>
        <v>10</v>
      </c>
      <c r="AI281" s="636">
        <f>'Adubos e corretivos'!J21</f>
        <v>0</v>
      </c>
      <c r="AJ281" s="636">
        <f>'Adubos e corretivos'!K21</f>
        <v>0</v>
      </c>
      <c r="AK281" s="636">
        <f>'Adubos e corretivos'!L21</f>
        <v>0</v>
      </c>
      <c r="AL281" s="636">
        <f>'Adubos e corretivos'!M21</f>
        <v>0</v>
      </c>
      <c r="AM281" s="636">
        <f>'Adubos e corretivos'!N21</f>
        <v>0</v>
      </c>
      <c r="AN281" s="636">
        <f>'Adubos e corretivos'!O21</f>
        <v>0</v>
      </c>
      <c r="AO281" s="636">
        <f>'Adubos e corretivos'!P21</f>
        <v>0</v>
      </c>
      <c r="AP281" s="636">
        <f>'Adubos e corretivos'!Q21</f>
        <v>0</v>
      </c>
      <c r="AQ281" s="636">
        <f>'Adubos e corretivos'!R21</f>
        <v>0</v>
      </c>
      <c r="AR281" s="636">
        <f>'Adubos e corretivos'!S21</f>
        <v>0</v>
      </c>
      <c r="AS281" s="636">
        <f>'Adubos e corretivos'!T21</f>
        <v>0</v>
      </c>
      <c r="AT281" s="636">
        <f>'Adubos e corretivos'!U21</f>
        <v>0</v>
      </c>
      <c r="AU281" s="636">
        <f>'Adubos e corretivos'!V21</f>
        <v>0</v>
      </c>
      <c r="AV281" s="613"/>
    </row>
    <row r="282" spans="20:48" ht="20.25" customHeight="1" x14ac:dyDescent="0.25">
      <c r="T282" s="226"/>
      <c r="U282" s="227"/>
      <c r="V282" s="227"/>
      <c r="W282" s="227"/>
      <c r="X282" s="228"/>
      <c r="Z282" s="610"/>
      <c r="AA282" s="634"/>
      <c r="AB282" s="636" t="str">
        <f>'Adubos e corretivos'!C22</f>
        <v>Formulado 04-30-16</v>
      </c>
      <c r="AC282" s="636">
        <f>'Adubos e corretivos'!D22</f>
        <v>0</v>
      </c>
      <c r="AD282" s="636">
        <f>'Adubos e corretivos'!E22</f>
        <v>4</v>
      </c>
      <c r="AE282" s="636">
        <f>'Adubos e corretivos'!F22</f>
        <v>13.1</v>
      </c>
      <c r="AF282" s="636">
        <f>'Adubos e corretivos'!G22</f>
        <v>30</v>
      </c>
      <c r="AG282" s="636">
        <f>'Adubos e corretivos'!H22</f>
        <v>13.3</v>
      </c>
      <c r="AH282" s="636">
        <f>'Adubos e corretivos'!I22</f>
        <v>16</v>
      </c>
      <c r="AI282" s="636">
        <f>'Adubos e corretivos'!J22</f>
        <v>0</v>
      </c>
      <c r="AJ282" s="636">
        <f>'Adubos e corretivos'!K22</f>
        <v>0</v>
      </c>
      <c r="AK282" s="636">
        <f>'Adubos e corretivos'!L22</f>
        <v>0</v>
      </c>
      <c r="AL282" s="636">
        <f>'Adubos e corretivos'!M22</f>
        <v>0</v>
      </c>
      <c r="AM282" s="636">
        <f>'Adubos e corretivos'!N22</f>
        <v>0</v>
      </c>
      <c r="AN282" s="636">
        <f>'Adubos e corretivos'!O22</f>
        <v>0</v>
      </c>
      <c r="AO282" s="636">
        <f>'Adubos e corretivos'!P22</f>
        <v>0</v>
      </c>
      <c r="AP282" s="636">
        <f>'Adubos e corretivos'!Q22</f>
        <v>0</v>
      </c>
      <c r="AQ282" s="636">
        <f>'Adubos e corretivos'!R22</f>
        <v>0</v>
      </c>
      <c r="AR282" s="636">
        <f>'Adubos e corretivos'!S22</f>
        <v>0</v>
      </c>
      <c r="AS282" s="636">
        <f>'Adubos e corretivos'!T22</f>
        <v>0</v>
      </c>
      <c r="AT282" s="636">
        <f>'Adubos e corretivos'!U22</f>
        <v>0</v>
      </c>
      <c r="AU282" s="636">
        <f>'Adubos e corretivos'!V22</f>
        <v>0</v>
      </c>
      <c r="AV282" s="613"/>
    </row>
    <row r="283" spans="20:48" ht="20.25" customHeight="1" x14ac:dyDescent="0.25">
      <c r="T283" s="226"/>
      <c r="U283" s="365" t="s">
        <v>264</v>
      </c>
      <c r="V283" s="365"/>
      <c r="W283" s="365"/>
      <c r="X283" s="228"/>
      <c r="Z283" s="610"/>
      <c r="AA283" s="634"/>
      <c r="AB283" s="636" t="str">
        <f>'Adubos e corretivos'!C23</f>
        <v>Formulado 05-25-15</v>
      </c>
      <c r="AC283" s="636">
        <f>'Adubos e corretivos'!D23</f>
        <v>0</v>
      </c>
      <c r="AD283" s="636">
        <f>'Adubos e corretivos'!E23</f>
        <v>5</v>
      </c>
      <c r="AE283" s="636">
        <f>'Adubos e corretivos'!F23</f>
        <v>10.95</v>
      </c>
      <c r="AF283" s="636">
        <f>'Adubos e corretivos'!G23</f>
        <v>25</v>
      </c>
      <c r="AG283" s="636">
        <f>'Adubos e corretivos'!H23</f>
        <v>12.45</v>
      </c>
      <c r="AH283" s="636">
        <f>'Adubos e corretivos'!I23</f>
        <v>15</v>
      </c>
      <c r="AI283" s="636">
        <f>'Adubos e corretivos'!J23</f>
        <v>0</v>
      </c>
      <c r="AJ283" s="636">
        <f>'Adubos e corretivos'!K23</f>
        <v>0</v>
      </c>
      <c r="AK283" s="636">
        <f>'Adubos e corretivos'!L23</f>
        <v>0</v>
      </c>
      <c r="AL283" s="636">
        <f>'Adubos e corretivos'!M23</f>
        <v>0</v>
      </c>
      <c r="AM283" s="636">
        <f>'Adubos e corretivos'!N23</f>
        <v>0</v>
      </c>
      <c r="AN283" s="636">
        <f>'Adubos e corretivos'!O23</f>
        <v>0</v>
      </c>
      <c r="AO283" s="636">
        <f>'Adubos e corretivos'!P23</f>
        <v>0</v>
      </c>
      <c r="AP283" s="636">
        <f>'Adubos e corretivos'!Q23</f>
        <v>0</v>
      </c>
      <c r="AQ283" s="636">
        <f>'Adubos e corretivos'!R23</f>
        <v>0</v>
      </c>
      <c r="AR283" s="636">
        <f>'Adubos e corretivos'!S23</f>
        <v>0</v>
      </c>
      <c r="AS283" s="636">
        <f>'Adubos e corretivos'!T23</f>
        <v>0</v>
      </c>
      <c r="AT283" s="636">
        <f>'Adubos e corretivos'!U23</f>
        <v>0</v>
      </c>
      <c r="AU283" s="636">
        <f>'Adubos e corretivos'!V23</f>
        <v>0</v>
      </c>
      <c r="AV283" s="613"/>
    </row>
    <row r="284" spans="20:48" ht="20.25" customHeight="1" x14ac:dyDescent="0.25">
      <c r="T284" s="226"/>
      <c r="U284" s="227"/>
      <c r="V284" s="227"/>
      <c r="W284" s="227"/>
      <c r="X284" s="228"/>
      <c r="Z284" s="610"/>
      <c r="AA284" s="634"/>
      <c r="AB284" s="636" t="str">
        <f>'Adubos e corretivos'!C24</f>
        <v>Hortimax Plantio 03-18-05</v>
      </c>
      <c r="AC284" s="636">
        <f>'Adubos e corretivos'!D24</f>
        <v>0</v>
      </c>
      <c r="AD284" s="636">
        <f>'Adubos e corretivos'!E24</f>
        <v>3</v>
      </c>
      <c r="AE284" s="636">
        <f>'Adubos e corretivos'!F24</f>
        <v>7.87</v>
      </c>
      <c r="AF284" s="636">
        <f>'Adubos e corretivos'!G24</f>
        <v>18</v>
      </c>
      <c r="AG284" s="636">
        <f>'Adubos e corretivos'!H24</f>
        <v>4.2</v>
      </c>
      <c r="AH284" s="636">
        <f>'Adubos e corretivos'!I24</f>
        <v>5</v>
      </c>
      <c r="AI284" s="636">
        <f>'Adubos e corretivos'!J24</f>
        <v>0</v>
      </c>
      <c r="AJ284" s="636">
        <f>'Adubos e corretivos'!K24</f>
        <v>0</v>
      </c>
      <c r="AK284" s="636">
        <f>'Adubos e corretivos'!L24</f>
        <v>0</v>
      </c>
      <c r="AL284" s="636">
        <f>'Adubos e corretivos'!M24</f>
        <v>0</v>
      </c>
      <c r="AM284" s="636">
        <f>'Adubos e corretivos'!N24</f>
        <v>0</v>
      </c>
      <c r="AN284" s="636">
        <f>'Adubos e corretivos'!O24</f>
        <v>0</v>
      </c>
      <c r="AO284" s="636">
        <f>'Adubos e corretivos'!P24</f>
        <v>0</v>
      </c>
      <c r="AP284" s="636">
        <f>'Adubos e corretivos'!Q24</f>
        <v>0</v>
      </c>
      <c r="AQ284" s="636">
        <f>'Adubos e corretivos'!R24</f>
        <v>0</v>
      </c>
      <c r="AR284" s="636">
        <f>'Adubos e corretivos'!S24</f>
        <v>0</v>
      </c>
      <c r="AS284" s="636">
        <f>'Adubos e corretivos'!T24</f>
        <v>0</v>
      </c>
      <c r="AT284" s="636">
        <f>'Adubos e corretivos'!U24</f>
        <v>0</v>
      </c>
      <c r="AU284" s="636">
        <f>'Adubos e corretivos'!V24</f>
        <v>0</v>
      </c>
      <c r="AV284" s="613"/>
    </row>
    <row r="285" spans="20:48" ht="20.25" customHeight="1" x14ac:dyDescent="0.25">
      <c r="T285" s="226"/>
      <c r="U285" s="450" t="s">
        <v>254</v>
      </c>
      <c r="V285" s="451"/>
      <c r="W285" s="452"/>
      <c r="X285" s="228"/>
      <c r="Z285" s="610"/>
      <c r="AA285" s="634"/>
      <c r="AB285" s="636">
        <f>'Adubos e corretivos'!C25</f>
        <v>0</v>
      </c>
      <c r="AC285" s="636">
        <f>'Adubos e corretivos'!D25</f>
        <v>0</v>
      </c>
      <c r="AD285" s="636">
        <f>'Adubos e corretivos'!E25</f>
        <v>0</v>
      </c>
      <c r="AE285" s="636">
        <f>'Adubos e corretivos'!F25</f>
        <v>0</v>
      </c>
      <c r="AF285" s="636">
        <f>'Adubos e corretivos'!G25</f>
        <v>0</v>
      </c>
      <c r="AG285" s="636">
        <f>'Adubos e corretivos'!H25</f>
        <v>0</v>
      </c>
      <c r="AH285" s="636">
        <f>'Adubos e corretivos'!I25</f>
        <v>0</v>
      </c>
      <c r="AI285" s="636">
        <f>'Adubos e corretivos'!J25</f>
        <v>0</v>
      </c>
      <c r="AJ285" s="636">
        <f>'Adubos e corretivos'!K25</f>
        <v>0</v>
      </c>
      <c r="AK285" s="636">
        <f>'Adubos e corretivos'!L25</f>
        <v>0</v>
      </c>
      <c r="AL285" s="636">
        <f>'Adubos e corretivos'!M25</f>
        <v>0</v>
      </c>
      <c r="AM285" s="636">
        <f>'Adubos e corretivos'!N25</f>
        <v>0</v>
      </c>
      <c r="AN285" s="636">
        <f>'Adubos e corretivos'!O25</f>
        <v>0</v>
      </c>
      <c r="AO285" s="636">
        <f>'Adubos e corretivos'!P25</f>
        <v>0</v>
      </c>
      <c r="AP285" s="636">
        <f>'Adubos e corretivos'!Q25</f>
        <v>0</v>
      </c>
      <c r="AQ285" s="636">
        <f>'Adubos e corretivos'!R25</f>
        <v>0</v>
      </c>
      <c r="AR285" s="636">
        <f>'Adubos e corretivos'!S25</f>
        <v>0</v>
      </c>
      <c r="AS285" s="636">
        <f>'Adubos e corretivos'!T25</f>
        <v>0</v>
      </c>
      <c r="AT285" s="636">
        <f>'Adubos e corretivos'!U25</f>
        <v>0</v>
      </c>
      <c r="AU285" s="636">
        <f>'Adubos e corretivos'!V25</f>
        <v>0</v>
      </c>
      <c r="AV285" s="613"/>
    </row>
    <row r="286" spans="20:48" ht="20.25" customHeight="1" x14ac:dyDescent="0.25">
      <c r="T286" s="226"/>
      <c r="U286" s="450" t="s">
        <v>251</v>
      </c>
      <c r="V286" s="451"/>
      <c r="W286" s="452"/>
      <c r="X286" s="228"/>
      <c r="Z286" s="610"/>
      <c r="AA286" s="634"/>
      <c r="AB286" s="636" t="str">
        <f>'Adubos e corretivos'!C26</f>
        <v>Formulado 07-00-30 (Ncalcio)</v>
      </c>
      <c r="AC286" s="636">
        <f>'Adubos e corretivos'!D26</f>
        <v>0</v>
      </c>
      <c r="AD286" s="636">
        <f>'Adubos e corretivos'!E26</f>
        <v>7</v>
      </c>
      <c r="AE286" s="636">
        <f>'Adubos e corretivos'!F26</f>
        <v>0</v>
      </c>
      <c r="AF286" s="636">
        <f>'Adubos e corretivos'!G26</f>
        <v>0</v>
      </c>
      <c r="AG286" s="636">
        <f>'Adubos e corretivos'!H26</f>
        <v>24.89</v>
      </c>
      <c r="AH286" s="636">
        <f>'Adubos e corretivos'!I26</f>
        <v>30</v>
      </c>
      <c r="AI286" s="636">
        <f>'Adubos e corretivos'!J26</f>
        <v>0</v>
      </c>
      <c r="AJ286" s="636">
        <f>'Adubos e corretivos'!K26</f>
        <v>0</v>
      </c>
      <c r="AK286" s="636">
        <f>'Adubos e corretivos'!L26</f>
        <v>0</v>
      </c>
      <c r="AL286" s="636">
        <f>'Adubos e corretivos'!M26</f>
        <v>0</v>
      </c>
      <c r="AM286" s="636">
        <f>'Adubos e corretivos'!N26</f>
        <v>0</v>
      </c>
      <c r="AN286" s="636">
        <f>'Adubos e corretivos'!O26</f>
        <v>0</v>
      </c>
      <c r="AO286" s="636">
        <f>'Adubos e corretivos'!P26</f>
        <v>0</v>
      </c>
      <c r="AP286" s="636">
        <f>'Adubos e corretivos'!Q26</f>
        <v>0</v>
      </c>
      <c r="AQ286" s="636">
        <f>'Adubos e corretivos'!R26</f>
        <v>0</v>
      </c>
      <c r="AR286" s="636">
        <f>'Adubos e corretivos'!S26</f>
        <v>0</v>
      </c>
      <c r="AS286" s="636">
        <f>'Adubos e corretivos'!T26</f>
        <v>0</v>
      </c>
      <c r="AT286" s="636">
        <f>'Adubos e corretivos'!U26</f>
        <v>0</v>
      </c>
      <c r="AU286" s="636">
        <f>'Adubos e corretivos'!V26</f>
        <v>0</v>
      </c>
      <c r="AV286" s="613"/>
    </row>
    <row r="287" spans="20:48" ht="20.25" customHeight="1" x14ac:dyDescent="0.25">
      <c r="T287" s="226"/>
      <c r="U287" s="448" t="s">
        <v>93</v>
      </c>
      <c r="V287" s="448"/>
      <c r="W287" s="92">
        <v>1</v>
      </c>
      <c r="X287" s="228"/>
      <c r="Z287" s="610"/>
      <c r="AA287" s="634"/>
      <c r="AB287" s="636" t="str">
        <f>'Adubos e corretivos'!C27</f>
        <v>Formulado 10-10-10</v>
      </c>
      <c r="AC287" s="636">
        <f>'Adubos e corretivos'!D27</f>
        <v>0</v>
      </c>
      <c r="AD287" s="636">
        <f>'Adubos e corretivos'!E27</f>
        <v>10</v>
      </c>
      <c r="AE287" s="636">
        <f>'Adubos e corretivos'!F27</f>
        <v>4.4000000000000004</v>
      </c>
      <c r="AF287" s="636">
        <f>'Adubos e corretivos'!G27</f>
        <v>10</v>
      </c>
      <c r="AG287" s="636">
        <f>'Adubos e corretivos'!H27</f>
        <v>8.3000000000000007</v>
      </c>
      <c r="AH287" s="636">
        <f>'Adubos e corretivos'!I27</f>
        <v>10</v>
      </c>
      <c r="AI287" s="636">
        <f>'Adubos e corretivos'!J27</f>
        <v>0</v>
      </c>
      <c r="AJ287" s="636">
        <f>'Adubos e corretivos'!K27</f>
        <v>0</v>
      </c>
      <c r="AK287" s="636">
        <f>'Adubos e corretivos'!L27</f>
        <v>0</v>
      </c>
      <c r="AL287" s="636">
        <f>'Adubos e corretivos'!M27</f>
        <v>0</v>
      </c>
      <c r="AM287" s="636">
        <f>'Adubos e corretivos'!N27</f>
        <v>0</v>
      </c>
      <c r="AN287" s="636">
        <f>'Adubos e corretivos'!O27</f>
        <v>0</v>
      </c>
      <c r="AO287" s="636">
        <f>'Adubos e corretivos'!P27</f>
        <v>0</v>
      </c>
      <c r="AP287" s="636">
        <f>'Adubos e corretivos'!Q27</f>
        <v>0</v>
      </c>
      <c r="AQ287" s="636">
        <f>'Adubos e corretivos'!R27</f>
        <v>0</v>
      </c>
      <c r="AR287" s="636">
        <f>'Adubos e corretivos'!S27</f>
        <v>0</v>
      </c>
      <c r="AS287" s="636">
        <f>'Adubos e corretivos'!T27</f>
        <v>0</v>
      </c>
      <c r="AT287" s="636">
        <f>'Adubos e corretivos'!U27</f>
        <v>0</v>
      </c>
      <c r="AU287" s="636">
        <f>'Adubos e corretivos'!V27</f>
        <v>0</v>
      </c>
      <c r="AV287" s="613"/>
    </row>
    <row r="288" spans="20:48" ht="20.25" customHeight="1" x14ac:dyDescent="0.25">
      <c r="T288" s="226"/>
      <c r="U288" s="448"/>
      <c r="V288" s="448"/>
      <c r="W288" s="92"/>
      <c r="X288" s="228"/>
      <c r="Z288" s="610"/>
      <c r="AA288" s="634"/>
      <c r="AB288" s="636" t="str">
        <f>'Adubos e corretivos'!C28</f>
        <v>Formulado 12-03-24 (Timac)</v>
      </c>
      <c r="AC288" s="636">
        <f>'Adubos e corretivos'!D28</f>
        <v>0</v>
      </c>
      <c r="AD288" s="636">
        <f>'Adubos e corretivos'!E28</f>
        <v>12</v>
      </c>
      <c r="AE288" s="636">
        <f>'Adubos e corretivos'!F28</f>
        <v>1.31</v>
      </c>
      <c r="AF288" s="636">
        <f>'Adubos e corretivos'!G28</f>
        <v>3</v>
      </c>
      <c r="AG288" s="636">
        <f>'Adubos e corretivos'!H28</f>
        <v>20</v>
      </c>
      <c r="AH288" s="636">
        <f>'Adubos e corretivos'!I28</f>
        <v>24</v>
      </c>
      <c r="AI288" s="636">
        <f>'Adubos e corretivos'!J28</f>
        <v>0</v>
      </c>
      <c r="AJ288" s="636">
        <f>'Adubos e corretivos'!K28</f>
        <v>0</v>
      </c>
      <c r="AK288" s="636">
        <f>'Adubos e corretivos'!L28</f>
        <v>0</v>
      </c>
      <c r="AL288" s="636">
        <f>'Adubos e corretivos'!M28</f>
        <v>0</v>
      </c>
      <c r="AM288" s="636">
        <f>'Adubos e corretivos'!N28</f>
        <v>0</v>
      </c>
      <c r="AN288" s="636">
        <f>'Adubos e corretivos'!O28</f>
        <v>0</v>
      </c>
      <c r="AO288" s="636">
        <f>'Adubos e corretivos'!P28</f>
        <v>0</v>
      </c>
      <c r="AP288" s="636">
        <f>'Adubos e corretivos'!Q28</f>
        <v>0</v>
      </c>
      <c r="AQ288" s="636">
        <f>'Adubos e corretivos'!R28</f>
        <v>0</v>
      </c>
      <c r="AR288" s="636">
        <f>'Adubos e corretivos'!S28</f>
        <v>0</v>
      </c>
      <c r="AS288" s="636">
        <f>'Adubos e corretivos'!T28</f>
        <v>0</v>
      </c>
      <c r="AT288" s="636">
        <f>'Adubos e corretivos'!U28</f>
        <v>0</v>
      </c>
      <c r="AU288" s="636">
        <f>'Adubos e corretivos'!V28</f>
        <v>0</v>
      </c>
      <c r="AV288" s="613"/>
    </row>
    <row r="289" spans="20:48" ht="20.25" customHeight="1" x14ac:dyDescent="0.25">
      <c r="T289" s="226"/>
      <c r="U289" s="448"/>
      <c r="V289" s="448"/>
      <c r="W289" s="92"/>
      <c r="X289" s="228"/>
      <c r="Z289" s="610"/>
      <c r="AA289" s="634"/>
      <c r="AB289" s="636" t="str">
        <f>'Adubos e corretivos'!C29</f>
        <v>Formulado 20-00-20</v>
      </c>
      <c r="AC289" s="636">
        <f>'Adubos e corretivos'!D29</f>
        <v>0</v>
      </c>
      <c r="AD289" s="636">
        <f>'Adubos e corretivos'!E29</f>
        <v>20</v>
      </c>
      <c r="AE289" s="636">
        <f>'Adubos e corretivos'!F29</f>
        <v>0</v>
      </c>
      <c r="AF289" s="636">
        <f>'Adubos e corretivos'!G29</f>
        <v>0</v>
      </c>
      <c r="AG289" s="636">
        <f>'Adubos e corretivos'!H29</f>
        <v>16.600000000000001</v>
      </c>
      <c r="AH289" s="636">
        <f>'Adubos e corretivos'!I29</f>
        <v>20</v>
      </c>
      <c r="AI289" s="636">
        <f>'Adubos e corretivos'!J29</f>
        <v>0</v>
      </c>
      <c r="AJ289" s="636">
        <f>'Adubos e corretivos'!K29</f>
        <v>0</v>
      </c>
      <c r="AK289" s="636">
        <f>'Adubos e corretivos'!L29</f>
        <v>0</v>
      </c>
      <c r="AL289" s="636">
        <f>'Adubos e corretivos'!M29</f>
        <v>0</v>
      </c>
      <c r="AM289" s="636">
        <f>'Adubos e corretivos'!N29</f>
        <v>0</v>
      </c>
      <c r="AN289" s="636">
        <f>'Adubos e corretivos'!O29</f>
        <v>0</v>
      </c>
      <c r="AO289" s="636">
        <f>'Adubos e corretivos'!P29</f>
        <v>0</v>
      </c>
      <c r="AP289" s="636">
        <f>'Adubos e corretivos'!Q29</f>
        <v>0</v>
      </c>
      <c r="AQ289" s="636">
        <f>'Adubos e corretivos'!R29</f>
        <v>0</v>
      </c>
      <c r="AR289" s="636">
        <f>'Adubos e corretivos'!S29</f>
        <v>0</v>
      </c>
      <c r="AS289" s="636">
        <f>'Adubos e corretivos'!T29</f>
        <v>0</v>
      </c>
      <c r="AT289" s="636">
        <f>'Adubos e corretivos'!U29</f>
        <v>0</v>
      </c>
      <c r="AU289" s="636">
        <f>'Adubos e corretivos'!V29</f>
        <v>0</v>
      </c>
      <c r="AV289" s="613"/>
    </row>
    <row r="290" spans="20:48" ht="20.25" customHeight="1" x14ac:dyDescent="0.25">
      <c r="T290" s="226"/>
      <c r="U290" s="227"/>
      <c r="V290" s="227"/>
      <c r="W290" s="227"/>
      <c r="X290" s="228"/>
      <c r="Z290" s="610"/>
      <c r="AA290" s="634"/>
      <c r="AB290" s="636" t="str">
        <f>'Adubos e corretivos'!C30</f>
        <v>Hortimax Cobertura 13-3-25</v>
      </c>
      <c r="AC290" s="636">
        <f>'Adubos e corretivos'!D30</f>
        <v>0</v>
      </c>
      <c r="AD290" s="636">
        <f>'Adubos e corretivos'!E30</f>
        <v>13</v>
      </c>
      <c r="AE290" s="636">
        <f>'Adubos e corretivos'!F30</f>
        <v>1.31</v>
      </c>
      <c r="AF290" s="636">
        <f>'Adubos e corretivos'!G30</f>
        <v>3</v>
      </c>
      <c r="AG290" s="636">
        <f>'Adubos e corretivos'!H30</f>
        <v>20.8</v>
      </c>
      <c r="AH290" s="636">
        <f>'Adubos e corretivos'!I30</f>
        <v>25</v>
      </c>
      <c r="AI290" s="636">
        <f>'Adubos e corretivos'!J30</f>
        <v>0</v>
      </c>
      <c r="AJ290" s="636">
        <f>'Adubos e corretivos'!K30</f>
        <v>0</v>
      </c>
      <c r="AK290" s="636">
        <f>'Adubos e corretivos'!L30</f>
        <v>0</v>
      </c>
      <c r="AL290" s="636">
        <f>'Adubos e corretivos'!M30</f>
        <v>0</v>
      </c>
      <c r="AM290" s="636">
        <f>'Adubos e corretivos'!N30</f>
        <v>0</v>
      </c>
      <c r="AN290" s="636">
        <f>'Adubos e corretivos'!O30</f>
        <v>0</v>
      </c>
      <c r="AO290" s="636">
        <f>'Adubos e corretivos'!P30</f>
        <v>0</v>
      </c>
      <c r="AP290" s="636">
        <f>'Adubos e corretivos'!Q30</f>
        <v>0</v>
      </c>
      <c r="AQ290" s="636">
        <f>'Adubos e corretivos'!R30</f>
        <v>0</v>
      </c>
      <c r="AR290" s="636">
        <f>'Adubos e corretivos'!S30</f>
        <v>0</v>
      </c>
      <c r="AS290" s="636">
        <f>'Adubos e corretivos'!T30</f>
        <v>0</v>
      </c>
      <c r="AT290" s="636">
        <f>'Adubos e corretivos'!U30</f>
        <v>0</v>
      </c>
      <c r="AU290" s="636">
        <f>'Adubos e corretivos'!V30</f>
        <v>0</v>
      </c>
      <c r="AV290" s="613"/>
    </row>
    <row r="291" spans="20:48" ht="20.25" customHeight="1" x14ac:dyDescent="0.25">
      <c r="T291" s="226"/>
      <c r="U291" s="365" t="s">
        <v>264</v>
      </c>
      <c r="V291" s="365"/>
      <c r="W291" s="365"/>
      <c r="X291" s="228"/>
      <c r="Z291" s="610"/>
      <c r="AA291" s="634"/>
      <c r="AB291" s="636">
        <f>'Adubos e corretivos'!C31</f>
        <v>0</v>
      </c>
      <c r="AC291" s="636">
        <f>'Adubos e corretivos'!D31</f>
        <v>0</v>
      </c>
      <c r="AD291" s="636">
        <f>'Adubos e corretivos'!E31</f>
        <v>0</v>
      </c>
      <c r="AE291" s="636">
        <f>'Adubos e corretivos'!F31</f>
        <v>0</v>
      </c>
      <c r="AF291" s="636">
        <f>'Adubos e corretivos'!G31</f>
        <v>0</v>
      </c>
      <c r="AG291" s="636">
        <f>'Adubos e corretivos'!H31</f>
        <v>0</v>
      </c>
      <c r="AH291" s="636">
        <f>'Adubos e corretivos'!I31</f>
        <v>0</v>
      </c>
      <c r="AI291" s="636">
        <f>'Adubos e corretivos'!J31</f>
        <v>0</v>
      </c>
      <c r="AJ291" s="636">
        <f>'Adubos e corretivos'!K31</f>
        <v>0</v>
      </c>
      <c r="AK291" s="636">
        <f>'Adubos e corretivos'!L31</f>
        <v>0</v>
      </c>
      <c r="AL291" s="636">
        <f>'Adubos e corretivos'!M31</f>
        <v>0</v>
      </c>
      <c r="AM291" s="636">
        <f>'Adubos e corretivos'!N31</f>
        <v>0</v>
      </c>
      <c r="AN291" s="636">
        <f>'Adubos e corretivos'!O31</f>
        <v>0</v>
      </c>
      <c r="AO291" s="636">
        <f>'Adubos e corretivos'!P31</f>
        <v>0</v>
      </c>
      <c r="AP291" s="636">
        <f>'Adubos e corretivos'!Q31</f>
        <v>0</v>
      </c>
      <c r="AQ291" s="636">
        <f>'Adubos e corretivos'!R31</f>
        <v>0</v>
      </c>
      <c r="AR291" s="636">
        <f>'Adubos e corretivos'!S31</f>
        <v>0</v>
      </c>
      <c r="AS291" s="636">
        <f>'Adubos e corretivos'!T31</f>
        <v>0</v>
      </c>
      <c r="AT291" s="636">
        <f>'Adubos e corretivos'!U31</f>
        <v>0</v>
      </c>
      <c r="AU291" s="636">
        <f>'Adubos e corretivos'!V31</f>
        <v>0</v>
      </c>
      <c r="AV291" s="613"/>
    </row>
    <row r="292" spans="20:48" ht="20.25" customHeight="1" thickBot="1" x14ac:dyDescent="0.3">
      <c r="T292" s="226"/>
      <c r="U292" s="230"/>
      <c r="V292" s="230"/>
      <c r="W292" s="230"/>
      <c r="X292" s="228"/>
      <c r="Z292" s="610"/>
      <c r="AA292" s="634"/>
      <c r="AB292" s="636">
        <f>'Adubos e corretivos'!C32</f>
        <v>0</v>
      </c>
      <c r="AC292" s="636">
        <f>'Adubos e corretivos'!D32</f>
        <v>0</v>
      </c>
      <c r="AD292" s="636">
        <f>'Adubos e corretivos'!E32</f>
        <v>0</v>
      </c>
      <c r="AE292" s="636">
        <f>'Adubos e corretivos'!F32</f>
        <v>0</v>
      </c>
      <c r="AF292" s="636">
        <f>'Adubos e corretivos'!G32</f>
        <v>0</v>
      </c>
      <c r="AG292" s="636">
        <f>'Adubos e corretivos'!H32</f>
        <v>0</v>
      </c>
      <c r="AH292" s="636">
        <f>'Adubos e corretivos'!I32</f>
        <v>0</v>
      </c>
      <c r="AI292" s="636">
        <f>'Adubos e corretivos'!J32</f>
        <v>0</v>
      </c>
      <c r="AJ292" s="636">
        <f>'Adubos e corretivos'!K32</f>
        <v>0</v>
      </c>
      <c r="AK292" s="636">
        <f>'Adubos e corretivos'!L32</f>
        <v>0</v>
      </c>
      <c r="AL292" s="636">
        <f>'Adubos e corretivos'!M32</f>
        <v>0</v>
      </c>
      <c r="AM292" s="636">
        <f>'Adubos e corretivos'!N32</f>
        <v>0</v>
      </c>
      <c r="AN292" s="636">
        <f>'Adubos e corretivos'!O32</f>
        <v>0</v>
      </c>
      <c r="AO292" s="636">
        <f>'Adubos e corretivos'!P32</f>
        <v>0</v>
      </c>
      <c r="AP292" s="636">
        <f>'Adubos e corretivos'!Q32</f>
        <v>0</v>
      </c>
      <c r="AQ292" s="636">
        <f>'Adubos e corretivos'!R32</f>
        <v>0</v>
      </c>
      <c r="AR292" s="636">
        <f>'Adubos e corretivos'!S32</f>
        <v>0</v>
      </c>
      <c r="AS292" s="636">
        <f>'Adubos e corretivos'!T32</f>
        <v>0</v>
      </c>
      <c r="AT292" s="636">
        <f>'Adubos e corretivos'!U32</f>
        <v>0</v>
      </c>
      <c r="AU292" s="636">
        <f>'Adubos e corretivos'!V32</f>
        <v>0</v>
      </c>
      <c r="AV292" s="613"/>
    </row>
    <row r="293" spans="20:48" ht="20.25" customHeight="1" x14ac:dyDescent="0.25">
      <c r="T293" s="226"/>
      <c r="U293" s="343" t="s">
        <v>255</v>
      </c>
      <c r="V293" s="343"/>
      <c r="W293" s="343"/>
      <c r="X293" s="228"/>
      <c r="Z293" s="610"/>
      <c r="AA293" s="634"/>
      <c r="AB293" s="636">
        <f>'Adubos e corretivos'!C33</f>
        <v>0</v>
      </c>
      <c r="AC293" s="636">
        <f>'Adubos e corretivos'!D33</f>
        <v>0</v>
      </c>
      <c r="AD293" s="636">
        <f>'Adubos e corretivos'!E33</f>
        <v>0</v>
      </c>
      <c r="AE293" s="636">
        <f>'Adubos e corretivos'!F33</f>
        <v>0</v>
      </c>
      <c r="AF293" s="636">
        <f>'Adubos e corretivos'!G33</f>
        <v>0</v>
      </c>
      <c r="AG293" s="636">
        <f>'Adubos e corretivos'!H33</f>
        <v>0</v>
      </c>
      <c r="AH293" s="636">
        <f>'Adubos e corretivos'!I33</f>
        <v>0</v>
      </c>
      <c r="AI293" s="636">
        <f>'Adubos e corretivos'!J33</f>
        <v>0</v>
      </c>
      <c r="AJ293" s="636">
        <f>'Adubos e corretivos'!K33</f>
        <v>0</v>
      </c>
      <c r="AK293" s="636">
        <f>'Adubos e corretivos'!L33</f>
        <v>0</v>
      </c>
      <c r="AL293" s="636">
        <f>'Adubos e corretivos'!M33</f>
        <v>0</v>
      </c>
      <c r="AM293" s="636">
        <f>'Adubos e corretivos'!N33</f>
        <v>0</v>
      </c>
      <c r="AN293" s="636">
        <f>'Adubos e corretivos'!O33</f>
        <v>0</v>
      </c>
      <c r="AO293" s="636">
        <f>'Adubos e corretivos'!P33</f>
        <v>0</v>
      </c>
      <c r="AP293" s="636">
        <f>'Adubos e corretivos'!Q33</f>
        <v>0</v>
      </c>
      <c r="AQ293" s="636">
        <f>'Adubos e corretivos'!R33</f>
        <v>0</v>
      </c>
      <c r="AR293" s="636">
        <f>'Adubos e corretivos'!S33</f>
        <v>0</v>
      </c>
      <c r="AS293" s="636">
        <f>'Adubos e corretivos'!T33</f>
        <v>0</v>
      </c>
      <c r="AT293" s="636">
        <f>'Adubos e corretivos'!U33</f>
        <v>0</v>
      </c>
      <c r="AU293" s="636">
        <f>'Adubos e corretivos'!V33</f>
        <v>0</v>
      </c>
      <c r="AV293" s="613"/>
    </row>
    <row r="294" spans="20:48" ht="20.25" customHeight="1" x14ac:dyDescent="0.25">
      <c r="T294" s="226"/>
      <c r="U294" s="448" t="s">
        <v>316</v>
      </c>
      <c r="V294" s="448"/>
      <c r="W294" s="448"/>
      <c r="X294" s="228"/>
      <c r="Z294" s="610"/>
      <c r="AA294" s="634" t="s">
        <v>280</v>
      </c>
      <c r="AB294" s="636" t="str">
        <f>'Adubos e corretivos'!C34</f>
        <v>Biobokashi Farelado FERTIBIO (61 9827-4439)</v>
      </c>
      <c r="AC294" s="636">
        <f>'Adubos e corretivos'!D34</f>
        <v>0</v>
      </c>
      <c r="AD294" s="636">
        <f>'Adubos e corretivos'!E34</f>
        <v>0</v>
      </c>
      <c r="AE294" s="636">
        <f>'Adubos e corretivos'!F34</f>
        <v>0</v>
      </c>
      <c r="AF294" s="636">
        <f>'Adubos e corretivos'!G34</f>
        <v>0</v>
      </c>
      <c r="AG294" s="636">
        <f>'Adubos e corretivos'!H34</f>
        <v>0</v>
      </c>
      <c r="AH294" s="636">
        <f>'Adubos e corretivos'!I34</f>
        <v>0</v>
      </c>
      <c r="AI294" s="636">
        <f>'Adubos e corretivos'!J34</f>
        <v>0</v>
      </c>
      <c r="AJ294" s="636">
        <f>'Adubos e corretivos'!K34</f>
        <v>0</v>
      </c>
      <c r="AK294" s="636">
        <f>'Adubos e corretivos'!L34</f>
        <v>0</v>
      </c>
      <c r="AL294" s="636">
        <f>'Adubos e corretivos'!M34</f>
        <v>0</v>
      </c>
      <c r="AM294" s="636">
        <f>'Adubos e corretivos'!N34</f>
        <v>0</v>
      </c>
      <c r="AN294" s="636">
        <f>'Adubos e corretivos'!O34</f>
        <v>0</v>
      </c>
      <c r="AO294" s="636">
        <f>'Adubos e corretivos'!P34</f>
        <v>0</v>
      </c>
      <c r="AP294" s="636">
        <f>'Adubos e corretivos'!Q34</f>
        <v>0</v>
      </c>
      <c r="AQ294" s="636">
        <f>'Adubos e corretivos'!R34</f>
        <v>0</v>
      </c>
      <c r="AR294" s="636">
        <f>'Adubos e corretivos'!S34</f>
        <v>0</v>
      </c>
      <c r="AS294" s="636">
        <f>'Adubos e corretivos'!T34</f>
        <v>0</v>
      </c>
      <c r="AT294" s="636">
        <f>'Adubos e corretivos'!U34</f>
        <v>0</v>
      </c>
      <c r="AU294" s="636">
        <f>'Adubos e corretivos'!V34</f>
        <v>0</v>
      </c>
      <c r="AV294" s="613"/>
    </row>
    <row r="295" spans="20:48" ht="20.25" customHeight="1" x14ac:dyDescent="0.25">
      <c r="T295" s="226"/>
      <c r="U295" s="448" t="s">
        <v>257</v>
      </c>
      <c r="V295" s="448"/>
      <c r="W295" s="448"/>
      <c r="X295" s="228"/>
      <c r="Z295" s="610"/>
      <c r="AA295" s="634"/>
      <c r="AB295" s="636" t="str">
        <f>'Adubos e corretivos'!C35</f>
        <v>Bokashi Carlos (061 9 9681-3730)</v>
      </c>
      <c r="AC295" s="636">
        <f>'Adubos e corretivos'!D35</f>
        <v>0</v>
      </c>
      <c r="AD295" s="636">
        <f>'Adubos e corretivos'!E35</f>
        <v>3</v>
      </c>
      <c r="AE295" s="636">
        <f>'Adubos e corretivos'!F35</f>
        <v>2.63</v>
      </c>
      <c r="AF295" s="636">
        <f>'Adubos e corretivos'!G35</f>
        <v>6</v>
      </c>
      <c r="AG295" s="636">
        <f>'Adubos e corretivos'!H35</f>
        <v>3.32</v>
      </c>
      <c r="AH295" s="636">
        <f>'Adubos e corretivos'!I35</f>
        <v>4</v>
      </c>
      <c r="AI295" s="636">
        <f>'Adubos e corretivos'!J35</f>
        <v>0</v>
      </c>
      <c r="AJ295" s="636">
        <f>'Adubos e corretivos'!K35</f>
        <v>0</v>
      </c>
      <c r="AK295" s="636">
        <f>'Adubos e corretivos'!L35</f>
        <v>0</v>
      </c>
      <c r="AL295" s="636">
        <f>'Adubos e corretivos'!M35</f>
        <v>0</v>
      </c>
      <c r="AM295" s="636">
        <f>'Adubos e corretivos'!N35</f>
        <v>0</v>
      </c>
      <c r="AN295" s="636">
        <f>'Adubos e corretivos'!O35</f>
        <v>0</v>
      </c>
      <c r="AO295" s="636">
        <f>'Adubos e corretivos'!P35</f>
        <v>0</v>
      </c>
      <c r="AP295" s="636">
        <f>'Adubos e corretivos'!Q35</f>
        <v>0</v>
      </c>
      <c r="AQ295" s="636">
        <f>'Adubos e corretivos'!R35</f>
        <v>0</v>
      </c>
      <c r="AR295" s="636">
        <f>'Adubos e corretivos'!S35</f>
        <v>0</v>
      </c>
      <c r="AS295" s="636">
        <f>'Adubos e corretivos'!T35</f>
        <v>0</v>
      </c>
      <c r="AT295" s="636">
        <f>'Adubos e corretivos'!U35</f>
        <v>0</v>
      </c>
      <c r="AU295" s="636">
        <f>'Adubos e corretivos'!V35</f>
        <v>0</v>
      </c>
      <c r="AV295" s="613"/>
    </row>
    <row r="296" spans="20:48" ht="20.25" customHeight="1" x14ac:dyDescent="0.25">
      <c r="T296" s="226"/>
      <c r="U296" s="448" t="s">
        <v>103</v>
      </c>
      <c r="V296" s="448"/>
      <c r="W296" s="448"/>
      <c r="X296" s="228"/>
      <c r="Z296" s="610"/>
      <c r="AA296" s="634"/>
      <c r="AB296" s="636" t="str">
        <f>'Adubos e corretivos'!C36</f>
        <v>Bokashi ORGANICS (062 3247-3100)</v>
      </c>
      <c r="AC296" s="636">
        <f>'Adubos e corretivos'!D36</f>
        <v>0</v>
      </c>
      <c r="AD296" s="636">
        <f>'Adubos e corretivos'!E36</f>
        <v>3</v>
      </c>
      <c r="AE296" s="636">
        <f>'Adubos e corretivos'!F36</f>
        <v>2.19</v>
      </c>
      <c r="AF296" s="636">
        <f>'Adubos e corretivos'!G36</f>
        <v>5</v>
      </c>
      <c r="AG296" s="636">
        <f>'Adubos e corretivos'!H36</f>
        <v>3.32</v>
      </c>
      <c r="AH296" s="636">
        <f>'Adubos e corretivos'!I36</f>
        <v>4</v>
      </c>
      <c r="AI296" s="636">
        <f>'Adubos e corretivos'!J36</f>
        <v>0</v>
      </c>
      <c r="AJ296" s="636">
        <f>'Adubos e corretivos'!K36</f>
        <v>0</v>
      </c>
      <c r="AK296" s="636">
        <f>'Adubos e corretivos'!L36</f>
        <v>0</v>
      </c>
      <c r="AL296" s="636">
        <f>'Adubos e corretivos'!M36</f>
        <v>0</v>
      </c>
      <c r="AM296" s="636">
        <f>'Adubos e corretivos'!N36</f>
        <v>0</v>
      </c>
      <c r="AN296" s="636">
        <f>'Adubos e corretivos'!O36</f>
        <v>0</v>
      </c>
      <c r="AO296" s="636">
        <f>'Adubos e corretivos'!P36</f>
        <v>0</v>
      </c>
      <c r="AP296" s="636">
        <f>'Adubos e corretivos'!Q36</f>
        <v>0</v>
      </c>
      <c r="AQ296" s="636">
        <f>'Adubos e corretivos'!R36</f>
        <v>0</v>
      </c>
      <c r="AR296" s="636">
        <f>'Adubos e corretivos'!S36</f>
        <v>0</v>
      </c>
      <c r="AS296" s="636">
        <f>'Adubos e corretivos'!T36</f>
        <v>0</v>
      </c>
      <c r="AT296" s="636">
        <f>'Adubos e corretivos'!U36</f>
        <v>0</v>
      </c>
      <c r="AU296" s="636">
        <f>'Adubos e corretivos'!V36</f>
        <v>0</v>
      </c>
      <c r="AV296" s="613"/>
    </row>
    <row r="297" spans="20:48" ht="20.25" customHeight="1" x14ac:dyDescent="0.25">
      <c r="T297" s="226"/>
      <c r="U297" s="448" t="s">
        <v>102</v>
      </c>
      <c r="V297" s="448"/>
      <c r="W297" s="448"/>
      <c r="X297" s="228"/>
      <c r="Z297" s="610"/>
      <c r="AA297" s="634"/>
      <c r="AB297" s="636" t="str">
        <f>'Adubos e corretivos'!C37</f>
        <v>Bokashi Valdemar (9 9811-2414)</v>
      </c>
      <c r="AC297" s="636">
        <f>'Adubos e corretivos'!D37</f>
        <v>0</v>
      </c>
      <c r="AD297" s="636">
        <f>'Adubos e corretivos'!E37</f>
        <v>3</v>
      </c>
      <c r="AE297" s="636">
        <f>'Adubos e corretivos'!F37</f>
        <v>2.63</v>
      </c>
      <c r="AF297" s="636">
        <f>'Adubos e corretivos'!G37</f>
        <v>6</v>
      </c>
      <c r="AG297" s="636">
        <f>'Adubos e corretivos'!H37</f>
        <v>3.32</v>
      </c>
      <c r="AH297" s="636">
        <f>'Adubos e corretivos'!I37</f>
        <v>4</v>
      </c>
      <c r="AI297" s="636">
        <f>'Adubos e corretivos'!J37</f>
        <v>0</v>
      </c>
      <c r="AJ297" s="636">
        <f>'Adubos e corretivos'!K37</f>
        <v>0</v>
      </c>
      <c r="AK297" s="636">
        <f>'Adubos e corretivos'!L37</f>
        <v>0</v>
      </c>
      <c r="AL297" s="636">
        <f>'Adubos e corretivos'!M37</f>
        <v>0</v>
      </c>
      <c r="AM297" s="636">
        <f>'Adubos e corretivos'!N37</f>
        <v>0</v>
      </c>
      <c r="AN297" s="636">
        <f>'Adubos e corretivos'!O37</f>
        <v>0</v>
      </c>
      <c r="AO297" s="636">
        <f>'Adubos e corretivos'!P37</f>
        <v>0</v>
      </c>
      <c r="AP297" s="636">
        <f>'Adubos e corretivos'!Q37</f>
        <v>0</v>
      </c>
      <c r="AQ297" s="636">
        <f>'Adubos e corretivos'!R37</f>
        <v>0</v>
      </c>
      <c r="AR297" s="636">
        <f>'Adubos e corretivos'!S37</f>
        <v>0</v>
      </c>
      <c r="AS297" s="636">
        <f>'Adubos e corretivos'!T37</f>
        <v>0</v>
      </c>
      <c r="AT297" s="636">
        <f>'Adubos e corretivos'!U37</f>
        <v>0</v>
      </c>
      <c r="AU297" s="636">
        <f>'Adubos e corretivos'!V37</f>
        <v>0</v>
      </c>
      <c r="AV297" s="613"/>
    </row>
    <row r="298" spans="20:48" ht="20.25" customHeight="1" x14ac:dyDescent="0.25">
      <c r="T298" s="226"/>
      <c r="U298" s="448"/>
      <c r="V298" s="448"/>
      <c r="W298" s="448"/>
      <c r="X298" s="228"/>
      <c r="Z298" s="610"/>
      <c r="AA298" s="634"/>
      <c r="AB298" s="636" t="str">
        <f>'Adubos e corretivos'!C38</f>
        <v>Composto Bioensima BONASA (061 9 9967-0863)</v>
      </c>
      <c r="AC298" s="636">
        <f>'Adubos e corretivos'!D38</f>
        <v>0</v>
      </c>
      <c r="AD298" s="636">
        <f>'Adubos e corretivos'!E38</f>
        <v>2.57</v>
      </c>
      <c r="AE298" s="636">
        <f>'Adubos e corretivos'!F38</f>
        <v>0.55500000000000005</v>
      </c>
      <c r="AF298" s="636">
        <f>'Adubos e corretivos'!G38</f>
        <v>1.3</v>
      </c>
      <c r="AG298" s="636">
        <f>'Adubos e corretivos'!H38</f>
        <v>1.25</v>
      </c>
      <c r="AH298" s="636">
        <f>'Adubos e corretivos'!I38</f>
        <v>1.5</v>
      </c>
      <c r="AI298" s="636">
        <f>'Adubos e corretivos'!J38</f>
        <v>4.3</v>
      </c>
      <c r="AJ298" s="636">
        <f>'Adubos e corretivos'!K38</f>
        <v>0.6</v>
      </c>
      <c r="AK298" s="636">
        <f>'Adubos e corretivos'!L38</f>
        <v>0.6</v>
      </c>
      <c r="AL298" s="636">
        <f>'Adubos e corretivos'!M38</f>
        <v>9.2E-6</v>
      </c>
      <c r="AM298" s="636">
        <f>'Adubos e corretivos'!N38</f>
        <v>3.9199999999999999E-4</v>
      </c>
      <c r="AN298" s="636">
        <f>'Adubos e corretivos'!O38</f>
        <v>0</v>
      </c>
      <c r="AO298" s="636">
        <f>'Adubos e corretivos'!P38</f>
        <v>4.55E-4</v>
      </c>
      <c r="AP298" s="636">
        <f>'Adubos e corretivos'!Q38</f>
        <v>0</v>
      </c>
      <c r="AQ298" s="636">
        <f>'Adubos e corretivos'!R38</f>
        <v>7.7200000000000006E-5</v>
      </c>
      <c r="AR298" s="636">
        <f>'Adubos e corretivos'!S38</f>
        <v>0</v>
      </c>
      <c r="AS298" s="636">
        <f>'Adubos e corretivos'!T38</f>
        <v>0</v>
      </c>
      <c r="AT298" s="636">
        <f>'Adubos e corretivos'!U38</f>
        <v>0</v>
      </c>
      <c r="AU298" s="636">
        <f>'Adubos e corretivos'!V38</f>
        <v>0</v>
      </c>
      <c r="AV298" s="613"/>
    </row>
    <row r="299" spans="20:48" ht="20.25" customHeight="1" x14ac:dyDescent="0.25">
      <c r="T299" s="226"/>
      <c r="U299" s="227"/>
      <c r="V299" s="227"/>
      <c r="W299" s="227"/>
      <c r="X299" s="228"/>
      <c r="Z299" s="610"/>
      <c r="AA299" s="634"/>
      <c r="AB299" s="636" t="str">
        <f>'Adubos e corretivos'!C39</f>
        <v>Composto Bioforte BONASA (061 9 9967-0863)</v>
      </c>
      <c r="AC299" s="636">
        <f>'Adubos e corretivos'!D39</f>
        <v>0</v>
      </c>
      <c r="AD299" s="636">
        <f>'Adubos e corretivos'!E39</f>
        <v>1.7</v>
      </c>
      <c r="AE299" s="636">
        <f>'Adubos e corretivos'!F39</f>
        <v>0.77800000000000002</v>
      </c>
      <c r="AF299" s="636">
        <f>'Adubos e corretivos'!G39</f>
        <v>1.8</v>
      </c>
      <c r="AG299" s="636">
        <f>'Adubos e corretivos'!H39</f>
        <v>0.93</v>
      </c>
      <c r="AH299" s="636">
        <f>'Adubos e corretivos'!I39</f>
        <v>1.1000000000000001</v>
      </c>
      <c r="AI299" s="636">
        <f>'Adubos e corretivos'!J39</f>
        <v>3.5</v>
      </c>
      <c r="AJ299" s="636">
        <f>'Adubos e corretivos'!K39</f>
        <v>0.69</v>
      </c>
      <c r="AK299" s="636">
        <f>'Adubos e corretivos'!L39</f>
        <v>0.54</v>
      </c>
      <c r="AL299" s="636">
        <f>'Adubos e corretivos'!M39</f>
        <v>2.05E-5</v>
      </c>
      <c r="AM299" s="636">
        <f>'Adubos e corretivos'!N39</f>
        <v>4.2999999999999999E-4</v>
      </c>
      <c r="AN299" s="636">
        <f>'Adubos e corretivos'!O39</f>
        <v>0</v>
      </c>
      <c r="AO299" s="636">
        <f>'Adubos e corretivos'!P39</f>
        <v>4.6900000000000002E-4</v>
      </c>
      <c r="AP299" s="636">
        <f>'Adubos e corretivos'!Q39</f>
        <v>0</v>
      </c>
      <c r="AQ299" s="636">
        <f>'Adubos e corretivos'!R39</f>
        <v>5.9700000000000001E-5</v>
      </c>
      <c r="AR299" s="636">
        <f>'Adubos e corretivos'!S39</f>
        <v>0</v>
      </c>
      <c r="AS299" s="636">
        <f>'Adubos e corretivos'!T39</f>
        <v>0</v>
      </c>
      <c r="AT299" s="636">
        <f>'Adubos e corretivos'!U39</f>
        <v>0</v>
      </c>
      <c r="AU299" s="636">
        <f>'Adubos e corretivos'!V39</f>
        <v>0</v>
      </c>
      <c r="AV299" s="613"/>
    </row>
    <row r="300" spans="20:48" ht="20.25" customHeight="1" thickBot="1" x14ac:dyDescent="0.3">
      <c r="T300" s="229"/>
      <c r="U300" s="230"/>
      <c r="V300" s="230"/>
      <c r="W300" s="230"/>
      <c r="X300" s="231"/>
      <c r="Z300" s="610"/>
      <c r="AA300" s="634"/>
      <c r="AB300" s="636" t="str">
        <f>'Adubos e corretivos'!C40</f>
        <v>Composto Biojá BONASA (061 9 9967-0863)</v>
      </c>
      <c r="AC300" s="636">
        <f>'Adubos e corretivos'!D40</f>
        <v>0</v>
      </c>
      <c r="AD300" s="636">
        <f>'Adubos e corretivos'!E40</f>
        <v>1.8</v>
      </c>
      <c r="AE300" s="636">
        <f>'Adubos e corretivos'!F40</f>
        <v>0.62</v>
      </c>
      <c r="AF300" s="636">
        <f>'Adubos e corretivos'!G40</f>
        <v>1.4</v>
      </c>
      <c r="AG300" s="636">
        <f>'Adubos e corretivos'!H40</f>
        <v>1.34</v>
      </c>
      <c r="AH300" s="636">
        <f>'Adubos e corretivos'!I40</f>
        <v>1.6</v>
      </c>
      <c r="AI300" s="636">
        <f>'Adubos e corretivos'!J40</f>
        <v>2.4500000000000002</v>
      </c>
      <c r="AJ300" s="636">
        <f>'Adubos e corretivos'!K40</f>
        <v>0.5</v>
      </c>
      <c r="AK300" s="636">
        <f>'Adubos e corretivos'!L40</f>
        <v>0.42</v>
      </c>
      <c r="AL300" s="636">
        <f>'Adubos e corretivos'!M40</f>
        <v>3.7400000000000001E-5</v>
      </c>
      <c r="AM300" s="636">
        <f>'Adubos e corretivos'!N40</f>
        <v>2.5399999999999999E-4</v>
      </c>
      <c r="AN300" s="636">
        <f>'Adubos e corretivos'!O40</f>
        <v>0</v>
      </c>
      <c r="AO300" s="636">
        <f>'Adubos e corretivos'!P40</f>
        <v>4.6500000000000003E-4</v>
      </c>
      <c r="AP300" s="636">
        <f>'Adubos e corretivos'!Q40</f>
        <v>0</v>
      </c>
      <c r="AQ300" s="636">
        <f>'Adubos e corretivos'!R40</f>
        <v>3.339E-3</v>
      </c>
      <c r="AR300" s="636">
        <f>'Adubos e corretivos'!S40</f>
        <v>0</v>
      </c>
      <c r="AS300" s="636">
        <f>'Adubos e corretivos'!T40</f>
        <v>0</v>
      </c>
      <c r="AT300" s="636">
        <f>'Adubos e corretivos'!U40</f>
        <v>0</v>
      </c>
      <c r="AU300" s="636">
        <f>'Adubos e corretivos'!V40</f>
        <v>0</v>
      </c>
      <c r="AV300" s="613"/>
    </row>
    <row r="301" spans="20:48" ht="20.25" customHeight="1" x14ac:dyDescent="0.25">
      <c r="Z301" s="610"/>
      <c r="AA301" s="634"/>
      <c r="AB301" s="636" t="str">
        <f>'Adubos e corretivos'!C41</f>
        <v>Composto ORGANICS (062 3247-3100)</v>
      </c>
      <c r="AC301" s="636">
        <f>'Adubos e corretivos'!D41</f>
        <v>0</v>
      </c>
      <c r="AD301" s="636">
        <f>'Adubos e corretivos'!E41</f>
        <v>3</v>
      </c>
      <c r="AE301" s="636">
        <f>'Adubos e corretivos'!F41</f>
        <v>2.63</v>
      </c>
      <c r="AF301" s="636">
        <f>'Adubos e corretivos'!G41</f>
        <v>6</v>
      </c>
      <c r="AG301" s="636">
        <f>'Adubos e corretivos'!H41</f>
        <v>3.32</v>
      </c>
      <c r="AH301" s="636">
        <f>'Adubos e corretivos'!I41</f>
        <v>4</v>
      </c>
      <c r="AI301" s="636">
        <f>'Adubos e corretivos'!J41</f>
        <v>0</v>
      </c>
      <c r="AJ301" s="636">
        <f>'Adubos e corretivos'!K41</f>
        <v>0</v>
      </c>
      <c r="AK301" s="636">
        <f>'Adubos e corretivos'!L41</f>
        <v>0</v>
      </c>
      <c r="AL301" s="636">
        <f>'Adubos e corretivos'!M41</f>
        <v>0</v>
      </c>
      <c r="AM301" s="636">
        <f>'Adubos e corretivos'!N41</f>
        <v>0</v>
      </c>
      <c r="AN301" s="636">
        <f>'Adubos e corretivos'!O41</f>
        <v>0</v>
      </c>
      <c r="AO301" s="636">
        <f>'Adubos e corretivos'!P41</f>
        <v>0</v>
      </c>
      <c r="AP301" s="636">
        <f>'Adubos e corretivos'!Q41</f>
        <v>0</v>
      </c>
      <c r="AQ301" s="636">
        <f>'Adubos e corretivos'!R41</f>
        <v>0</v>
      </c>
      <c r="AR301" s="636">
        <f>'Adubos e corretivos'!S41</f>
        <v>0</v>
      </c>
      <c r="AS301" s="636">
        <f>'Adubos e corretivos'!T41</f>
        <v>0</v>
      </c>
      <c r="AT301" s="636">
        <f>'Adubos e corretivos'!U41</f>
        <v>0</v>
      </c>
      <c r="AU301" s="636">
        <f>'Adubos e corretivos'!V41</f>
        <v>0</v>
      </c>
      <c r="AV301" s="613"/>
    </row>
    <row r="302" spans="20:48" ht="20.25" customHeight="1" x14ac:dyDescent="0.25">
      <c r="Z302" s="610"/>
      <c r="AA302" s="634"/>
      <c r="AB302" s="636" t="str">
        <f>'Adubos e corretivos'!C42</f>
        <v>Esterco de gado</v>
      </c>
      <c r="AC302" s="636">
        <f>'Adubos e corretivos'!D42</f>
        <v>0</v>
      </c>
      <c r="AD302" s="636">
        <f>'Adubos e corretivos'!E42</f>
        <v>1</v>
      </c>
      <c r="AE302" s="636">
        <f>'Adubos e corretivos'!F42</f>
        <v>0.4366666666666667</v>
      </c>
      <c r="AF302" s="636">
        <f>'Adubos e corretivos'!G42</f>
        <v>1</v>
      </c>
      <c r="AG302" s="636">
        <f>'Adubos e corretivos'!H42</f>
        <v>0.55500000000000005</v>
      </c>
      <c r="AH302" s="636">
        <f>'Adubos e corretivos'!I42</f>
        <v>0.7</v>
      </c>
      <c r="AI302" s="636">
        <f>'Adubos e corretivos'!J42</f>
        <v>0</v>
      </c>
      <c r="AJ302" s="636">
        <f>'Adubos e corretivos'!K42</f>
        <v>0</v>
      </c>
      <c r="AK302" s="636">
        <f>'Adubos e corretivos'!L42</f>
        <v>0</v>
      </c>
      <c r="AL302" s="636">
        <f>'Adubos e corretivos'!M42</f>
        <v>0</v>
      </c>
      <c r="AM302" s="636">
        <f>'Adubos e corretivos'!N42</f>
        <v>0</v>
      </c>
      <c r="AN302" s="636">
        <f>'Adubos e corretivos'!O42</f>
        <v>0</v>
      </c>
      <c r="AO302" s="636">
        <f>'Adubos e corretivos'!P42</f>
        <v>0</v>
      </c>
      <c r="AP302" s="636">
        <f>'Adubos e corretivos'!Q42</f>
        <v>0</v>
      </c>
      <c r="AQ302" s="636">
        <f>'Adubos e corretivos'!R42</f>
        <v>0</v>
      </c>
      <c r="AR302" s="636">
        <f>'Adubos e corretivos'!S42</f>
        <v>0</v>
      </c>
      <c r="AS302" s="636">
        <f>'Adubos e corretivos'!T42</f>
        <v>0</v>
      </c>
      <c r="AT302" s="636">
        <f>'Adubos e corretivos'!U42</f>
        <v>0</v>
      </c>
      <c r="AU302" s="636">
        <f>'Adubos e corretivos'!V42</f>
        <v>0</v>
      </c>
      <c r="AV302" s="613"/>
    </row>
    <row r="303" spans="20:48" ht="20.25" customHeight="1" x14ac:dyDescent="0.25">
      <c r="Z303" s="610"/>
      <c r="AA303" s="634"/>
      <c r="AB303" s="636" t="str">
        <f>'Adubos e corretivos'!C43</f>
        <v>Esterco de galinha</v>
      </c>
      <c r="AC303" s="636">
        <f>'Adubos e corretivos'!D43</f>
        <v>0</v>
      </c>
      <c r="AD303" s="636">
        <f>'Adubos e corretivos'!E43</f>
        <v>3</v>
      </c>
      <c r="AE303" s="636">
        <f>'Adubos e corretivos'!F43</f>
        <v>1.31</v>
      </c>
      <c r="AF303" s="636">
        <f>'Adubos e corretivos'!G43</f>
        <v>3</v>
      </c>
      <c r="AG303" s="636">
        <f>'Adubos e corretivos'!H43</f>
        <v>1.665</v>
      </c>
      <c r="AH303" s="636">
        <f>'Adubos e corretivos'!I43</f>
        <v>2</v>
      </c>
      <c r="AI303" s="636">
        <f>'Adubos e corretivos'!J43</f>
        <v>0</v>
      </c>
      <c r="AJ303" s="636">
        <f>'Adubos e corretivos'!K43</f>
        <v>0</v>
      </c>
      <c r="AK303" s="636">
        <f>'Adubos e corretivos'!L43</f>
        <v>0</v>
      </c>
      <c r="AL303" s="636">
        <f>'Adubos e corretivos'!M43</f>
        <v>0</v>
      </c>
      <c r="AM303" s="636">
        <f>'Adubos e corretivos'!N43</f>
        <v>0</v>
      </c>
      <c r="AN303" s="636">
        <f>'Adubos e corretivos'!O43</f>
        <v>0</v>
      </c>
      <c r="AO303" s="636">
        <f>'Adubos e corretivos'!P43</f>
        <v>0</v>
      </c>
      <c r="AP303" s="636">
        <f>'Adubos e corretivos'!Q43</f>
        <v>0</v>
      </c>
      <c r="AQ303" s="636">
        <f>'Adubos e corretivos'!R43</f>
        <v>0</v>
      </c>
      <c r="AR303" s="636">
        <f>'Adubos e corretivos'!S43</f>
        <v>0</v>
      </c>
      <c r="AS303" s="636">
        <f>'Adubos e corretivos'!T43</f>
        <v>0</v>
      </c>
      <c r="AT303" s="636">
        <f>'Adubos e corretivos'!U43</f>
        <v>0</v>
      </c>
      <c r="AU303" s="636">
        <f>'Adubos e corretivos'!V43</f>
        <v>0</v>
      </c>
      <c r="AV303" s="613"/>
    </row>
    <row r="304" spans="20:48" ht="20.25" customHeight="1" x14ac:dyDescent="0.25">
      <c r="Z304" s="610"/>
      <c r="AA304" s="634"/>
      <c r="AB304" s="636" t="str">
        <f>'Adubos e corretivos'!C44</f>
        <v>Farinha de osso (9 9124-8292)</v>
      </c>
      <c r="AC304" s="636">
        <f>'Adubos e corretivos'!D44</f>
        <v>0</v>
      </c>
      <c r="AD304" s="636">
        <f>'Adubos e corretivos'!E44</f>
        <v>0</v>
      </c>
      <c r="AE304" s="636">
        <f>'Adubos e corretivos'!F44</f>
        <v>18.2</v>
      </c>
      <c r="AF304" s="636">
        <f>'Adubos e corretivos'!G44</f>
        <v>42</v>
      </c>
      <c r="AG304" s="636">
        <f>'Adubos e corretivos'!H44</f>
        <v>0</v>
      </c>
      <c r="AH304" s="636">
        <f>'Adubos e corretivos'!I44</f>
        <v>0</v>
      </c>
      <c r="AI304" s="636">
        <f>'Adubos e corretivos'!J44</f>
        <v>39.5</v>
      </c>
      <c r="AJ304" s="636">
        <f>'Adubos e corretivos'!K44</f>
        <v>0</v>
      </c>
      <c r="AK304" s="636">
        <f>'Adubos e corretivos'!L44</f>
        <v>0</v>
      </c>
      <c r="AL304" s="636">
        <f>'Adubos e corretivos'!M44</f>
        <v>0</v>
      </c>
      <c r="AM304" s="636">
        <f>'Adubos e corretivos'!N44</f>
        <v>0</v>
      </c>
      <c r="AN304" s="636">
        <f>'Adubos e corretivos'!O44</f>
        <v>0</v>
      </c>
      <c r="AO304" s="636">
        <f>'Adubos e corretivos'!P44</f>
        <v>0</v>
      </c>
      <c r="AP304" s="636">
        <f>'Adubos e corretivos'!Q44</f>
        <v>0</v>
      </c>
      <c r="AQ304" s="636">
        <f>'Adubos e corretivos'!R44</f>
        <v>0</v>
      </c>
      <c r="AR304" s="636">
        <f>'Adubos e corretivos'!S44</f>
        <v>0</v>
      </c>
      <c r="AS304" s="636">
        <f>'Adubos e corretivos'!T44</f>
        <v>7.5</v>
      </c>
      <c r="AT304" s="636">
        <f>'Adubos e corretivos'!U44</f>
        <v>0</v>
      </c>
      <c r="AU304" s="636">
        <f>'Adubos e corretivos'!V44</f>
        <v>0</v>
      </c>
      <c r="AV304" s="613"/>
    </row>
    <row r="305" spans="26:48" ht="20.25" customHeight="1" x14ac:dyDescent="0.25">
      <c r="Z305" s="610"/>
      <c r="AA305" s="634"/>
      <c r="AB305" s="636" t="str">
        <f>'Adubos e corretivos'!C45</f>
        <v>Kmag</v>
      </c>
      <c r="AC305" s="636">
        <f>'Adubos e corretivos'!D45</f>
        <v>0</v>
      </c>
      <c r="AD305" s="636">
        <f>'Adubos e corretivos'!E45</f>
        <v>0</v>
      </c>
      <c r="AE305" s="636">
        <f>'Adubos e corretivos'!F45</f>
        <v>0</v>
      </c>
      <c r="AF305" s="636">
        <f>'Adubos e corretivos'!G45</f>
        <v>0</v>
      </c>
      <c r="AG305" s="636">
        <f>'Adubos e corretivos'!H45</f>
        <v>17.45</v>
      </c>
      <c r="AH305" s="636">
        <f>'Adubos e corretivos'!I45</f>
        <v>21</v>
      </c>
      <c r="AI305" s="636">
        <f>'Adubos e corretivos'!J45</f>
        <v>10</v>
      </c>
      <c r="AJ305" s="636">
        <f>'Adubos e corretivos'!K45</f>
        <v>21</v>
      </c>
      <c r="AK305" s="636">
        <f>'Adubos e corretivos'!L45</f>
        <v>0</v>
      </c>
      <c r="AL305" s="636">
        <f>'Adubos e corretivos'!M45</f>
        <v>0</v>
      </c>
      <c r="AM305" s="636">
        <f>'Adubos e corretivos'!N45</f>
        <v>0</v>
      </c>
      <c r="AN305" s="636">
        <f>'Adubos e corretivos'!O45</f>
        <v>0</v>
      </c>
      <c r="AO305" s="636">
        <f>'Adubos e corretivos'!P45</f>
        <v>0</v>
      </c>
      <c r="AP305" s="636">
        <f>'Adubos e corretivos'!Q45</f>
        <v>0</v>
      </c>
      <c r="AQ305" s="636">
        <f>'Adubos e corretivos'!R45</f>
        <v>0</v>
      </c>
      <c r="AR305" s="636">
        <f>'Adubos e corretivos'!S45</f>
        <v>0</v>
      </c>
      <c r="AS305" s="636">
        <f>'Adubos e corretivos'!T45</f>
        <v>0</v>
      </c>
      <c r="AT305" s="636">
        <f>'Adubos e corretivos'!U45</f>
        <v>0</v>
      </c>
      <c r="AU305" s="636">
        <f>'Adubos e corretivos'!V45</f>
        <v>0</v>
      </c>
      <c r="AV305" s="613"/>
    </row>
    <row r="306" spans="26:48" ht="20.25" customHeight="1" x14ac:dyDescent="0.25">
      <c r="Z306" s="610"/>
      <c r="AA306" s="634"/>
      <c r="AB306" s="636" t="str">
        <f>'Adubos e corretivos'!C46</f>
        <v>Lithothanium / Primaz</v>
      </c>
      <c r="AC306" s="636">
        <f>'Adubos e corretivos'!D46</f>
        <v>0</v>
      </c>
      <c r="AD306" s="636">
        <f>'Adubos e corretivos'!E46</f>
        <v>0</v>
      </c>
      <c r="AE306" s="636">
        <f>'Adubos e corretivos'!F46</f>
        <v>0</v>
      </c>
      <c r="AF306" s="636">
        <f>'Adubos e corretivos'!G46</f>
        <v>0</v>
      </c>
      <c r="AG306" s="636">
        <f>'Adubos e corretivos'!H46</f>
        <v>0</v>
      </c>
      <c r="AH306" s="636">
        <f>'Adubos e corretivos'!I46</f>
        <v>0</v>
      </c>
      <c r="AI306" s="636">
        <f>'Adubos e corretivos'!J46</f>
        <v>32</v>
      </c>
      <c r="AJ306" s="636">
        <f>'Adubos e corretivos'!K46</f>
        <v>2</v>
      </c>
      <c r="AK306" s="636">
        <f>'Adubos e corretivos'!L46</f>
        <v>0</v>
      </c>
      <c r="AL306" s="636">
        <f>'Adubos e corretivos'!M46</f>
        <v>0</v>
      </c>
      <c r="AM306" s="636">
        <f>'Adubos e corretivos'!N46</f>
        <v>0</v>
      </c>
      <c r="AN306" s="636">
        <f>'Adubos e corretivos'!O46</f>
        <v>0</v>
      </c>
      <c r="AO306" s="636">
        <f>'Adubos e corretivos'!P46</f>
        <v>0</v>
      </c>
      <c r="AP306" s="636">
        <f>'Adubos e corretivos'!Q46</f>
        <v>0</v>
      </c>
      <c r="AQ306" s="636">
        <f>'Adubos e corretivos'!R46</f>
        <v>0</v>
      </c>
      <c r="AR306" s="636">
        <f>'Adubos e corretivos'!S46</f>
        <v>0</v>
      </c>
      <c r="AS306" s="636">
        <f>'Adubos e corretivos'!T46</f>
        <v>0</v>
      </c>
      <c r="AT306" s="636">
        <f>'Adubos e corretivos'!U46</f>
        <v>0</v>
      </c>
      <c r="AU306" s="636">
        <f>'Adubos e corretivos'!V46</f>
        <v>0</v>
      </c>
      <c r="AV306" s="613"/>
    </row>
    <row r="307" spans="26:48" ht="20.25" customHeight="1" x14ac:dyDescent="0.25">
      <c r="Z307" s="610"/>
      <c r="AA307" s="634"/>
      <c r="AB307" s="636" t="str">
        <f>'Adubos e corretivos'!C47</f>
        <v>Minhofertil (61 3361-6634)</v>
      </c>
      <c r="AC307" s="636">
        <f>'Adubos e corretivos'!D47</f>
        <v>0</v>
      </c>
      <c r="AD307" s="636">
        <f>'Adubos e corretivos'!E47</f>
        <v>1</v>
      </c>
      <c r="AE307" s="636">
        <f>'Adubos e corretivos'!F47</f>
        <v>0</v>
      </c>
      <c r="AF307" s="636">
        <f>'Adubos e corretivos'!G47</f>
        <v>0</v>
      </c>
      <c r="AG307" s="636">
        <f>'Adubos e corretivos'!H47</f>
        <v>0</v>
      </c>
      <c r="AH307" s="636">
        <f>'Adubos e corretivos'!I47</f>
        <v>0</v>
      </c>
      <c r="AI307" s="636">
        <f>'Adubos e corretivos'!J47</f>
        <v>0</v>
      </c>
      <c r="AJ307" s="636">
        <f>'Adubos e corretivos'!K47</f>
        <v>0</v>
      </c>
      <c r="AK307" s="636">
        <f>'Adubos e corretivos'!L47</f>
        <v>0</v>
      </c>
      <c r="AL307" s="636">
        <f>'Adubos e corretivos'!M47</f>
        <v>0</v>
      </c>
      <c r="AM307" s="636">
        <f>'Adubos e corretivos'!N47</f>
        <v>0</v>
      </c>
      <c r="AN307" s="636">
        <f>'Adubos e corretivos'!O47</f>
        <v>0</v>
      </c>
      <c r="AO307" s="636">
        <f>'Adubos e corretivos'!P47</f>
        <v>0</v>
      </c>
      <c r="AP307" s="636">
        <f>'Adubos e corretivos'!Q47</f>
        <v>0</v>
      </c>
      <c r="AQ307" s="636">
        <f>'Adubos e corretivos'!R47</f>
        <v>0</v>
      </c>
      <c r="AR307" s="636">
        <f>'Adubos e corretivos'!S47</f>
        <v>0</v>
      </c>
      <c r="AS307" s="636">
        <f>'Adubos e corretivos'!T47</f>
        <v>0</v>
      </c>
      <c r="AT307" s="636">
        <f>'Adubos e corretivos'!U47</f>
        <v>0</v>
      </c>
      <c r="AU307" s="636">
        <f>'Adubos e corretivos'!V47</f>
        <v>0</v>
      </c>
      <c r="AV307" s="613"/>
    </row>
    <row r="308" spans="26:48" ht="20.25" customHeight="1" x14ac:dyDescent="0.25">
      <c r="Z308" s="610"/>
      <c r="AA308" s="634"/>
      <c r="AB308" s="636" t="str">
        <f>'Adubos e corretivos'!C48</f>
        <v>Termofosfato YOORIN</v>
      </c>
      <c r="AC308" s="636">
        <f>'Adubos e corretivos'!D48</f>
        <v>0</v>
      </c>
      <c r="AD308" s="636">
        <f>'Adubos e corretivos'!E48</f>
        <v>0</v>
      </c>
      <c r="AE308" s="636">
        <f>'Adubos e corretivos'!F48</f>
        <v>7.6440000000000001</v>
      </c>
      <c r="AF308" s="636">
        <f>'Adubos e corretivos'!G48</f>
        <v>17.5</v>
      </c>
      <c r="AG308" s="636">
        <f>'Adubos e corretivos'!H48</f>
        <v>0</v>
      </c>
      <c r="AH308" s="636">
        <f>'Adubos e corretivos'!I48</f>
        <v>0</v>
      </c>
      <c r="AI308" s="636">
        <f>'Adubos e corretivos'!J48</f>
        <v>18</v>
      </c>
      <c r="AJ308" s="636">
        <f>'Adubos e corretivos'!K48</f>
        <v>7</v>
      </c>
      <c r="AK308" s="636">
        <f>'Adubos e corretivos'!L48</f>
        <v>0</v>
      </c>
      <c r="AL308" s="636">
        <f>'Adubos e corretivos'!M48</f>
        <v>0.1</v>
      </c>
      <c r="AM308" s="636">
        <f>'Adubos e corretivos'!N48</f>
        <v>0.3</v>
      </c>
      <c r="AN308" s="636">
        <f>'Adubos e corretivos'!O48</f>
        <v>5.5</v>
      </c>
      <c r="AO308" s="636">
        <f>'Adubos e corretivos'!P48</f>
        <v>0.5</v>
      </c>
      <c r="AP308" s="636">
        <f>'Adubos e corretivos'!Q48</f>
        <v>0</v>
      </c>
      <c r="AQ308" s="636">
        <f>'Adubos e corretivos'!R48</f>
        <v>0</v>
      </c>
      <c r="AR308" s="636">
        <f>'Adubos e corretivos'!S48</f>
        <v>10</v>
      </c>
      <c r="AS308" s="636">
        <f>'Adubos e corretivos'!T48</f>
        <v>0</v>
      </c>
      <c r="AT308" s="636">
        <f>'Adubos e corretivos'!U48</f>
        <v>0</v>
      </c>
      <c r="AU308" s="636">
        <f>'Adubos e corretivos'!V48</f>
        <v>0</v>
      </c>
      <c r="AV308" s="613"/>
    </row>
    <row r="309" spans="26:48" ht="20.25" customHeight="1" x14ac:dyDescent="0.25">
      <c r="Z309" s="610"/>
      <c r="AA309" s="634"/>
      <c r="AB309" s="636" t="str">
        <f>'Adubos e corretivos'!C49</f>
        <v>Torta de mamona Nutrisafra (062 3310-8133)</v>
      </c>
      <c r="AC309" s="636">
        <f>'Adubos e corretivos'!D49</f>
        <v>0</v>
      </c>
      <c r="AD309" s="636">
        <f>'Adubos e corretivos'!E49</f>
        <v>5</v>
      </c>
      <c r="AE309" s="636">
        <f>'Adubos e corretivos'!F49</f>
        <v>0</v>
      </c>
      <c r="AF309" s="636">
        <f>'Adubos e corretivos'!G49</f>
        <v>0</v>
      </c>
      <c r="AG309" s="636">
        <f>'Adubos e corretivos'!H49</f>
        <v>0</v>
      </c>
      <c r="AH309" s="636">
        <f>'Adubos e corretivos'!I49</f>
        <v>0</v>
      </c>
      <c r="AI309" s="636">
        <f>'Adubos e corretivos'!J49</f>
        <v>0</v>
      </c>
      <c r="AJ309" s="636">
        <f>'Adubos e corretivos'!K49</f>
        <v>0</v>
      </c>
      <c r="AK309" s="636">
        <f>'Adubos e corretivos'!L49</f>
        <v>0</v>
      </c>
      <c r="AL309" s="636">
        <f>'Adubos e corretivos'!M49</f>
        <v>0</v>
      </c>
      <c r="AM309" s="636">
        <f>'Adubos e corretivos'!N49</f>
        <v>0</v>
      </c>
      <c r="AN309" s="636">
        <f>'Adubos e corretivos'!O49</f>
        <v>0</v>
      </c>
      <c r="AO309" s="636">
        <f>'Adubos e corretivos'!P49</f>
        <v>0</v>
      </c>
      <c r="AP309" s="636">
        <f>'Adubos e corretivos'!Q49</f>
        <v>0</v>
      </c>
      <c r="AQ309" s="636">
        <f>'Adubos e corretivos'!R49</f>
        <v>0</v>
      </c>
      <c r="AR309" s="636">
        <f>'Adubos e corretivos'!S49</f>
        <v>0</v>
      </c>
      <c r="AS309" s="636">
        <f>'Adubos e corretivos'!T49</f>
        <v>0</v>
      </c>
      <c r="AT309" s="636">
        <f>'Adubos e corretivos'!U49</f>
        <v>0</v>
      </c>
      <c r="AU309" s="636">
        <f>'Adubos e corretivos'!V49</f>
        <v>0</v>
      </c>
      <c r="AV309" s="613"/>
    </row>
    <row r="310" spans="26:48" ht="20.25" customHeight="1" x14ac:dyDescent="0.25">
      <c r="Z310" s="610"/>
      <c r="AA310" s="634"/>
      <c r="AB310" s="636" t="str">
        <f>'Adubos e corretivos'!C50</f>
        <v>Torta de mamona Super thorg (061 9 9827-4439)</v>
      </c>
      <c r="AC310" s="636">
        <f>'Adubos e corretivos'!D50</f>
        <v>0</v>
      </c>
      <c r="AD310" s="636">
        <f>'Adubos e corretivos'!E50</f>
        <v>9.1</v>
      </c>
      <c r="AE310" s="636">
        <f>'Adubos e corretivos'!F50</f>
        <v>0</v>
      </c>
      <c r="AF310" s="636">
        <f>'Adubos e corretivos'!G50</f>
        <v>0</v>
      </c>
      <c r="AG310" s="636">
        <f>'Adubos e corretivos'!H50</f>
        <v>0</v>
      </c>
      <c r="AH310" s="636">
        <f>'Adubos e corretivos'!I50</f>
        <v>0</v>
      </c>
      <c r="AI310" s="636">
        <f>'Adubos e corretivos'!J50</f>
        <v>0</v>
      </c>
      <c r="AJ310" s="636">
        <f>'Adubos e corretivos'!K50</f>
        <v>0</v>
      </c>
      <c r="AK310" s="636">
        <f>'Adubos e corretivos'!L50</f>
        <v>0</v>
      </c>
      <c r="AL310" s="636">
        <f>'Adubos e corretivos'!M50</f>
        <v>0</v>
      </c>
      <c r="AM310" s="636">
        <f>'Adubos e corretivos'!N50</f>
        <v>0</v>
      </c>
      <c r="AN310" s="636">
        <f>'Adubos e corretivos'!O50</f>
        <v>0</v>
      </c>
      <c r="AO310" s="636">
        <f>'Adubos e corretivos'!P50</f>
        <v>0</v>
      </c>
      <c r="AP310" s="636">
        <f>'Adubos e corretivos'!Q50</f>
        <v>0</v>
      </c>
      <c r="AQ310" s="636">
        <f>'Adubos e corretivos'!R50</f>
        <v>0</v>
      </c>
      <c r="AR310" s="636">
        <f>'Adubos e corretivos'!S50</f>
        <v>0</v>
      </c>
      <c r="AS310" s="636">
        <f>'Adubos e corretivos'!T50</f>
        <v>0</v>
      </c>
      <c r="AT310" s="636">
        <f>'Adubos e corretivos'!U50</f>
        <v>0</v>
      </c>
      <c r="AU310" s="636">
        <f>'Adubos e corretivos'!V50</f>
        <v>0</v>
      </c>
      <c r="AV310" s="613"/>
    </row>
    <row r="311" spans="26:48" ht="20.25" customHeight="1" x14ac:dyDescent="0.25">
      <c r="Z311" s="610"/>
      <c r="AA311" s="634"/>
      <c r="AB311" s="636" t="str">
        <f>'Adubos e corretivos'!C51</f>
        <v>Torta de mamona Vitaplan (061 3234-8485)</v>
      </c>
      <c r="AC311" s="636">
        <f>'Adubos e corretivos'!D51</f>
        <v>0</v>
      </c>
      <c r="AD311" s="636">
        <f>'Adubos e corretivos'!E51</f>
        <v>8.5</v>
      </c>
      <c r="AE311" s="636">
        <f>'Adubos e corretivos'!F51</f>
        <v>0</v>
      </c>
      <c r="AF311" s="636">
        <f>'Adubos e corretivos'!G51</f>
        <v>0</v>
      </c>
      <c r="AG311" s="636">
        <f>'Adubos e corretivos'!H51</f>
        <v>0</v>
      </c>
      <c r="AH311" s="636">
        <f>'Adubos e corretivos'!I51</f>
        <v>0</v>
      </c>
      <c r="AI311" s="636">
        <f>'Adubos e corretivos'!J51</f>
        <v>0</v>
      </c>
      <c r="AJ311" s="636">
        <f>'Adubos e corretivos'!K51</f>
        <v>0</v>
      </c>
      <c r="AK311" s="636">
        <f>'Adubos e corretivos'!L51</f>
        <v>0</v>
      </c>
      <c r="AL311" s="636">
        <f>'Adubos e corretivos'!M51</f>
        <v>0</v>
      </c>
      <c r="AM311" s="636">
        <f>'Adubos e corretivos'!N51</f>
        <v>0</v>
      </c>
      <c r="AN311" s="636">
        <f>'Adubos e corretivos'!O51</f>
        <v>0</v>
      </c>
      <c r="AO311" s="636">
        <f>'Adubos e corretivos'!P51</f>
        <v>0</v>
      </c>
      <c r="AP311" s="636">
        <f>'Adubos e corretivos'!Q51</f>
        <v>0</v>
      </c>
      <c r="AQ311" s="636">
        <f>'Adubos e corretivos'!R51</f>
        <v>0</v>
      </c>
      <c r="AR311" s="636">
        <f>'Adubos e corretivos'!S51</f>
        <v>0</v>
      </c>
      <c r="AS311" s="636">
        <f>'Adubos e corretivos'!T51</f>
        <v>0</v>
      </c>
      <c r="AT311" s="636">
        <f>'Adubos e corretivos'!U51</f>
        <v>0</v>
      </c>
      <c r="AU311" s="636">
        <f>'Adubos e corretivos'!V51</f>
        <v>0</v>
      </c>
      <c r="AV311" s="613"/>
    </row>
    <row r="312" spans="26:48" ht="20.25" customHeight="1" x14ac:dyDescent="0.25">
      <c r="Z312" s="610"/>
      <c r="AA312" s="634"/>
      <c r="AB312" s="636">
        <f>'Adubos e corretivos'!C52</f>
        <v>0</v>
      </c>
      <c r="AC312" s="636">
        <f>'Adubos e corretivos'!D52</f>
        <v>0</v>
      </c>
      <c r="AD312" s="636">
        <f>'Adubos e corretivos'!E52</f>
        <v>0</v>
      </c>
      <c r="AE312" s="636">
        <f>'Adubos e corretivos'!F52</f>
        <v>0</v>
      </c>
      <c r="AF312" s="636">
        <f>'Adubos e corretivos'!G52</f>
        <v>0</v>
      </c>
      <c r="AG312" s="636">
        <f>'Adubos e corretivos'!H52</f>
        <v>0</v>
      </c>
      <c r="AH312" s="636">
        <f>'Adubos e corretivos'!I52</f>
        <v>0</v>
      </c>
      <c r="AI312" s="636">
        <f>'Adubos e corretivos'!J52</f>
        <v>0</v>
      </c>
      <c r="AJ312" s="636">
        <f>'Adubos e corretivos'!K52</f>
        <v>0</v>
      </c>
      <c r="AK312" s="636">
        <f>'Adubos e corretivos'!L52</f>
        <v>0</v>
      </c>
      <c r="AL312" s="636">
        <f>'Adubos e corretivos'!M52</f>
        <v>0</v>
      </c>
      <c r="AM312" s="636">
        <f>'Adubos e corretivos'!N52</f>
        <v>0</v>
      </c>
      <c r="AN312" s="636">
        <f>'Adubos e corretivos'!O52</f>
        <v>0</v>
      </c>
      <c r="AO312" s="636">
        <f>'Adubos e corretivos'!P52</f>
        <v>0</v>
      </c>
      <c r="AP312" s="636">
        <f>'Adubos e corretivos'!Q52</f>
        <v>0</v>
      </c>
      <c r="AQ312" s="636">
        <f>'Adubos e corretivos'!R52</f>
        <v>0</v>
      </c>
      <c r="AR312" s="636">
        <f>'Adubos e corretivos'!S52</f>
        <v>0</v>
      </c>
      <c r="AS312" s="636">
        <f>'Adubos e corretivos'!T52</f>
        <v>0</v>
      </c>
      <c r="AT312" s="636">
        <f>'Adubos e corretivos'!U52</f>
        <v>0</v>
      </c>
      <c r="AU312" s="636">
        <f>'Adubos e corretivos'!V52</f>
        <v>0</v>
      </c>
      <c r="AV312" s="613"/>
    </row>
    <row r="313" spans="26:48" ht="20.25" customHeight="1" x14ac:dyDescent="0.25">
      <c r="Z313" s="610"/>
      <c r="AA313" s="634"/>
      <c r="AB313" s="636">
        <f>'Adubos e corretivos'!C53</f>
        <v>0</v>
      </c>
      <c r="AC313" s="636">
        <f>'Adubos e corretivos'!D53</f>
        <v>0</v>
      </c>
      <c r="AD313" s="636">
        <f>'Adubos e corretivos'!E53</f>
        <v>0</v>
      </c>
      <c r="AE313" s="636">
        <f>'Adubos e corretivos'!F53</f>
        <v>0</v>
      </c>
      <c r="AF313" s="636">
        <f>'Adubos e corretivos'!G53</f>
        <v>0</v>
      </c>
      <c r="AG313" s="636">
        <f>'Adubos e corretivos'!H53</f>
        <v>0</v>
      </c>
      <c r="AH313" s="636">
        <f>'Adubos e corretivos'!I53</f>
        <v>0</v>
      </c>
      <c r="AI313" s="636">
        <f>'Adubos e corretivos'!J53</f>
        <v>0</v>
      </c>
      <c r="AJ313" s="636">
        <f>'Adubos e corretivos'!K53</f>
        <v>0</v>
      </c>
      <c r="AK313" s="636">
        <f>'Adubos e corretivos'!L53</f>
        <v>0</v>
      </c>
      <c r="AL313" s="636">
        <f>'Adubos e corretivos'!M53</f>
        <v>0</v>
      </c>
      <c r="AM313" s="636">
        <f>'Adubos e corretivos'!N53</f>
        <v>0</v>
      </c>
      <c r="AN313" s="636">
        <f>'Adubos e corretivos'!O53</f>
        <v>0</v>
      </c>
      <c r="AO313" s="636">
        <f>'Adubos e corretivos'!P53</f>
        <v>0</v>
      </c>
      <c r="AP313" s="636">
        <f>'Adubos e corretivos'!Q53</f>
        <v>0</v>
      </c>
      <c r="AQ313" s="636">
        <f>'Adubos e corretivos'!R53</f>
        <v>0</v>
      </c>
      <c r="AR313" s="636">
        <f>'Adubos e corretivos'!S53</f>
        <v>0</v>
      </c>
      <c r="AS313" s="636">
        <f>'Adubos e corretivos'!T53</f>
        <v>0</v>
      </c>
      <c r="AT313" s="636">
        <f>'Adubos e corretivos'!U53</f>
        <v>0</v>
      </c>
      <c r="AU313" s="636">
        <f>'Adubos e corretivos'!V53</f>
        <v>0</v>
      </c>
      <c r="AV313" s="613"/>
    </row>
    <row r="314" spans="26:48" ht="20.25" customHeight="1" x14ac:dyDescent="0.25">
      <c r="Z314" s="610"/>
      <c r="AA314" s="634" t="s">
        <v>150</v>
      </c>
      <c r="AB314" s="636" t="str">
        <f>'Adubos e corretivos'!C54</f>
        <v>Agroffos Agronelli (061 3642-1777)</v>
      </c>
      <c r="AC314" s="636">
        <f>'Adubos e corretivos'!D54</f>
        <v>0</v>
      </c>
      <c r="AD314" s="636">
        <f>'Adubos e corretivos'!E54</f>
        <v>0</v>
      </c>
      <c r="AE314" s="636">
        <f>'Adubos e corretivos'!F54</f>
        <v>6.1150000000000002</v>
      </c>
      <c r="AF314" s="636">
        <f>'Adubos e corretivos'!G54</f>
        <v>14</v>
      </c>
      <c r="AG314" s="636">
        <f>'Adubos e corretivos'!H54</f>
        <v>0</v>
      </c>
      <c r="AH314" s="636">
        <f>'Adubos e corretivos'!I54</f>
        <v>0</v>
      </c>
      <c r="AI314" s="636">
        <f>'Adubos e corretivos'!J54</f>
        <v>0</v>
      </c>
      <c r="AJ314" s="636">
        <f>'Adubos e corretivos'!K54</f>
        <v>0</v>
      </c>
      <c r="AK314" s="636">
        <f>'Adubos e corretivos'!L54</f>
        <v>0</v>
      </c>
      <c r="AL314" s="636">
        <f>'Adubos e corretivos'!M54</f>
        <v>0</v>
      </c>
      <c r="AM314" s="636">
        <f>'Adubos e corretivos'!N54</f>
        <v>0</v>
      </c>
      <c r="AN314" s="636">
        <f>'Adubos e corretivos'!O54</f>
        <v>0</v>
      </c>
      <c r="AO314" s="636">
        <f>'Adubos e corretivos'!P54</f>
        <v>0</v>
      </c>
      <c r="AP314" s="636">
        <f>'Adubos e corretivos'!Q54</f>
        <v>0</v>
      </c>
      <c r="AQ314" s="636">
        <f>'Adubos e corretivos'!R54</f>
        <v>0</v>
      </c>
      <c r="AR314" s="636">
        <f>'Adubos e corretivos'!S54</f>
        <v>0</v>
      </c>
      <c r="AS314" s="636">
        <f>'Adubos e corretivos'!T54</f>
        <v>0</v>
      </c>
      <c r="AT314" s="636">
        <f>'Adubos e corretivos'!U54</f>
        <v>0</v>
      </c>
      <c r="AU314" s="636">
        <f>'Adubos e corretivos'!V54</f>
        <v>0</v>
      </c>
      <c r="AV314" s="613"/>
    </row>
    <row r="315" spans="26:48" ht="20.25" customHeight="1" x14ac:dyDescent="0.25">
      <c r="Z315" s="610"/>
      <c r="AA315" s="634"/>
      <c r="AB315" s="636" t="str">
        <f>'Adubos e corretivos'!C55</f>
        <v>EkoSil</v>
      </c>
      <c r="AC315" s="636">
        <f>'Adubos e corretivos'!D55</f>
        <v>0</v>
      </c>
      <c r="AD315" s="636">
        <f>'Adubos e corretivos'!E55</f>
        <v>0</v>
      </c>
      <c r="AE315" s="636">
        <f>'Adubos e corretivos'!F55</f>
        <v>0</v>
      </c>
      <c r="AF315" s="636">
        <f>'Adubos e corretivos'!G55</f>
        <v>0</v>
      </c>
      <c r="AG315" s="636">
        <f>'Adubos e corretivos'!H55</f>
        <v>6.65</v>
      </c>
      <c r="AH315" s="636">
        <f>'Adubos e corretivos'!I55</f>
        <v>8</v>
      </c>
      <c r="AI315" s="636">
        <f>'Adubos e corretivos'!J55</f>
        <v>1.5</v>
      </c>
      <c r="AJ315" s="636">
        <f>'Adubos e corretivos'!K55</f>
        <v>0.2</v>
      </c>
      <c r="AK315" s="636">
        <f>'Adubos e corretivos'!L55</f>
        <v>0</v>
      </c>
      <c r="AL315" s="636">
        <f>'Adubos e corretivos'!M55</f>
        <v>6.4999999999999994E-5</v>
      </c>
      <c r="AM315" s="636">
        <f>'Adubos e corretivos'!N55</f>
        <v>6.4999999999999994E-5</v>
      </c>
      <c r="AN315" s="636">
        <f>'Adubos e corretivos'!O55</f>
        <v>1.25E-4</v>
      </c>
      <c r="AO315" s="636">
        <f>'Adubos e corretivos'!P55</f>
        <v>1.4E-5</v>
      </c>
      <c r="AP315" s="636">
        <f>'Adubos e corretivos'!Q55</f>
        <v>7.9999999999999996E-6</v>
      </c>
      <c r="AQ315" s="636">
        <f>'Adubos e corretivos'!R55</f>
        <v>0</v>
      </c>
      <c r="AR315" s="636">
        <f>'Adubos e corretivos'!S55</f>
        <v>54</v>
      </c>
      <c r="AS315" s="636">
        <f>'Adubos e corretivos'!T55</f>
        <v>0</v>
      </c>
      <c r="AT315" s="636">
        <f>'Adubos e corretivos'!U55</f>
        <v>0</v>
      </c>
      <c r="AU315" s="636">
        <f>'Adubos e corretivos'!V55</f>
        <v>0</v>
      </c>
      <c r="AV315" s="613"/>
    </row>
    <row r="316" spans="26:48" ht="20.25" customHeight="1" x14ac:dyDescent="0.25">
      <c r="Z316" s="610"/>
      <c r="AA316" s="634"/>
      <c r="AB316" s="636" t="str">
        <f>'Adubos e corretivos'!C56</f>
        <v>FNR Fertipar ((061 3642-2080)</v>
      </c>
      <c r="AC316" s="636">
        <f>'Adubos e corretivos'!D56</f>
        <v>0</v>
      </c>
      <c r="AD316" s="636">
        <f>'Adubos e corretivos'!E56</f>
        <v>0</v>
      </c>
      <c r="AE316" s="636">
        <f>'Adubos e corretivos'!F56</f>
        <v>12.67</v>
      </c>
      <c r="AF316" s="636">
        <f>'Adubos e corretivos'!G56</f>
        <v>29</v>
      </c>
      <c r="AG316" s="636">
        <f>'Adubos e corretivos'!H56</f>
        <v>0</v>
      </c>
      <c r="AH316" s="636">
        <f>'Adubos e corretivos'!I56</f>
        <v>0</v>
      </c>
      <c r="AI316" s="636">
        <f>'Adubos e corretivos'!J56</f>
        <v>0</v>
      </c>
      <c r="AJ316" s="636">
        <f>'Adubos e corretivos'!K56</f>
        <v>0</v>
      </c>
      <c r="AK316" s="636">
        <f>'Adubos e corretivos'!L56</f>
        <v>0</v>
      </c>
      <c r="AL316" s="636">
        <f>'Adubos e corretivos'!M56</f>
        <v>0</v>
      </c>
      <c r="AM316" s="636">
        <f>'Adubos e corretivos'!N56</f>
        <v>0</v>
      </c>
      <c r="AN316" s="636">
        <f>'Adubos e corretivos'!O56</f>
        <v>0</v>
      </c>
      <c r="AO316" s="636">
        <f>'Adubos e corretivos'!P56</f>
        <v>0</v>
      </c>
      <c r="AP316" s="636">
        <f>'Adubos e corretivos'!Q56</f>
        <v>0</v>
      </c>
      <c r="AQ316" s="636">
        <f>'Adubos e corretivos'!R56</f>
        <v>0</v>
      </c>
      <c r="AR316" s="636">
        <f>'Adubos e corretivos'!S56</f>
        <v>0</v>
      </c>
      <c r="AS316" s="636">
        <f>'Adubos e corretivos'!T56</f>
        <v>0</v>
      </c>
      <c r="AT316" s="636">
        <f>'Adubos e corretivos'!U56</f>
        <v>0</v>
      </c>
      <c r="AU316" s="636">
        <f>'Adubos e corretivos'!V56</f>
        <v>0</v>
      </c>
      <c r="AV316" s="613"/>
    </row>
    <row r="317" spans="26:48" ht="20.25" customHeight="1" x14ac:dyDescent="0.25">
      <c r="Z317" s="610"/>
      <c r="AA317" s="634"/>
      <c r="AB317" s="636" t="str">
        <f>'Adubos e corretivos'!C57</f>
        <v>FNR Heringer (061 3642-2596)</v>
      </c>
      <c r="AC317" s="636">
        <f>'Adubos e corretivos'!D57</f>
        <v>0</v>
      </c>
      <c r="AD317" s="636">
        <f>'Adubos e corretivos'!E57</f>
        <v>0</v>
      </c>
      <c r="AE317" s="636">
        <f>'Adubos e corretivos'!F57</f>
        <v>13.11</v>
      </c>
      <c r="AF317" s="636">
        <f>'Adubos e corretivos'!G57</f>
        <v>30</v>
      </c>
      <c r="AG317" s="636">
        <f>'Adubos e corretivos'!H57</f>
        <v>0</v>
      </c>
      <c r="AH317" s="636">
        <f>'Adubos e corretivos'!I57</f>
        <v>0</v>
      </c>
      <c r="AI317" s="636">
        <f>'Adubos e corretivos'!J57</f>
        <v>0</v>
      </c>
      <c r="AJ317" s="636">
        <f>'Adubos e corretivos'!K57</f>
        <v>0</v>
      </c>
      <c r="AK317" s="636">
        <f>'Adubos e corretivos'!L57</f>
        <v>0</v>
      </c>
      <c r="AL317" s="636">
        <f>'Adubos e corretivos'!M57</f>
        <v>0</v>
      </c>
      <c r="AM317" s="636">
        <f>'Adubos e corretivos'!N57</f>
        <v>0</v>
      </c>
      <c r="AN317" s="636">
        <f>'Adubos e corretivos'!O57</f>
        <v>0</v>
      </c>
      <c r="AO317" s="636">
        <f>'Adubos e corretivos'!P57</f>
        <v>0</v>
      </c>
      <c r="AP317" s="636">
        <f>'Adubos e corretivos'!Q57</f>
        <v>0</v>
      </c>
      <c r="AQ317" s="636">
        <f>'Adubos e corretivos'!R57</f>
        <v>0</v>
      </c>
      <c r="AR317" s="636">
        <f>'Adubos e corretivos'!S57</f>
        <v>0</v>
      </c>
      <c r="AS317" s="636">
        <f>'Adubos e corretivos'!T57</f>
        <v>0</v>
      </c>
      <c r="AT317" s="636">
        <f>'Adubos e corretivos'!U57</f>
        <v>0</v>
      </c>
      <c r="AU317" s="636">
        <f>'Adubos e corretivos'!V57</f>
        <v>0</v>
      </c>
      <c r="AV317" s="613"/>
    </row>
    <row r="318" spans="26:48" ht="20.25" customHeight="1" x14ac:dyDescent="0.25">
      <c r="Z318" s="610"/>
      <c r="AA318" s="634"/>
      <c r="AB318" s="636" t="str">
        <f>'Adubos e corretivos'!C58</f>
        <v>FNR Paulivida (061 - 3361-6634)</v>
      </c>
      <c r="AC318" s="636">
        <f>'Adubos e corretivos'!D58</f>
        <v>0</v>
      </c>
      <c r="AD318" s="636">
        <f>'Adubos e corretivos'!E58</f>
        <v>0</v>
      </c>
      <c r="AE318" s="636">
        <f>'Adubos e corretivos'!F58</f>
        <v>11.8</v>
      </c>
      <c r="AF318" s="636">
        <f>'Adubos e corretivos'!G58</f>
        <v>27</v>
      </c>
      <c r="AG318" s="636">
        <f>'Adubos e corretivos'!H58</f>
        <v>0</v>
      </c>
      <c r="AH318" s="636">
        <f>'Adubos e corretivos'!I58</f>
        <v>0</v>
      </c>
      <c r="AI318" s="636">
        <f>'Adubos e corretivos'!J58</f>
        <v>0</v>
      </c>
      <c r="AJ318" s="636">
        <f>'Adubos e corretivos'!K58</f>
        <v>0</v>
      </c>
      <c r="AK318" s="636">
        <f>'Adubos e corretivos'!L58</f>
        <v>0</v>
      </c>
      <c r="AL318" s="636">
        <f>'Adubos e corretivos'!M58</f>
        <v>0</v>
      </c>
      <c r="AM318" s="636">
        <f>'Adubos e corretivos'!N58</f>
        <v>0</v>
      </c>
      <c r="AN318" s="636">
        <f>'Adubos e corretivos'!O58</f>
        <v>0</v>
      </c>
      <c r="AO318" s="636">
        <f>'Adubos e corretivos'!P58</f>
        <v>0</v>
      </c>
      <c r="AP318" s="636">
        <f>'Adubos e corretivos'!Q58</f>
        <v>0</v>
      </c>
      <c r="AQ318" s="636">
        <f>'Adubos e corretivos'!R58</f>
        <v>0</v>
      </c>
      <c r="AR318" s="636">
        <f>'Adubos e corretivos'!S58</f>
        <v>0</v>
      </c>
      <c r="AS318" s="636">
        <f>'Adubos e corretivos'!T58</f>
        <v>0</v>
      </c>
      <c r="AT318" s="636">
        <f>'Adubos e corretivos'!U58</f>
        <v>0</v>
      </c>
      <c r="AU318" s="636">
        <f>'Adubos e corretivos'!V58</f>
        <v>0</v>
      </c>
      <c r="AV318" s="613"/>
    </row>
    <row r="319" spans="26:48" ht="20.25" customHeight="1" x14ac:dyDescent="0.25">
      <c r="Z319" s="610"/>
      <c r="AA319" s="634"/>
      <c r="AB319" s="636" t="str">
        <f>'Adubos e corretivos'!C59</f>
        <v>Potomag Nutrisafra (061 3028-2695)</v>
      </c>
      <c r="AC319" s="636">
        <f>'Adubos e corretivos'!D59</f>
        <v>0</v>
      </c>
      <c r="AD319" s="636">
        <f>'Adubos e corretivos'!E59</f>
        <v>0</v>
      </c>
      <c r="AE319" s="636">
        <f>'Adubos e corretivos'!F59</f>
        <v>0</v>
      </c>
      <c r="AF319" s="636">
        <f>'Adubos e corretivos'!G59</f>
        <v>0</v>
      </c>
      <c r="AG319" s="636">
        <f>'Adubos e corretivos'!H59</f>
        <v>18.27</v>
      </c>
      <c r="AH319" s="636">
        <f>'Adubos e corretivos'!I59</f>
        <v>22</v>
      </c>
      <c r="AI319" s="636">
        <f>'Adubos e corretivos'!J59</f>
        <v>0</v>
      </c>
      <c r="AJ319" s="636">
        <f>'Adubos e corretivos'!K59</f>
        <v>11</v>
      </c>
      <c r="AK319" s="636">
        <f>'Adubos e corretivos'!L59</f>
        <v>22</v>
      </c>
      <c r="AL319" s="636">
        <f>'Adubos e corretivos'!M59</f>
        <v>0</v>
      </c>
      <c r="AM319" s="636">
        <f>'Adubos e corretivos'!N59</f>
        <v>0</v>
      </c>
      <c r="AN319" s="636">
        <f>'Adubos e corretivos'!O59</f>
        <v>0</v>
      </c>
      <c r="AO319" s="636">
        <f>'Adubos e corretivos'!P59</f>
        <v>0</v>
      </c>
      <c r="AP319" s="636">
        <f>'Adubos e corretivos'!Q59</f>
        <v>0</v>
      </c>
      <c r="AQ319" s="636">
        <f>'Adubos e corretivos'!R59</f>
        <v>0</v>
      </c>
      <c r="AR319" s="636">
        <f>'Adubos e corretivos'!S59</f>
        <v>0</v>
      </c>
      <c r="AS319" s="636">
        <f>'Adubos e corretivos'!T59</f>
        <v>0</v>
      </c>
      <c r="AT319" s="636">
        <f>'Adubos e corretivos'!U59</f>
        <v>0</v>
      </c>
      <c r="AU319" s="636">
        <f>'Adubos e corretivos'!V59</f>
        <v>0</v>
      </c>
      <c r="AV319" s="613"/>
    </row>
    <row r="320" spans="26:48" ht="20.25" customHeight="1" x14ac:dyDescent="0.25">
      <c r="Z320" s="610"/>
      <c r="AA320" s="634"/>
      <c r="AB320" s="636" t="str">
        <f>'Adubos e corretivos'!C60</f>
        <v>Suphaphos</v>
      </c>
      <c r="AC320" s="636">
        <f>'Adubos e corretivos'!D60</f>
        <v>0</v>
      </c>
      <c r="AD320" s="636">
        <f>'Adubos e corretivos'!E60</f>
        <v>0</v>
      </c>
      <c r="AE320" s="636">
        <f>'Adubos e corretivos'!F60</f>
        <v>6.1150000000000002</v>
      </c>
      <c r="AF320" s="636">
        <f>'Adubos e corretivos'!G60</f>
        <v>14</v>
      </c>
      <c r="AG320" s="636">
        <f>'Adubos e corretivos'!H60</f>
        <v>0</v>
      </c>
      <c r="AH320" s="636">
        <f>'Adubos e corretivos'!I60</f>
        <v>0</v>
      </c>
      <c r="AI320" s="636">
        <f>'Adubos e corretivos'!J60</f>
        <v>12</v>
      </c>
      <c r="AJ320" s="636">
        <f>'Adubos e corretivos'!K60</f>
        <v>0</v>
      </c>
      <c r="AK320" s="636">
        <f>'Adubos e corretivos'!L60</f>
        <v>0</v>
      </c>
      <c r="AL320" s="636">
        <f>'Adubos e corretivos'!M60</f>
        <v>0</v>
      </c>
      <c r="AM320" s="636">
        <f>'Adubos e corretivos'!N60</f>
        <v>0</v>
      </c>
      <c r="AN320" s="636">
        <f>'Adubos e corretivos'!O60</f>
        <v>0</v>
      </c>
      <c r="AO320" s="636">
        <f>'Adubos e corretivos'!P60</f>
        <v>0</v>
      </c>
      <c r="AP320" s="636">
        <f>'Adubos e corretivos'!Q60</f>
        <v>0</v>
      </c>
      <c r="AQ320" s="636">
        <f>'Adubos e corretivos'!R60</f>
        <v>0</v>
      </c>
      <c r="AR320" s="636">
        <f>'Adubos e corretivos'!S60</f>
        <v>0</v>
      </c>
      <c r="AS320" s="636">
        <f>'Adubos e corretivos'!T60</f>
        <v>0</v>
      </c>
      <c r="AT320" s="636">
        <f>'Adubos e corretivos'!U60</f>
        <v>0</v>
      </c>
      <c r="AU320" s="636">
        <f>'Adubos e corretivos'!V60</f>
        <v>0</v>
      </c>
      <c r="AV320" s="613"/>
    </row>
    <row r="321" spans="26:48" ht="20.25" customHeight="1" x14ac:dyDescent="0.25">
      <c r="Z321" s="610"/>
      <c r="AA321" s="634"/>
      <c r="AB321" s="636">
        <f>'Adubos e corretivos'!C61</f>
        <v>0</v>
      </c>
      <c r="AC321" s="636">
        <f>'Adubos e corretivos'!D61</f>
        <v>0</v>
      </c>
      <c r="AD321" s="636">
        <f>'Adubos e corretivos'!E61</f>
        <v>0</v>
      </c>
      <c r="AE321" s="636">
        <f>'Adubos e corretivos'!F61</f>
        <v>0</v>
      </c>
      <c r="AF321" s="636">
        <f>'Adubos e corretivos'!G61</f>
        <v>0</v>
      </c>
      <c r="AG321" s="636">
        <f>'Adubos e corretivos'!H61</f>
        <v>0</v>
      </c>
      <c r="AH321" s="636">
        <f>'Adubos e corretivos'!I61</f>
        <v>0</v>
      </c>
      <c r="AI321" s="636">
        <f>'Adubos e corretivos'!J61</f>
        <v>0</v>
      </c>
      <c r="AJ321" s="636">
        <f>'Adubos e corretivos'!K61</f>
        <v>0</v>
      </c>
      <c r="AK321" s="636">
        <f>'Adubos e corretivos'!L61</f>
        <v>0</v>
      </c>
      <c r="AL321" s="636">
        <f>'Adubos e corretivos'!M61</f>
        <v>0</v>
      </c>
      <c r="AM321" s="636">
        <f>'Adubos e corretivos'!N61</f>
        <v>0</v>
      </c>
      <c r="AN321" s="636">
        <f>'Adubos e corretivos'!O61</f>
        <v>0</v>
      </c>
      <c r="AO321" s="636">
        <f>'Adubos e corretivos'!P61</f>
        <v>0</v>
      </c>
      <c r="AP321" s="636">
        <f>'Adubos e corretivos'!Q61</f>
        <v>0</v>
      </c>
      <c r="AQ321" s="636">
        <f>'Adubos e corretivos'!R61</f>
        <v>0</v>
      </c>
      <c r="AR321" s="636">
        <f>'Adubos e corretivos'!S61</f>
        <v>0</v>
      </c>
      <c r="AS321" s="636">
        <f>'Adubos e corretivos'!T61</f>
        <v>0</v>
      </c>
      <c r="AT321" s="636">
        <f>'Adubos e corretivos'!U61</f>
        <v>0</v>
      </c>
      <c r="AU321" s="636">
        <f>'Adubos e corretivos'!V61</f>
        <v>0</v>
      </c>
      <c r="AV321" s="613"/>
    </row>
    <row r="322" spans="26:48" ht="20.25" customHeight="1" x14ac:dyDescent="0.25">
      <c r="Z322" s="610"/>
      <c r="AA322" s="634"/>
      <c r="AB322" s="636">
        <f>'Adubos e corretivos'!C62</f>
        <v>0</v>
      </c>
      <c r="AC322" s="636">
        <f>'Adubos e corretivos'!D62</f>
        <v>0</v>
      </c>
      <c r="AD322" s="636">
        <f>'Adubos e corretivos'!E62</f>
        <v>0</v>
      </c>
      <c r="AE322" s="636">
        <f>'Adubos e corretivos'!F62</f>
        <v>0</v>
      </c>
      <c r="AF322" s="636">
        <f>'Adubos e corretivos'!G62</f>
        <v>0</v>
      </c>
      <c r="AG322" s="636">
        <f>'Adubos e corretivos'!H62</f>
        <v>0</v>
      </c>
      <c r="AH322" s="636">
        <f>'Adubos e corretivos'!I62</f>
        <v>0</v>
      </c>
      <c r="AI322" s="636">
        <f>'Adubos e corretivos'!J62</f>
        <v>0</v>
      </c>
      <c r="AJ322" s="636">
        <f>'Adubos e corretivos'!K62</f>
        <v>0</v>
      </c>
      <c r="AK322" s="636">
        <f>'Adubos e corretivos'!L62</f>
        <v>0</v>
      </c>
      <c r="AL322" s="636">
        <f>'Adubos e corretivos'!M62</f>
        <v>0</v>
      </c>
      <c r="AM322" s="636">
        <f>'Adubos e corretivos'!N62</f>
        <v>0</v>
      </c>
      <c r="AN322" s="636">
        <f>'Adubos e corretivos'!O62</f>
        <v>0</v>
      </c>
      <c r="AO322" s="636">
        <f>'Adubos e corretivos'!P62</f>
        <v>0</v>
      </c>
      <c r="AP322" s="636">
        <f>'Adubos e corretivos'!Q62</f>
        <v>0</v>
      </c>
      <c r="AQ322" s="636">
        <f>'Adubos e corretivos'!R62</f>
        <v>0</v>
      </c>
      <c r="AR322" s="636">
        <f>'Adubos e corretivos'!S62</f>
        <v>0</v>
      </c>
      <c r="AS322" s="636">
        <f>'Adubos e corretivos'!T62</f>
        <v>0</v>
      </c>
      <c r="AT322" s="636">
        <f>'Adubos e corretivos'!U62</f>
        <v>0</v>
      </c>
      <c r="AU322" s="636">
        <f>'Adubos e corretivos'!V62</f>
        <v>0</v>
      </c>
      <c r="AV322" s="613"/>
    </row>
    <row r="323" spans="26:48" ht="20.25" customHeight="1" x14ac:dyDescent="0.25">
      <c r="Z323" s="610"/>
      <c r="AA323" s="634" t="s">
        <v>283</v>
      </c>
      <c r="AB323" s="636" t="str">
        <f>'Adubos e corretivos'!C63</f>
        <v xml:space="preserve">Biotita Xisto (61) 3233-9368 </v>
      </c>
      <c r="AC323" s="636">
        <f>'Adubos e corretivos'!D63</f>
        <v>0</v>
      </c>
      <c r="AD323" s="636">
        <f>'Adubos e corretivos'!E63</f>
        <v>0</v>
      </c>
      <c r="AE323" s="636">
        <f>'Adubos e corretivos'!F63</f>
        <v>8.7999999999999995E-2</v>
      </c>
      <c r="AF323" s="636">
        <f>'Adubos e corretivos'!G63</f>
        <v>0.2</v>
      </c>
      <c r="AG323" s="636">
        <f>'Adubos e corretivos'!H63</f>
        <v>2.83</v>
      </c>
      <c r="AH323" s="636">
        <f>'Adubos e corretivos'!I63</f>
        <v>3.4</v>
      </c>
      <c r="AI323" s="636">
        <f>'Adubos e corretivos'!J63</f>
        <v>2.5174825174825175</v>
      </c>
      <c r="AJ323" s="636">
        <f>'Adubos e corretivos'!K63</f>
        <v>7.6411960132890364</v>
      </c>
      <c r="AK323" s="636">
        <f>'Adubos e corretivos'!L63</f>
        <v>0</v>
      </c>
      <c r="AL323" s="636">
        <f>'Adubos e corretivos'!M63</f>
        <v>0</v>
      </c>
      <c r="AM323" s="636">
        <f>'Adubos e corretivos'!N63</f>
        <v>0</v>
      </c>
      <c r="AN323" s="636">
        <f>'Adubos e corretivos'!O63</f>
        <v>0</v>
      </c>
      <c r="AO323" s="636">
        <f>'Adubos e corretivos'!P63</f>
        <v>0</v>
      </c>
      <c r="AP323" s="636">
        <f>'Adubos e corretivos'!Q63</f>
        <v>0</v>
      </c>
      <c r="AQ323" s="636">
        <f>'Adubos e corretivos'!R63</f>
        <v>0</v>
      </c>
      <c r="AR323" s="636">
        <f>'Adubos e corretivos'!S63</f>
        <v>57.8</v>
      </c>
      <c r="AS323" s="636">
        <f>'Adubos e corretivos'!T63</f>
        <v>0</v>
      </c>
      <c r="AT323" s="636">
        <f>'Adubos e corretivos'!U63</f>
        <v>0</v>
      </c>
      <c r="AU323" s="636">
        <f>'Adubos e corretivos'!V63</f>
        <v>0</v>
      </c>
      <c r="AV323" s="613"/>
    </row>
    <row r="324" spans="26:48" ht="20.25" customHeight="1" x14ac:dyDescent="0.25">
      <c r="Z324" s="610"/>
      <c r="AA324" s="634"/>
      <c r="AB324" s="636" t="str">
        <f>'Adubos e corretivos'!C64</f>
        <v>Kamafugito</v>
      </c>
      <c r="AC324" s="636">
        <f>'Adubos e corretivos'!D64</f>
        <v>0</v>
      </c>
      <c r="AD324" s="636">
        <f>'Adubos e corretivos'!E64</f>
        <v>0</v>
      </c>
      <c r="AE324" s="636">
        <f>'Adubos e corretivos'!F64</f>
        <v>1.5069999999999999</v>
      </c>
      <c r="AF324" s="636">
        <f>'Adubos e corretivos'!G64</f>
        <v>3.5</v>
      </c>
      <c r="AG324" s="636">
        <f>'Adubos e corretivos'!H64</f>
        <v>3.3250000000000002</v>
      </c>
      <c r="AH324" s="636">
        <f>'Adubos e corretivos'!I64</f>
        <v>4</v>
      </c>
      <c r="AI324" s="636">
        <f>'Adubos e corretivos'!J64</f>
        <v>2.86</v>
      </c>
      <c r="AJ324" s="636">
        <f>'Adubos e corretivos'!K64</f>
        <v>0</v>
      </c>
      <c r="AK324" s="636">
        <f>'Adubos e corretivos'!L64</f>
        <v>0</v>
      </c>
      <c r="AL324" s="636">
        <f>'Adubos e corretivos'!M64</f>
        <v>0</v>
      </c>
      <c r="AM324" s="636">
        <f>'Adubos e corretivos'!N64</f>
        <v>0</v>
      </c>
      <c r="AN324" s="636">
        <f>'Adubos e corretivos'!O64</f>
        <v>0</v>
      </c>
      <c r="AO324" s="636">
        <f>'Adubos e corretivos'!P64</f>
        <v>0</v>
      </c>
      <c r="AP324" s="636">
        <f>'Adubos e corretivos'!Q64</f>
        <v>0</v>
      </c>
      <c r="AQ324" s="636">
        <f>'Adubos e corretivos'!R64</f>
        <v>0</v>
      </c>
      <c r="AR324" s="636">
        <f>'Adubos e corretivos'!S64</f>
        <v>0</v>
      </c>
      <c r="AS324" s="636">
        <f>'Adubos e corretivos'!T64</f>
        <v>0</v>
      </c>
      <c r="AT324" s="636">
        <f>'Adubos e corretivos'!U64</f>
        <v>0</v>
      </c>
      <c r="AU324" s="636">
        <f>'Adubos e corretivos'!V64</f>
        <v>0</v>
      </c>
      <c r="AV324" s="613"/>
    </row>
    <row r="325" spans="26:48" ht="20.25" customHeight="1" x14ac:dyDescent="0.25">
      <c r="Z325" s="610"/>
      <c r="AA325" s="634"/>
      <c r="AB325" s="636" t="str">
        <f>'Adubos e corretivos'!C65</f>
        <v>Micaxisto (61) 3233-9368</v>
      </c>
      <c r="AC325" s="636">
        <f>'Adubos e corretivos'!D65</f>
        <v>0</v>
      </c>
      <c r="AD325" s="636">
        <f>'Adubos e corretivos'!E65</f>
        <v>0</v>
      </c>
      <c r="AE325" s="636">
        <f>'Adubos e corretivos'!F65</f>
        <v>4.4999999999999998E-2</v>
      </c>
      <c r="AF325" s="636">
        <f>'Adubos e corretivos'!G65</f>
        <v>0.1</v>
      </c>
      <c r="AG325" s="636">
        <f>'Adubos e corretivos'!H65</f>
        <v>4.32</v>
      </c>
      <c r="AH325" s="636">
        <f>'Adubos e corretivos'!I65</f>
        <v>5.2</v>
      </c>
      <c r="AI325" s="636">
        <f>'Adubos e corretivos'!J65</f>
        <v>1.2587412587412588</v>
      </c>
      <c r="AJ325" s="636">
        <f>'Adubos e corretivos'!K65</f>
        <v>1.1627906976744187</v>
      </c>
      <c r="AK325" s="636">
        <f>'Adubos e corretivos'!L65</f>
        <v>0</v>
      </c>
      <c r="AL325" s="636">
        <f>'Adubos e corretivos'!M65</f>
        <v>0</v>
      </c>
      <c r="AM325" s="636">
        <f>'Adubos e corretivos'!N65</f>
        <v>0</v>
      </c>
      <c r="AN325" s="636">
        <f>'Adubos e corretivos'!O65</f>
        <v>0</v>
      </c>
      <c r="AO325" s="636">
        <f>'Adubos e corretivos'!P65</f>
        <v>0</v>
      </c>
      <c r="AP325" s="636">
        <f>'Adubos e corretivos'!Q65</f>
        <v>0</v>
      </c>
      <c r="AQ325" s="636">
        <f>'Adubos e corretivos'!R65</f>
        <v>0</v>
      </c>
      <c r="AR325" s="636">
        <f>'Adubos e corretivos'!S65</f>
        <v>0</v>
      </c>
      <c r="AS325" s="636">
        <f>'Adubos e corretivos'!T65</f>
        <v>0</v>
      </c>
      <c r="AT325" s="636">
        <f>'Adubos e corretivos'!U65</f>
        <v>0</v>
      </c>
      <c r="AU325" s="636">
        <f>'Adubos e corretivos'!V65</f>
        <v>0</v>
      </c>
      <c r="AV325" s="613"/>
    </row>
    <row r="326" spans="26:48" ht="20.25" customHeight="1" x14ac:dyDescent="0.25">
      <c r="Z326" s="610"/>
      <c r="AA326" s="634"/>
      <c r="AB326" s="636" t="str">
        <f>'Adubos e corretivos'!C66</f>
        <v xml:space="preserve">Pó de brita Fmx (62) 3924 8565 </v>
      </c>
      <c r="AC326" s="636">
        <f>'Adubos e corretivos'!D66</f>
        <v>0</v>
      </c>
      <c r="AD326" s="636">
        <f>'Adubos e corretivos'!E66</f>
        <v>0</v>
      </c>
      <c r="AE326" s="636">
        <f>'Adubos e corretivos'!F66</f>
        <v>0</v>
      </c>
      <c r="AF326" s="636">
        <f>'Adubos e corretivos'!G66</f>
        <v>0</v>
      </c>
      <c r="AG326" s="636">
        <f>'Adubos e corretivos'!H66</f>
        <v>4.99</v>
      </c>
      <c r="AH326" s="636">
        <f>'Adubos e corretivos'!I66</f>
        <v>6</v>
      </c>
      <c r="AI326" s="636">
        <f>'Adubos e corretivos'!J66</f>
        <v>4.1958041958041958</v>
      </c>
      <c r="AJ326" s="636">
        <f>'Adubos e corretivos'!K66</f>
        <v>0.83056478405315615</v>
      </c>
      <c r="AK326" s="636">
        <f>'Adubos e corretivos'!L66</f>
        <v>0</v>
      </c>
      <c r="AL326" s="636">
        <f>'Adubos e corretivos'!M66</f>
        <v>0</v>
      </c>
      <c r="AM326" s="636">
        <f>'Adubos e corretivos'!N66</f>
        <v>0</v>
      </c>
      <c r="AN326" s="636">
        <f>'Adubos e corretivos'!O66</f>
        <v>0</v>
      </c>
      <c r="AO326" s="636">
        <f>'Adubos e corretivos'!P66</f>
        <v>0</v>
      </c>
      <c r="AP326" s="636">
        <f>'Adubos e corretivos'!Q66</f>
        <v>0</v>
      </c>
      <c r="AQ326" s="636">
        <f>'Adubos e corretivos'!R66</f>
        <v>0</v>
      </c>
      <c r="AR326" s="636">
        <f>'Adubos e corretivos'!S66</f>
        <v>0</v>
      </c>
      <c r="AS326" s="636">
        <f>'Adubos e corretivos'!T66</f>
        <v>0</v>
      </c>
      <c r="AT326" s="636">
        <f>'Adubos e corretivos'!U66</f>
        <v>0</v>
      </c>
      <c r="AU326" s="636">
        <f>'Adubos e corretivos'!V66</f>
        <v>0</v>
      </c>
      <c r="AV326" s="613"/>
    </row>
    <row r="327" spans="26:48" ht="20.25" customHeight="1" x14ac:dyDescent="0.25">
      <c r="Z327" s="610"/>
      <c r="AA327" s="634"/>
      <c r="AB327" s="636" t="str">
        <f>'Adubos e corretivos'!C67</f>
        <v>Remax Mistel (61) 99414-1975</v>
      </c>
      <c r="AC327" s="636">
        <f>'Adubos e corretivos'!D67</f>
        <v>0</v>
      </c>
      <c r="AD327" s="636">
        <f>'Adubos e corretivos'!E67</f>
        <v>0</v>
      </c>
      <c r="AE327" s="636">
        <f>'Adubos e corretivos'!F67</f>
        <v>4.4999999999999998E-2</v>
      </c>
      <c r="AF327" s="636">
        <f>'Adubos e corretivos'!G67</f>
        <v>0.1</v>
      </c>
      <c r="AG327" s="636">
        <f>'Adubos e corretivos'!H67</f>
        <v>2.1949999999999998</v>
      </c>
      <c r="AH327" s="636">
        <f>'Adubos e corretivos'!I67</f>
        <v>2.6</v>
      </c>
      <c r="AI327" s="636">
        <f>'Adubos e corretivos'!J67</f>
        <v>18.741258741258743</v>
      </c>
      <c r="AJ327" s="636">
        <f>'Adubos e corretivos'!K67</f>
        <v>12.44186046511628</v>
      </c>
      <c r="AK327" s="636">
        <f>'Adubos e corretivos'!L67</f>
        <v>0</v>
      </c>
      <c r="AL327" s="636">
        <f>'Adubos e corretivos'!M67</f>
        <v>0</v>
      </c>
      <c r="AM327" s="636">
        <f>'Adubos e corretivos'!N67</f>
        <v>0</v>
      </c>
      <c r="AN327" s="636">
        <f>'Adubos e corretivos'!O67</f>
        <v>0</v>
      </c>
      <c r="AO327" s="636">
        <f>'Adubos e corretivos'!P67</f>
        <v>0</v>
      </c>
      <c r="AP327" s="636">
        <f>'Adubos e corretivos'!Q67</f>
        <v>0</v>
      </c>
      <c r="AQ327" s="636">
        <f>'Adubos e corretivos'!R67</f>
        <v>0</v>
      </c>
      <c r="AR327" s="636">
        <f>'Adubos e corretivos'!S67</f>
        <v>43.8</v>
      </c>
      <c r="AS327" s="636">
        <f>'Adubos e corretivos'!T67</f>
        <v>0</v>
      </c>
      <c r="AT327" s="636">
        <f>'Adubos e corretivos'!U67</f>
        <v>0</v>
      </c>
      <c r="AU327" s="636">
        <f>'Adubos e corretivos'!V67</f>
        <v>0</v>
      </c>
      <c r="AV327" s="613"/>
    </row>
    <row r="328" spans="26:48" ht="20.25" customHeight="1" x14ac:dyDescent="0.25">
      <c r="Z328" s="610"/>
      <c r="AA328" s="634"/>
      <c r="AB328" s="636">
        <f>'Adubos e corretivos'!C68</f>
        <v>0</v>
      </c>
      <c r="AC328" s="636">
        <f>'Adubos e corretivos'!D68</f>
        <v>0</v>
      </c>
      <c r="AD328" s="636">
        <f>'Adubos e corretivos'!E68</f>
        <v>0</v>
      </c>
      <c r="AE328" s="636">
        <f>'Adubos e corretivos'!F68</f>
        <v>0</v>
      </c>
      <c r="AF328" s="636">
        <f>'Adubos e corretivos'!G68</f>
        <v>0</v>
      </c>
      <c r="AG328" s="636">
        <f>'Adubos e corretivos'!H68</f>
        <v>0</v>
      </c>
      <c r="AH328" s="636">
        <f>'Adubos e corretivos'!I68</f>
        <v>0</v>
      </c>
      <c r="AI328" s="636">
        <f>'Adubos e corretivos'!J68</f>
        <v>0</v>
      </c>
      <c r="AJ328" s="636">
        <f>'Adubos e corretivos'!K68</f>
        <v>0</v>
      </c>
      <c r="AK328" s="636">
        <f>'Adubos e corretivos'!L68</f>
        <v>0</v>
      </c>
      <c r="AL328" s="636">
        <f>'Adubos e corretivos'!M68</f>
        <v>0</v>
      </c>
      <c r="AM328" s="636">
        <f>'Adubos e corretivos'!N68</f>
        <v>0</v>
      </c>
      <c r="AN328" s="636">
        <f>'Adubos e corretivos'!O68</f>
        <v>0</v>
      </c>
      <c r="AO328" s="636">
        <f>'Adubos e corretivos'!P68</f>
        <v>0</v>
      </c>
      <c r="AP328" s="636">
        <f>'Adubos e corretivos'!Q68</f>
        <v>0</v>
      </c>
      <c r="AQ328" s="636">
        <f>'Adubos e corretivos'!R68</f>
        <v>0</v>
      </c>
      <c r="AR328" s="636">
        <f>'Adubos e corretivos'!S68</f>
        <v>0</v>
      </c>
      <c r="AS328" s="636">
        <f>'Adubos e corretivos'!T68</f>
        <v>0</v>
      </c>
      <c r="AT328" s="636">
        <f>'Adubos e corretivos'!U68</f>
        <v>0</v>
      </c>
      <c r="AU328" s="636">
        <f>'Adubos e corretivos'!V68</f>
        <v>0</v>
      </c>
      <c r="AV328" s="613"/>
    </row>
    <row r="329" spans="26:48" ht="20.25" customHeight="1" x14ac:dyDescent="0.25">
      <c r="Z329" s="610"/>
      <c r="AA329" s="634"/>
      <c r="AB329" s="636">
        <f>'Adubos e corretivos'!C69</f>
        <v>0</v>
      </c>
      <c r="AC329" s="636">
        <f>'Adubos e corretivos'!D69</f>
        <v>0</v>
      </c>
      <c r="AD329" s="636">
        <f>'Adubos e corretivos'!E69</f>
        <v>0</v>
      </c>
      <c r="AE329" s="636">
        <f>'Adubos e corretivos'!F69</f>
        <v>0</v>
      </c>
      <c r="AF329" s="636">
        <f>'Adubos e corretivos'!G69</f>
        <v>0</v>
      </c>
      <c r="AG329" s="636">
        <f>'Adubos e corretivos'!H69</f>
        <v>0</v>
      </c>
      <c r="AH329" s="636">
        <f>'Adubos e corretivos'!I69</f>
        <v>0</v>
      </c>
      <c r="AI329" s="636">
        <f>'Adubos e corretivos'!J69</f>
        <v>0</v>
      </c>
      <c r="AJ329" s="636">
        <f>'Adubos e corretivos'!K69</f>
        <v>0</v>
      </c>
      <c r="AK329" s="636">
        <f>'Adubos e corretivos'!L69</f>
        <v>0</v>
      </c>
      <c r="AL329" s="636">
        <f>'Adubos e corretivos'!M69</f>
        <v>0</v>
      </c>
      <c r="AM329" s="636">
        <f>'Adubos e corretivos'!N69</f>
        <v>0</v>
      </c>
      <c r="AN329" s="636">
        <f>'Adubos e corretivos'!O69</f>
        <v>0</v>
      </c>
      <c r="AO329" s="636">
        <f>'Adubos e corretivos'!P69</f>
        <v>0</v>
      </c>
      <c r="AP329" s="636">
        <f>'Adubos e corretivos'!Q69</f>
        <v>0</v>
      </c>
      <c r="AQ329" s="636">
        <f>'Adubos e corretivos'!R69</f>
        <v>0</v>
      </c>
      <c r="AR329" s="636">
        <f>'Adubos e corretivos'!S69</f>
        <v>0</v>
      </c>
      <c r="AS329" s="636">
        <f>'Adubos e corretivos'!T69</f>
        <v>0</v>
      </c>
      <c r="AT329" s="636">
        <f>'Adubos e corretivos'!U69</f>
        <v>0</v>
      </c>
      <c r="AU329" s="636">
        <f>'Adubos e corretivos'!V69</f>
        <v>0</v>
      </c>
      <c r="AV329" s="613"/>
    </row>
    <row r="330" spans="26:48" ht="20.25" customHeight="1" x14ac:dyDescent="0.25">
      <c r="Z330" s="610"/>
      <c r="AA330" s="634"/>
      <c r="AB330" s="636">
        <f>'Adubos e corretivos'!C70</f>
        <v>0</v>
      </c>
      <c r="AC330" s="636">
        <f>'Adubos e corretivos'!D70</f>
        <v>0</v>
      </c>
      <c r="AD330" s="636">
        <f>'Adubos e corretivos'!E70</f>
        <v>0</v>
      </c>
      <c r="AE330" s="636">
        <f>'Adubos e corretivos'!F70</f>
        <v>0</v>
      </c>
      <c r="AF330" s="636">
        <f>'Adubos e corretivos'!G70</f>
        <v>0</v>
      </c>
      <c r="AG330" s="636">
        <f>'Adubos e corretivos'!H70</f>
        <v>0</v>
      </c>
      <c r="AH330" s="636">
        <f>'Adubos e corretivos'!I70</f>
        <v>0</v>
      </c>
      <c r="AI330" s="636">
        <f>'Adubos e corretivos'!J70</f>
        <v>0</v>
      </c>
      <c r="AJ330" s="636">
        <f>'Adubos e corretivos'!K70</f>
        <v>0</v>
      </c>
      <c r="AK330" s="636">
        <f>'Adubos e corretivos'!L70</f>
        <v>0</v>
      </c>
      <c r="AL330" s="636">
        <f>'Adubos e corretivos'!M70</f>
        <v>0</v>
      </c>
      <c r="AM330" s="636">
        <f>'Adubos e corretivos'!N70</f>
        <v>0</v>
      </c>
      <c r="AN330" s="636">
        <f>'Adubos e corretivos'!O70</f>
        <v>0</v>
      </c>
      <c r="AO330" s="636">
        <f>'Adubos e corretivos'!P70</f>
        <v>0</v>
      </c>
      <c r="AP330" s="636">
        <f>'Adubos e corretivos'!Q70</f>
        <v>0</v>
      </c>
      <c r="AQ330" s="636">
        <f>'Adubos e corretivos'!R70</f>
        <v>0</v>
      </c>
      <c r="AR330" s="636">
        <f>'Adubos e corretivos'!S70</f>
        <v>0</v>
      </c>
      <c r="AS330" s="636">
        <f>'Adubos e corretivos'!T70</f>
        <v>0</v>
      </c>
      <c r="AT330" s="636">
        <f>'Adubos e corretivos'!U70</f>
        <v>0</v>
      </c>
      <c r="AU330" s="636">
        <f>'Adubos e corretivos'!V70</f>
        <v>0</v>
      </c>
      <c r="AV330" s="613"/>
    </row>
    <row r="331" spans="26:48" ht="20.25" customHeight="1" x14ac:dyDescent="0.25">
      <c r="Z331" s="610"/>
      <c r="AA331" s="634"/>
      <c r="AB331" s="636">
        <f>'Adubos e corretivos'!C71</f>
        <v>0</v>
      </c>
      <c r="AC331" s="636">
        <f>'Adubos e corretivos'!D71</f>
        <v>0</v>
      </c>
      <c r="AD331" s="636">
        <f>'Adubos e corretivos'!E71</f>
        <v>0</v>
      </c>
      <c r="AE331" s="636">
        <f>'Adubos e corretivos'!F71</f>
        <v>0</v>
      </c>
      <c r="AF331" s="636">
        <f>'Adubos e corretivos'!G71</f>
        <v>0</v>
      </c>
      <c r="AG331" s="636">
        <f>'Adubos e corretivos'!H71</f>
        <v>0</v>
      </c>
      <c r="AH331" s="636">
        <f>'Adubos e corretivos'!I71</f>
        <v>0</v>
      </c>
      <c r="AI331" s="636">
        <f>'Adubos e corretivos'!J71</f>
        <v>0</v>
      </c>
      <c r="AJ331" s="636">
        <f>'Adubos e corretivos'!K71</f>
        <v>0</v>
      </c>
      <c r="AK331" s="636">
        <f>'Adubos e corretivos'!L71</f>
        <v>0</v>
      </c>
      <c r="AL331" s="636">
        <f>'Adubos e corretivos'!M71</f>
        <v>0</v>
      </c>
      <c r="AM331" s="636">
        <f>'Adubos e corretivos'!N71</f>
        <v>0</v>
      </c>
      <c r="AN331" s="636">
        <f>'Adubos e corretivos'!O71</f>
        <v>0</v>
      </c>
      <c r="AO331" s="636">
        <f>'Adubos e corretivos'!P71</f>
        <v>0</v>
      </c>
      <c r="AP331" s="636">
        <f>'Adubos e corretivos'!Q71</f>
        <v>0</v>
      </c>
      <c r="AQ331" s="636">
        <f>'Adubos e corretivos'!R71</f>
        <v>0</v>
      </c>
      <c r="AR331" s="636">
        <f>'Adubos e corretivos'!S71</f>
        <v>0</v>
      </c>
      <c r="AS331" s="636">
        <f>'Adubos e corretivos'!T71</f>
        <v>0</v>
      </c>
      <c r="AT331" s="636">
        <f>'Adubos e corretivos'!U71</f>
        <v>0</v>
      </c>
      <c r="AU331" s="636">
        <f>'Adubos e corretivos'!V71</f>
        <v>0</v>
      </c>
      <c r="AV331" s="613"/>
    </row>
    <row r="332" spans="26:48" ht="20.25" customHeight="1" x14ac:dyDescent="0.25">
      <c r="Z332" s="610"/>
      <c r="AA332" s="634"/>
      <c r="AB332" s="636">
        <f>'Adubos e corretivos'!C72</f>
        <v>0</v>
      </c>
      <c r="AC332" s="636">
        <f>'Adubos e corretivos'!D72</f>
        <v>0</v>
      </c>
      <c r="AD332" s="636">
        <f>'Adubos e corretivos'!E72</f>
        <v>0</v>
      </c>
      <c r="AE332" s="636">
        <f>'Adubos e corretivos'!F72</f>
        <v>0</v>
      </c>
      <c r="AF332" s="636">
        <f>'Adubos e corretivos'!G72</f>
        <v>0</v>
      </c>
      <c r="AG332" s="636">
        <f>'Adubos e corretivos'!H72</f>
        <v>0</v>
      </c>
      <c r="AH332" s="636">
        <f>'Adubos e corretivos'!I72</f>
        <v>0</v>
      </c>
      <c r="AI332" s="636">
        <f>'Adubos e corretivos'!J72</f>
        <v>0</v>
      </c>
      <c r="AJ332" s="636">
        <f>'Adubos e corretivos'!K72</f>
        <v>0</v>
      </c>
      <c r="AK332" s="636">
        <f>'Adubos e corretivos'!L72</f>
        <v>0</v>
      </c>
      <c r="AL332" s="636">
        <f>'Adubos e corretivos'!M72</f>
        <v>0</v>
      </c>
      <c r="AM332" s="636">
        <f>'Adubos e corretivos'!N72</f>
        <v>0</v>
      </c>
      <c r="AN332" s="636">
        <f>'Adubos e corretivos'!O72</f>
        <v>0</v>
      </c>
      <c r="AO332" s="636">
        <f>'Adubos e corretivos'!P72</f>
        <v>0</v>
      </c>
      <c r="AP332" s="636">
        <f>'Adubos e corretivos'!Q72</f>
        <v>0</v>
      </c>
      <c r="AQ332" s="636">
        <f>'Adubos e corretivos'!R72</f>
        <v>0</v>
      </c>
      <c r="AR332" s="636">
        <f>'Adubos e corretivos'!S72</f>
        <v>0</v>
      </c>
      <c r="AS332" s="636">
        <f>'Adubos e corretivos'!T72</f>
        <v>0</v>
      </c>
      <c r="AT332" s="636">
        <f>'Adubos e corretivos'!U72</f>
        <v>0</v>
      </c>
      <c r="AU332" s="636">
        <f>'Adubos e corretivos'!V72</f>
        <v>0</v>
      </c>
      <c r="AV332" s="613"/>
    </row>
    <row r="333" spans="26:48" ht="20.25" customHeight="1" x14ac:dyDescent="0.25">
      <c r="Z333" s="610"/>
      <c r="AA333" s="634" t="s">
        <v>135</v>
      </c>
      <c r="AB333" s="636" t="str">
        <f>'Adubos e corretivos'!C73</f>
        <v>Ácido Bórico</v>
      </c>
      <c r="AC333" s="636">
        <f>'Adubos e corretivos'!D73</f>
        <v>0</v>
      </c>
      <c r="AD333" s="636">
        <f>'Adubos e corretivos'!E73</f>
        <v>0</v>
      </c>
      <c r="AE333" s="636">
        <f>'Adubos e corretivos'!F73</f>
        <v>0</v>
      </c>
      <c r="AF333" s="636">
        <f>'Adubos e corretivos'!G73</f>
        <v>0</v>
      </c>
      <c r="AG333" s="636">
        <f>'Adubos e corretivos'!H73</f>
        <v>0</v>
      </c>
      <c r="AH333" s="636">
        <f>'Adubos e corretivos'!I73</f>
        <v>0</v>
      </c>
      <c r="AI333" s="636">
        <f>'Adubos e corretivos'!J73</f>
        <v>0</v>
      </c>
      <c r="AJ333" s="636">
        <f>'Adubos e corretivos'!K73</f>
        <v>0</v>
      </c>
      <c r="AK333" s="636">
        <f>'Adubos e corretivos'!L73</f>
        <v>0</v>
      </c>
      <c r="AL333" s="636">
        <f>'Adubos e corretivos'!M73</f>
        <v>17.5</v>
      </c>
      <c r="AM333" s="636">
        <f>'Adubos e corretivos'!N73</f>
        <v>0</v>
      </c>
      <c r="AN333" s="636">
        <f>'Adubos e corretivos'!O73</f>
        <v>0</v>
      </c>
      <c r="AO333" s="636">
        <f>'Adubos e corretivos'!P73</f>
        <v>0</v>
      </c>
      <c r="AP333" s="636">
        <f>'Adubos e corretivos'!Q73</f>
        <v>0</v>
      </c>
      <c r="AQ333" s="636">
        <f>'Adubos e corretivos'!R73</f>
        <v>0</v>
      </c>
      <c r="AR333" s="636">
        <f>'Adubos e corretivos'!S73</f>
        <v>0</v>
      </c>
      <c r="AS333" s="636">
        <f>'Adubos e corretivos'!T73</f>
        <v>0</v>
      </c>
      <c r="AT333" s="636">
        <f>'Adubos e corretivos'!U73</f>
        <v>0</v>
      </c>
      <c r="AU333" s="636">
        <f>'Adubos e corretivos'!V73</f>
        <v>0</v>
      </c>
      <c r="AV333" s="613"/>
    </row>
    <row r="334" spans="26:48" ht="20.25" customHeight="1" x14ac:dyDescent="0.25">
      <c r="Z334" s="610"/>
      <c r="AA334" s="634"/>
      <c r="AB334" s="636" t="str">
        <f>'Adubos e corretivos'!C74</f>
        <v>Boráx</v>
      </c>
      <c r="AC334" s="636">
        <f>'Adubos e corretivos'!D74</f>
        <v>0</v>
      </c>
      <c r="AD334" s="636">
        <f>'Adubos e corretivos'!E74</f>
        <v>0</v>
      </c>
      <c r="AE334" s="636">
        <f>'Adubos e corretivos'!F74</f>
        <v>0</v>
      </c>
      <c r="AF334" s="636">
        <f>'Adubos e corretivos'!G74</f>
        <v>0</v>
      </c>
      <c r="AG334" s="636">
        <f>'Adubos e corretivos'!H74</f>
        <v>0</v>
      </c>
      <c r="AH334" s="636">
        <f>'Adubos e corretivos'!I74</f>
        <v>0</v>
      </c>
      <c r="AI334" s="636">
        <f>'Adubos e corretivos'!J74</f>
        <v>0</v>
      </c>
      <c r="AJ334" s="636">
        <f>'Adubos e corretivos'!K74</f>
        <v>0</v>
      </c>
      <c r="AK334" s="636">
        <f>'Adubos e corretivos'!L74</f>
        <v>0</v>
      </c>
      <c r="AL334" s="636">
        <f>'Adubos e corretivos'!M74</f>
        <v>10.5</v>
      </c>
      <c r="AM334" s="636">
        <f>'Adubos e corretivos'!N74</f>
        <v>0</v>
      </c>
      <c r="AN334" s="636">
        <f>'Adubos e corretivos'!O74</f>
        <v>0</v>
      </c>
      <c r="AO334" s="636">
        <f>'Adubos e corretivos'!P74</f>
        <v>0</v>
      </c>
      <c r="AP334" s="636">
        <f>'Adubos e corretivos'!Q74</f>
        <v>0</v>
      </c>
      <c r="AQ334" s="636">
        <f>'Adubos e corretivos'!R74</f>
        <v>0</v>
      </c>
      <c r="AR334" s="636">
        <f>'Adubos e corretivos'!S74</f>
        <v>0</v>
      </c>
      <c r="AS334" s="636">
        <f>'Adubos e corretivos'!T74</f>
        <v>0</v>
      </c>
      <c r="AT334" s="636">
        <f>'Adubos e corretivos'!U74</f>
        <v>0</v>
      </c>
      <c r="AU334" s="636">
        <f>'Adubos e corretivos'!V74</f>
        <v>0</v>
      </c>
      <c r="AV334" s="613"/>
    </row>
    <row r="335" spans="26:48" ht="20.25" customHeight="1" x14ac:dyDescent="0.25">
      <c r="Z335" s="610"/>
      <c r="AA335" s="634"/>
      <c r="AB335" s="636" t="str">
        <f>'Adubos e corretivos'!C75</f>
        <v>Brexil Top</v>
      </c>
      <c r="AC335" s="636">
        <f>'Adubos e corretivos'!D75</f>
        <v>0</v>
      </c>
      <c r="AD335" s="636">
        <f>'Adubos e corretivos'!E75</f>
        <v>0</v>
      </c>
      <c r="AE335" s="636">
        <f>'Adubos e corretivos'!F75</f>
        <v>0</v>
      </c>
      <c r="AF335" s="636">
        <f>'Adubos e corretivos'!G75</f>
        <v>0</v>
      </c>
      <c r="AG335" s="636">
        <f>'Adubos e corretivos'!H75</f>
        <v>0</v>
      </c>
      <c r="AH335" s="636">
        <f>'Adubos e corretivos'!I75</f>
        <v>0</v>
      </c>
      <c r="AI335" s="636">
        <f>'Adubos e corretivos'!J75</f>
        <v>0</v>
      </c>
      <c r="AJ335" s="636">
        <f>'Adubos e corretivos'!K75</f>
        <v>1.5</v>
      </c>
      <c r="AK335" s="636">
        <f>'Adubos e corretivos'!L75</f>
        <v>10</v>
      </c>
      <c r="AL335" s="636">
        <f>'Adubos e corretivos'!M75</f>
        <v>2</v>
      </c>
      <c r="AM335" s="636">
        <f>'Adubos e corretivos'!N75</f>
        <v>5</v>
      </c>
      <c r="AN335" s="636">
        <f>'Adubos e corretivos'!O75</f>
        <v>6</v>
      </c>
      <c r="AO335" s="636">
        <f>'Adubos e corretivos'!P75</f>
        <v>0</v>
      </c>
      <c r="AP335" s="636">
        <f>'Adubos e corretivos'!Q75</f>
        <v>0.5</v>
      </c>
      <c r="AQ335" s="636">
        <f>'Adubos e corretivos'!R75</f>
        <v>0</v>
      </c>
      <c r="AR335" s="636">
        <f>'Adubos e corretivos'!S75</f>
        <v>0</v>
      </c>
      <c r="AS335" s="636">
        <f>'Adubos e corretivos'!T75</f>
        <v>0</v>
      </c>
      <c r="AT335" s="636">
        <f>'Adubos e corretivos'!U75</f>
        <v>0</v>
      </c>
      <c r="AU335" s="636">
        <f>'Adubos e corretivos'!V75</f>
        <v>0</v>
      </c>
      <c r="AV335" s="613"/>
    </row>
    <row r="336" spans="26:48" ht="20.25" customHeight="1" x14ac:dyDescent="0.25">
      <c r="Z336" s="610"/>
      <c r="AA336" s="634"/>
      <c r="AB336" s="636" t="str">
        <f>'Adubos e corretivos'!C76</f>
        <v>Ferro YaraVita™ Rexolin® M48</v>
      </c>
      <c r="AC336" s="636">
        <f>'Adubos e corretivos'!D76</f>
        <v>0</v>
      </c>
      <c r="AD336" s="636">
        <f>'Adubos e corretivos'!E76</f>
        <v>0</v>
      </c>
      <c r="AE336" s="636">
        <f>'Adubos e corretivos'!F76</f>
        <v>0</v>
      </c>
      <c r="AF336" s="636">
        <f>'Adubos e corretivos'!G76</f>
        <v>0</v>
      </c>
      <c r="AG336" s="636">
        <f>'Adubos e corretivos'!H76</f>
        <v>0</v>
      </c>
      <c r="AH336" s="636">
        <f>'Adubos e corretivos'!I76</f>
        <v>0</v>
      </c>
      <c r="AI336" s="636">
        <f>'Adubos e corretivos'!J76</f>
        <v>0</v>
      </c>
      <c r="AJ336" s="636">
        <f>'Adubos e corretivos'!K76</f>
        <v>0</v>
      </c>
      <c r="AK336" s="636">
        <f>'Adubos e corretivos'!L76</f>
        <v>0</v>
      </c>
      <c r="AL336" s="636">
        <f>'Adubos e corretivos'!M76</f>
        <v>0</v>
      </c>
      <c r="AM336" s="636">
        <f>'Adubos e corretivos'!N76</f>
        <v>0</v>
      </c>
      <c r="AN336" s="636">
        <f>'Adubos e corretivos'!O76</f>
        <v>0</v>
      </c>
      <c r="AO336" s="636">
        <f>'Adubos e corretivos'!P76</f>
        <v>0</v>
      </c>
      <c r="AP336" s="636">
        <f>'Adubos e corretivos'!Q76</f>
        <v>0</v>
      </c>
      <c r="AQ336" s="636">
        <f>'Adubos e corretivos'!R76</f>
        <v>11.3</v>
      </c>
      <c r="AR336" s="636">
        <f>'Adubos e corretivos'!S76</f>
        <v>0</v>
      </c>
      <c r="AS336" s="636">
        <f>'Adubos e corretivos'!T76</f>
        <v>0</v>
      </c>
      <c r="AT336" s="636">
        <f>'Adubos e corretivos'!U76</f>
        <v>0</v>
      </c>
      <c r="AU336" s="636">
        <f>'Adubos e corretivos'!V76</f>
        <v>0</v>
      </c>
      <c r="AV336" s="613"/>
    </row>
    <row r="337" spans="26:48" ht="20.25" customHeight="1" x14ac:dyDescent="0.25">
      <c r="Z337" s="610"/>
      <c r="AA337" s="634"/>
      <c r="AB337" s="636" t="str">
        <f>'Adubos e corretivos'!C77</f>
        <v>FTE BR 12</v>
      </c>
      <c r="AC337" s="636">
        <f>'Adubos e corretivos'!D77</f>
        <v>0</v>
      </c>
      <c r="AD337" s="636">
        <f>'Adubos e corretivos'!E77</f>
        <v>0</v>
      </c>
      <c r="AE337" s="636">
        <f>'Adubos e corretivos'!F77</f>
        <v>0</v>
      </c>
      <c r="AF337" s="636">
        <f>'Adubos e corretivos'!G77</f>
        <v>0</v>
      </c>
      <c r="AG337" s="636">
        <f>'Adubos e corretivos'!H77</f>
        <v>0</v>
      </c>
      <c r="AH337" s="636">
        <f>'Adubos e corretivos'!I77</f>
        <v>0</v>
      </c>
      <c r="AI337" s="636">
        <f>'Adubos e corretivos'!J77</f>
        <v>0</v>
      </c>
      <c r="AJ337" s="636">
        <f>'Adubos e corretivos'!K77</f>
        <v>0</v>
      </c>
      <c r="AK337" s="636">
        <f>'Adubos e corretivos'!L77</f>
        <v>3.9</v>
      </c>
      <c r="AL337" s="636">
        <f>'Adubos e corretivos'!M77</f>
        <v>1.8</v>
      </c>
      <c r="AM337" s="636">
        <f>'Adubos e corretivos'!N77</f>
        <v>2</v>
      </c>
      <c r="AN337" s="636">
        <f>'Adubos e corretivos'!O77</f>
        <v>9</v>
      </c>
      <c r="AO337" s="636">
        <f>'Adubos e corretivos'!P77</f>
        <v>0.85</v>
      </c>
      <c r="AP337" s="636">
        <f>'Adubos e corretivos'!Q77</f>
        <v>0</v>
      </c>
      <c r="AQ337" s="636">
        <f>'Adubos e corretivos'!R77</f>
        <v>0</v>
      </c>
      <c r="AR337" s="636">
        <f>'Adubos e corretivos'!S77</f>
        <v>0</v>
      </c>
      <c r="AS337" s="636">
        <f>'Adubos e corretivos'!T77</f>
        <v>0</v>
      </c>
      <c r="AT337" s="636">
        <f>'Adubos e corretivos'!U77</f>
        <v>0</v>
      </c>
      <c r="AU337" s="636">
        <f>'Adubos e corretivos'!V77</f>
        <v>0</v>
      </c>
      <c r="AV337" s="613"/>
    </row>
    <row r="338" spans="26:48" ht="20.25" customHeight="1" x14ac:dyDescent="0.25">
      <c r="Z338" s="610"/>
      <c r="AA338" s="634"/>
      <c r="AB338" s="636" t="str">
        <f>'Adubos e corretivos'!C78</f>
        <v>Molibdato de sódio</v>
      </c>
      <c r="AC338" s="636">
        <f>'Adubos e corretivos'!D78</f>
        <v>0</v>
      </c>
      <c r="AD338" s="636">
        <f>'Adubos e corretivos'!E78</f>
        <v>0</v>
      </c>
      <c r="AE338" s="636">
        <f>'Adubos e corretivos'!F78</f>
        <v>0</v>
      </c>
      <c r="AF338" s="636">
        <f>'Adubos e corretivos'!G78</f>
        <v>0</v>
      </c>
      <c r="AG338" s="636">
        <f>'Adubos e corretivos'!H78</f>
        <v>0</v>
      </c>
      <c r="AH338" s="636">
        <f>'Adubos e corretivos'!I78</f>
        <v>0</v>
      </c>
      <c r="AI338" s="636">
        <f>'Adubos e corretivos'!J78</f>
        <v>0</v>
      </c>
      <c r="AJ338" s="636">
        <f>'Adubos e corretivos'!K78</f>
        <v>0</v>
      </c>
      <c r="AK338" s="636">
        <f>'Adubos e corretivos'!L78</f>
        <v>0</v>
      </c>
      <c r="AL338" s="636">
        <f>'Adubos e corretivos'!M78</f>
        <v>0</v>
      </c>
      <c r="AM338" s="636">
        <f>'Adubos e corretivos'!N78</f>
        <v>0</v>
      </c>
      <c r="AN338" s="636">
        <f>'Adubos e corretivos'!O78</f>
        <v>0</v>
      </c>
      <c r="AO338" s="636">
        <f>'Adubos e corretivos'!P78</f>
        <v>0</v>
      </c>
      <c r="AP338" s="636">
        <f>'Adubos e corretivos'!Q78</f>
        <v>39</v>
      </c>
      <c r="AQ338" s="636">
        <f>'Adubos e corretivos'!R78</f>
        <v>0</v>
      </c>
      <c r="AR338" s="636">
        <f>'Adubos e corretivos'!S78</f>
        <v>0</v>
      </c>
      <c r="AS338" s="636">
        <f>'Adubos e corretivos'!T78</f>
        <v>0</v>
      </c>
      <c r="AT338" s="636">
        <f>'Adubos e corretivos'!U78</f>
        <v>0</v>
      </c>
      <c r="AU338" s="636">
        <f>'Adubos e corretivos'!V78</f>
        <v>0</v>
      </c>
      <c r="AV338" s="613"/>
    </row>
    <row r="339" spans="26:48" ht="20.25" customHeight="1" x14ac:dyDescent="0.25">
      <c r="Z339" s="610"/>
      <c r="AA339" s="634"/>
      <c r="AB339" s="636" t="str">
        <f>'Adubos e corretivos'!C79</f>
        <v>Sulfato de cobre</v>
      </c>
      <c r="AC339" s="636">
        <f>'Adubos e corretivos'!D79</f>
        <v>0</v>
      </c>
      <c r="AD339" s="636">
        <f>'Adubos e corretivos'!E79</f>
        <v>0</v>
      </c>
      <c r="AE339" s="636">
        <f>'Adubos e corretivos'!F79</f>
        <v>0</v>
      </c>
      <c r="AF339" s="636">
        <f>'Adubos e corretivos'!G79</f>
        <v>0</v>
      </c>
      <c r="AG339" s="636">
        <f>'Adubos e corretivos'!H79</f>
        <v>0</v>
      </c>
      <c r="AH339" s="636">
        <f>'Adubos e corretivos'!I79</f>
        <v>0</v>
      </c>
      <c r="AI339" s="636">
        <f>'Adubos e corretivos'!J79</f>
        <v>0</v>
      </c>
      <c r="AJ339" s="636">
        <f>'Adubos e corretivos'!K79</f>
        <v>0</v>
      </c>
      <c r="AK339" s="636">
        <f>'Adubos e corretivos'!L79</f>
        <v>12</v>
      </c>
      <c r="AL339" s="636">
        <f>'Adubos e corretivos'!M79</f>
        <v>0</v>
      </c>
      <c r="AM339" s="636">
        <f>'Adubos e corretivos'!N79</f>
        <v>0</v>
      </c>
      <c r="AN339" s="636">
        <f>'Adubos e corretivos'!O79</f>
        <v>0</v>
      </c>
      <c r="AO339" s="636">
        <f>'Adubos e corretivos'!P79</f>
        <v>25</v>
      </c>
      <c r="AP339" s="636">
        <f>'Adubos e corretivos'!Q79</f>
        <v>0</v>
      </c>
      <c r="AQ339" s="636">
        <f>'Adubos e corretivos'!R79</f>
        <v>0</v>
      </c>
      <c r="AR339" s="636">
        <f>'Adubos e corretivos'!S79</f>
        <v>0</v>
      </c>
      <c r="AS339" s="636">
        <f>'Adubos e corretivos'!T79</f>
        <v>0</v>
      </c>
      <c r="AT339" s="636">
        <f>'Adubos e corretivos'!U79</f>
        <v>0</v>
      </c>
      <c r="AU339" s="636">
        <f>'Adubos e corretivos'!V79</f>
        <v>0</v>
      </c>
      <c r="AV339" s="613"/>
    </row>
    <row r="340" spans="26:48" ht="20.25" customHeight="1" x14ac:dyDescent="0.25">
      <c r="Z340" s="610"/>
      <c r="AA340" s="634"/>
      <c r="AB340" s="636" t="str">
        <f>'Adubos e corretivos'!C80</f>
        <v>Sulfato de manganês</v>
      </c>
      <c r="AC340" s="636">
        <f>'Adubos e corretivos'!D80</f>
        <v>0</v>
      </c>
      <c r="AD340" s="636">
        <f>'Adubos e corretivos'!E80</f>
        <v>0</v>
      </c>
      <c r="AE340" s="636">
        <f>'Adubos e corretivos'!F80</f>
        <v>0</v>
      </c>
      <c r="AF340" s="636">
        <f>'Adubos e corretivos'!G80</f>
        <v>0</v>
      </c>
      <c r="AG340" s="636">
        <f>'Adubos e corretivos'!H80</f>
        <v>0</v>
      </c>
      <c r="AH340" s="636">
        <f>'Adubos e corretivos'!I80</f>
        <v>0</v>
      </c>
      <c r="AI340" s="636">
        <f>'Adubos e corretivos'!J80</f>
        <v>0</v>
      </c>
      <c r="AJ340" s="636">
        <f>'Adubos e corretivos'!K80</f>
        <v>0</v>
      </c>
      <c r="AK340" s="636">
        <f>'Adubos e corretivos'!L80</f>
        <v>21</v>
      </c>
      <c r="AL340" s="636">
        <f>'Adubos e corretivos'!M80</f>
        <v>0</v>
      </c>
      <c r="AM340" s="636">
        <f>'Adubos e corretivos'!N80</f>
        <v>26</v>
      </c>
      <c r="AN340" s="636">
        <f>'Adubos e corretivos'!O80</f>
        <v>0</v>
      </c>
      <c r="AO340" s="636">
        <f>'Adubos e corretivos'!P80</f>
        <v>0</v>
      </c>
      <c r="AP340" s="636">
        <f>'Adubos e corretivos'!Q80</f>
        <v>0</v>
      </c>
      <c r="AQ340" s="636">
        <f>'Adubos e corretivos'!R80</f>
        <v>0</v>
      </c>
      <c r="AR340" s="636">
        <f>'Adubos e corretivos'!S80</f>
        <v>0</v>
      </c>
      <c r="AS340" s="636">
        <f>'Adubos e corretivos'!T80</f>
        <v>0</v>
      </c>
      <c r="AT340" s="636">
        <f>'Adubos e corretivos'!U80</f>
        <v>0</v>
      </c>
      <c r="AU340" s="636">
        <f>'Adubos e corretivos'!V80</f>
        <v>0</v>
      </c>
      <c r="AV340" s="613"/>
    </row>
    <row r="341" spans="26:48" ht="20.25" customHeight="1" x14ac:dyDescent="0.25">
      <c r="Z341" s="610"/>
      <c r="AA341" s="634"/>
      <c r="AB341" s="636" t="str">
        <f>'Adubos e corretivos'!C81</f>
        <v>Sulfato de zinco</v>
      </c>
      <c r="AC341" s="636">
        <f>'Adubos e corretivos'!D81</f>
        <v>0</v>
      </c>
      <c r="AD341" s="636">
        <f>'Adubos e corretivos'!E81</f>
        <v>0</v>
      </c>
      <c r="AE341" s="636">
        <f>'Adubos e corretivos'!F81</f>
        <v>0</v>
      </c>
      <c r="AF341" s="636">
        <f>'Adubos e corretivos'!G81</f>
        <v>0</v>
      </c>
      <c r="AG341" s="636">
        <f>'Adubos e corretivos'!H81</f>
        <v>0</v>
      </c>
      <c r="AH341" s="636">
        <f>'Adubos e corretivos'!I81</f>
        <v>0</v>
      </c>
      <c r="AI341" s="636">
        <f>'Adubos e corretivos'!J81</f>
        <v>0</v>
      </c>
      <c r="AJ341" s="636">
        <f>'Adubos e corretivos'!K81</f>
        <v>0</v>
      </c>
      <c r="AK341" s="636">
        <f>'Adubos e corretivos'!L81</f>
        <v>17</v>
      </c>
      <c r="AL341" s="636">
        <f>'Adubos e corretivos'!M81</f>
        <v>0</v>
      </c>
      <c r="AM341" s="636">
        <f>'Adubos e corretivos'!N81</f>
        <v>0</v>
      </c>
      <c r="AN341" s="636">
        <f>'Adubos e corretivos'!O81</f>
        <v>35</v>
      </c>
      <c r="AO341" s="636">
        <f>'Adubos e corretivos'!P81</f>
        <v>0</v>
      </c>
      <c r="AP341" s="636">
        <f>'Adubos e corretivos'!Q81</f>
        <v>0</v>
      </c>
      <c r="AQ341" s="636">
        <f>'Adubos e corretivos'!R81</f>
        <v>0</v>
      </c>
      <c r="AR341" s="636">
        <f>'Adubos e corretivos'!S81</f>
        <v>0</v>
      </c>
      <c r="AS341" s="636">
        <f>'Adubos e corretivos'!T81</f>
        <v>0</v>
      </c>
      <c r="AT341" s="636">
        <f>'Adubos e corretivos'!U81</f>
        <v>0</v>
      </c>
      <c r="AU341" s="636">
        <f>'Adubos e corretivos'!V81</f>
        <v>0</v>
      </c>
      <c r="AV341" s="613"/>
    </row>
    <row r="342" spans="26:48" ht="20.25" customHeight="1" x14ac:dyDescent="0.25">
      <c r="Z342" s="610"/>
      <c r="AA342" s="634"/>
      <c r="AB342" s="636">
        <f>'Adubos e corretivos'!C82</f>
        <v>0</v>
      </c>
      <c r="AC342" s="636">
        <f>'Adubos e corretivos'!D82</f>
        <v>0</v>
      </c>
      <c r="AD342" s="636">
        <f>'Adubos e corretivos'!E82</f>
        <v>0</v>
      </c>
      <c r="AE342" s="636">
        <f>'Adubos e corretivos'!F82</f>
        <v>0</v>
      </c>
      <c r="AF342" s="636">
        <f>'Adubos e corretivos'!G82</f>
        <v>0</v>
      </c>
      <c r="AG342" s="636">
        <f>'Adubos e corretivos'!H82</f>
        <v>0</v>
      </c>
      <c r="AH342" s="636">
        <f>'Adubos e corretivos'!I82</f>
        <v>0</v>
      </c>
      <c r="AI342" s="636">
        <f>'Adubos e corretivos'!J82</f>
        <v>0</v>
      </c>
      <c r="AJ342" s="636">
        <f>'Adubos e corretivos'!K82</f>
        <v>0</v>
      </c>
      <c r="AK342" s="636">
        <f>'Adubos e corretivos'!L82</f>
        <v>0</v>
      </c>
      <c r="AL342" s="636">
        <f>'Adubos e corretivos'!M82</f>
        <v>0</v>
      </c>
      <c r="AM342" s="636">
        <f>'Adubos e corretivos'!N82</f>
        <v>0</v>
      </c>
      <c r="AN342" s="636">
        <f>'Adubos e corretivos'!O82</f>
        <v>0</v>
      </c>
      <c r="AO342" s="636">
        <f>'Adubos e corretivos'!P82</f>
        <v>0</v>
      </c>
      <c r="AP342" s="636">
        <f>'Adubos e corretivos'!Q82</f>
        <v>0</v>
      </c>
      <c r="AQ342" s="636">
        <f>'Adubos e corretivos'!R82</f>
        <v>0</v>
      </c>
      <c r="AR342" s="636">
        <f>'Adubos e corretivos'!S82</f>
        <v>0</v>
      </c>
      <c r="AS342" s="636">
        <f>'Adubos e corretivos'!T82</f>
        <v>0</v>
      </c>
      <c r="AT342" s="636">
        <f>'Adubos e corretivos'!U82</f>
        <v>0</v>
      </c>
      <c r="AU342" s="636">
        <f>'Adubos e corretivos'!V82</f>
        <v>0</v>
      </c>
      <c r="AV342" s="613"/>
    </row>
    <row r="343" spans="26:48" ht="20.25" customHeight="1" x14ac:dyDescent="0.25">
      <c r="Z343" s="610"/>
      <c r="AA343" s="615"/>
      <c r="AB343" s="615"/>
      <c r="AC343" s="615"/>
      <c r="AD343" s="615"/>
      <c r="AE343" s="615"/>
      <c r="AF343" s="615"/>
      <c r="AG343" s="615"/>
      <c r="AH343" s="615"/>
      <c r="AI343" s="615"/>
      <c r="AJ343" s="615"/>
      <c r="AK343" s="615"/>
      <c r="AL343" s="615"/>
      <c r="AM343" s="615"/>
      <c r="AN343" s="615"/>
      <c r="AO343" s="615"/>
      <c r="AP343" s="615"/>
      <c r="AQ343" s="615"/>
      <c r="AR343" s="615"/>
      <c r="AS343" s="615"/>
      <c r="AT343" s="615"/>
      <c r="AU343" s="615"/>
      <c r="AV343" s="613"/>
    </row>
    <row r="344" spans="26:48" ht="20.25" customHeight="1" thickBot="1" x14ac:dyDescent="0.3">
      <c r="Z344" s="618"/>
      <c r="AA344" s="619"/>
      <c r="AB344" s="619"/>
      <c r="AC344" s="619"/>
      <c r="AD344" s="619"/>
      <c r="AE344" s="619"/>
      <c r="AF344" s="619"/>
      <c r="AG344" s="619"/>
      <c r="AH344" s="619"/>
      <c r="AI344" s="619"/>
      <c r="AJ344" s="619"/>
      <c r="AK344" s="619"/>
      <c r="AL344" s="619"/>
      <c r="AM344" s="619"/>
      <c r="AN344" s="619"/>
      <c r="AO344" s="619"/>
      <c r="AP344" s="619"/>
      <c r="AQ344" s="619"/>
      <c r="AR344" s="619"/>
      <c r="AS344" s="619"/>
      <c r="AT344" s="619"/>
      <c r="AU344" s="619"/>
      <c r="AV344" s="620"/>
    </row>
  </sheetData>
  <sheetProtection selectLockedCells="1"/>
  <mergeCells count="271">
    <mergeCell ref="U289:V289"/>
    <mergeCell ref="U291:W291"/>
    <mergeCell ref="U293:W293"/>
    <mergeCell ref="U294:W294"/>
    <mergeCell ref="U295:W295"/>
    <mergeCell ref="U296:W296"/>
    <mergeCell ref="U297:W297"/>
    <mergeCell ref="U298:W298"/>
    <mergeCell ref="U262:W267"/>
    <mergeCell ref="U169:V169"/>
    <mergeCell ref="U170:W171"/>
    <mergeCell ref="U172:V172"/>
    <mergeCell ref="U175:W175"/>
    <mergeCell ref="U176:W176"/>
    <mergeCell ref="U159:W164"/>
    <mergeCell ref="U108:W110"/>
    <mergeCell ref="U269:W269"/>
    <mergeCell ref="U270:W270"/>
    <mergeCell ref="U271:V271"/>
    <mergeCell ref="U272:V272"/>
    <mergeCell ref="U273:V273"/>
    <mergeCell ref="U275:W275"/>
    <mergeCell ref="U277:W277"/>
    <mergeCell ref="U278:W278"/>
    <mergeCell ref="U279:V279"/>
    <mergeCell ref="U280:V280"/>
    <mergeCell ref="U281:V281"/>
    <mergeCell ref="U283:W283"/>
    <mergeCell ref="U285:W285"/>
    <mergeCell ref="U286:W286"/>
    <mergeCell ref="U287:V287"/>
    <mergeCell ref="U288:V288"/>
    <mergeCell ref="U5:W10"/>
    <mergeCell ref="U60:W65"/>
    <mergeCell ref="U68:W68"/>
    <mergeCell ref="V69:W69"/>
    <mergeCell ref="U71:W71"/>
    <mergeCell ref="V72:W72"/>
    <mergeCell ref="U114:W114"/>
    <mergeCell ref="U115:W115"/>
    <mergeCell ref="U167:W168"/>
    <mergeCell ref="AB213:AC214"/>
    <mergeCell ref="AB236:AC236"/>
    <mergeCell ref="AB237:AC237"/>
    <mergeCell ref="B9:I9"/>
    <mergeCell ref="C11:I11"/>
    <mergeCell ref="C12:I12"/>
    <mergeCell ref="AA213:AA214"/>
    <mergeCell ref="AE31:AE33"/>
    <mergeCell ref="AE34:AE36"/>
    <mergeCell ref="AE37:AE39"/>
    <mergeCell ref="AE40:AE42"/>
    <mergeCell ref="AB216:AC216"/>
    <mergeCell ref="AE29:AL29"/>
    <mergeCell ref="AL31:AL33"/>
    <mergeCell ref="AL34:AL36"/>
    <mergeCell ref="M4:N4"/>
    <mergeCell ref="B16:I16"/>
    <mergeCell ref="B18:D18"/>
    <mergeCell ref="F18:H18"/>
    <mergeCell ref="E27:I27"/>
    <mergeCell ref="AB221:AC221"/>
    <mergeCell ref="AB222:AC222"/>
    <mergeCell ref="AJ34:AJ36"/>
    <mergeCell ref="AA323:AA332"/>
    <mergeCell ref="AA333:AA342"/>
    <mergeCell ref="AB223:AC223"/>
    <mergeCell ref="AB215:AC215"/>
    <mergeCell ref="AA219:AA220"/>
    <mergeCell ref="AJ69:AK69"/>
    <mergeCell ref="AJ70:AK70"/>
    <mergeCell ref="AJ72:AK72"/>
    <mergeCell ref="P39:Q39"/>
    <mergeCell ref="AJ73:AK73"/>
    <mergeCell ref="AI37:AI39"/>
    <mergeCell ref="AI40:AI42"/>
    <mergeCell ref="AL10:AL13"/>
    <mergeCell ref="AH30:AI30"/>
    <mergeCell ref="AG5:AL8"/>
    <mergeCell ref="O4:P4"/>
    <mergeCell ref="AH9:AJ9"/>
    <mergeCell ref="AD8:AF8"/>
    <mergeCell ref="AC5:AF7"/>
    <mergeCell ref="AC60:AH60"/>
    <mergeCell ref="AC19:AF21"/>
    <mergeCell ref="AD22:AF22"/>
    <mergeCell ref="AB217:AC217"/>
    <mergeCell ref="O29:Q29"/>
    <mergeCell ref="E29:I29"/>
    <mergeCell ref="O31:Q31"/>
    <mergeCell ref="B27:C28"/>
    <mergeCell ref="M38:N42"/>
    <mergeCell ref="B20:E20"/>
    <mergeCell ref="E35:I35"/>
    <mergeCell ref="O41:Q41"/>
    <mergeCell ref="O42:Q42"/>
    <mergeCell ref="B31:I33"/>
    <mergeCell ref="B39:I39"/>
    <mergeCell ref="B34:I34"/>
    <mergeCell ref="B35:C36"/>
    <mergeCell ref="O33:Q33"/>
    <mergeCell ref="O34:Q34"/>
    <mergeCell ref="E36:I36"/>
    <mergeCell ref="M5:N25"/>
    <mergeCell ref="B37:I38"/>
    <mergeCell ref="E58:I58"/>
    <mergeCell ref="AG213:AG214"/>
    <mergeCell ref="AB219:AC220"/>
    <mergeCell ref="AG219:AG220"/>
    <mergeCell ref="AB227:AC227"/>
    <mergeCell ref="AB228:AC228"/>
    <mergeCell ref="AK40:AK42"/>
    <mergeCell ref="AG225:AG226"/>
    <mergeCell ref="AG93:AG94"/>
    <mergeCell ref="AL24:AL25"/>
    <mergeCell ref="AB239:AC239"/>
    <mergeCell ref="AB240:AC240"/>
    <mergeCell ref="AB241:AC241"/>
    <mergeCell ref="AB242:AC242"/>
    <mergeCell ref="AB238:AC238"/>
    <mergeCell ref="AB244:AC244"/>
    <mergeCell ref="AB245:AC245"/>
    <mergeCell ref="AK31:AK33"/>
    <mergeCell ref="AF30:AG30"/>
    <mergeCell ref="AJ31:AJ33"/>
    <mergeCell ref="AK34:AK36"/>
    <mergeCell ref="AI31:AI33"/>
    <mergeCell ref="AI34:AI36"/>
    <mergeCell ref="AB243:AC243"/>
    <mergeCell ref="AB155:AB156"/>
    <mergeCell ref="M98:N98"/>
    <mergeCell ref="AB157:AB169"/>
    <mergeCell ref="AB186:AB187"/>
    <mergeCell ref="AB172:AB173"/>
    <mergeCell ref="O94:Q94"/>
    <mergeCell ref="B54:I54"/>
    <mergeCell ref="O38:Q38"/>
    <mergeCell ref="B58:C58"/>
    <mergeCell ref="O56:Q64"/>
    <mergeCell ref="B42:C42"/>
    <mergeCell ref="B43:C43"/>
    <mergeCell ref="B44:C44"/>
    <mergeCell ref="B45:C45"/>
    <mergeCell ref="B59:C59"/>
    <mergeCell ref="B56:C56"/>
    <mergeCell ref="B55:C55"/>
    <mergeCell ref="B46:C46"/>
    <mergeCell ref="B41:C41"/>
    <mergeCell ref="O45:Q46"/>
    <mergeCell ref="O48:Q49"/>
    <mergeCell ref="B48:C48"/>
    <mergeCell ref="B40:C40"/>
    <mergeCell ref="B64:E66"/>
    <mergeCell ref="E46:I46"/>
    <mergeCell ref="E47:I47"/>
    <mergeCell ref="E48:I48"/>
    <mergeCell ref="E49:I49"/>
    <mergeCell ref="B50:I53"/>
    <mergeCell ref="M2:R2"/>
    <mergeCell ref="M36:R36"/>
    <mergeCell ref="M44:R44"/>
    <mergeCell ref="O47:P47"/>
    <mergeCell ref="O50:P50"/>
    <mergeCell ref="B47:C47"/>
    <mergeCell ref="E43:I43"/>
    <mergeCell ref="E44:I44"/>
    <mergeCell ref="E45:I45"/>
    <mergeCell ref="C13:I13"/>
    <mergeCell ref="C14:G14"/>
    <mergeCell ref="E28:I28"/>
    <mergeCell ref="B26:I26"/>
    <mergeCell ref="E41:I41"/>
    <mergeCell ref="E42:I42"/>
    <mergeCell ref="E30:I30"/>
    <mergeCell ref="M29:N34"/>
    <mergeCell ref="E40:I40"/>
    <mergeCell ref="B29:C30"/>
    <mergeCell ref="B67:E67"/>
    <mergeCell ref="F67:I67"/>
    <mergeCell ref="M72:N92"/>
    <mergeCell ref="O73:Q73"/>
    <mergeCell ref="O74:P74"/>
    <mergeCell ref="O80:Q80"/>
    <mergeCell ref="O76:P76"/>
    <mergeCell ref="O82:P82"/>
    <mergeCell ref="O83:P83"/>
    <mergeCell ref="O78:Q78"/>
    <mergeCell ref="M54:N68"/>
    <mergeCell ref="O66:Q67"/>
    <mergeCell ref="O54:Q54"/>
    <mergeCell ref="O55:Q55"/>
    <mergeCell ref="O68:Q68"/>
    <mergeCell ref="B60:I63"/>
    <mergeCell ref="O90:P90"/>
    <mergeCell ref="O92:P92"/>
    <mergeCell ref="E59:I59"/>
    <mergeCell ref="E55:I55"/>
    <mergeCell ref="E56:I56"/>
    <mergeCell ref="E57:I57"/>
    <mergeCell ref="O86:Q86"/>
    <mergeCell ref="F64:I66"/>
    <mergeCell ref="AA294:AA313"/>
    <mergeCell ref="AA314:AA322"/>
    <mergeCell ref="AH89:AK89"/>
    <mergeCell ref="AE97:AF97"/>
    <mergeCell ref="AE98:AF98"/>
    <mergeCell ref="AD186:AD187"/>
    <mergeCell ref="AE186:AL186"/>
    <mergeCell ref="AC155:AC156"/>
    <mergeCell ref="AD155:AD156"/>
    <mergeCell ref="AE155:AH155"/>
    <mergeCell ref="AC186:AC187"/>
    <mergeCell ref="AC172:AC173"/>
    <mergeCell ref="AB261:AB262"/>
    <mergeCell ref="AD172:AD173"/>
    <mergeCell ref="AE172:AG172"/>
    <mergeCell ref="AD261:AU261"/>
    <mergeCell ref="AC261:AC262"/>
    <mergeCell ref="BM152:BM153"/>
    <mergeCell ref="AE96:AF96"/>
    <mergeCell ref="AA261:AA262"/>
    <mergeCell ref="AA263:AA277"/>
    <mergeCell ref="AB188:AB196"/>
    <mergeCell ref="AB174:AB183"/>
    <mergeCell ref="AE93:AE94"/>
    <mergeCell ref="AE148:AF148"/>
    <mergeCell ref="AL37:AL39"/>
    <mergeCell ref="AL40:AL42"/>
    <mergeCell ref="AK37:AK39"/>
    <mergeCell ref="AJ63:AK63"/>
    <mergeCell ref="AA251:AB251"/>
    <mergeCell ref="AA252:AB252"/>
    <mergeCell ref="AA253:AB253"/>
    <mergeCell ref="AA278:AA293"/>
    <mergeCell ref="AB146:AC146"/>
    <mergeCell ref="AB234:AC235"/>
    <mergeCell ref="AA234:AA235"/>
    <mergeCell ref="AB225:AC226"/>
    <mergeCell ref="AA225:AA226"/>
    <mergeCell ref="AB229:AC229"/>
    <mergeCell ref="AH23:AJ23"/>
    <mergeCell ref="AG19:AL22"/>
    <mergeCell ref="AA236:AA245"/>
    <mergeCell ref="AE147:AF147"/>
    <mergeCell ref="AJ37:AJ39"/>
    <mergeCell ref="AJ40:AJ42"/>
    <mergeCell ref="AE149:AF149"/>
    <mergeCell ref="AE146:AG146"/>
    <mergeCell ref="AE150:AF150"/>
    <mergeCell ref="AA249:AB249"/>
    <mergeCell ref="AA250:AB250"/>
    <mergeCell ref="AA248:AB248"/>
    <mergeCell ref="O109:Q109"/>
    <mergeCell ref="B49:C49"/>
    <mergeCell ref="B57:C57"/>
    <mergeCell ref="O105:Q105"/>
    <mergeCell ref="O88:Q88"/>
    <mergeCell ref="M104:N109"/>
    <mergeCell ref="O106:Q106"/>
    <mergeCell ref="O107:Q107"/>
    <mergeCell ref="O108:Q108"/>
    <mergeCell ref="O104:Q104"/>
    <mergeCell ref="M46:N50"/>
    <mergeCell ref="M100:N100"/>
    <mergeCell ref="O89:Q89"/>
    <mergeCell ref="O81:Q81"/>
    <mergeCell ref="O84:P84"/>
    <mergeCell ref="O72:Q72"/>
    <mergeCell ref="O91:P91"/>
    <mergeCell ref="O75:P75"/>
    <mergeCell ref="M99:N99"/>
  </mergeCells>
  <dataValidations count="6">
    <dataValidation type="list" allowBlank="1" showInputMessage="1" showErrorMessage="1" sqref="V72:W72">
      <formula1>$AE$31:$AE$35</formula1>
    </dataValidation>
    <dataValidation type="list" allowBlank="1" showInputMessage="1" showErrorMessage="1" sqref="O68 O176 N159 O174">
      <formula1>$BE$158:$BE$159</formula1>
    </dataValidation>
    <dataValidation type="list" allowBlank="1" showInputMessage="1" showErrorMessage="1" sqref="P39:Q39 V69:W69">
      <formula1>$BC$160:$BC$164</formula1>
    </dataValidation>
    <dataValidation type="list" allowBlank="1" showInputMessage="1" showErrorMessage="1" sqref="Q82:Q84 W287:W289 W271:W273 W279:W281 W169 W172 Q90:Q92 Q74:Q76 Q47 Q50">
      <formula1>$BG$158:$BG$169</formula1>
    </dataValidation>
    <dataValidation type="list" allowBlank="1" showInputMessage="1" showErrorMessage="1" sqref="O42:Q42 U115:W115">
      <formula1>$BI$158:$BI$167</formula1>
    </dataValidation>
    <dataValidation type="list" allowBlank="1" showInputMessage="1" showErrorMessage="1" sqref="O105:Q109 U294:W298">
      <formula1>$AB$333:$AB$342</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corretivos'!$C$87:$C$99</xm:f>
          </x14:formula1>
          <xm:sqref>O47:P47 U169:V169</xm:sqref>
        </x14:dataValidation>
        <x14:dataValidation type="list" allowBlank="1" showInputMessage="1" showErrorMessage="1">
          <x14:formula1>
            <xm:f>'Adubos e corretivos'!$C$104:$C$113</xm:f>
          </x14:formula1>
          <xm:sqref>O55:Q55 U176:W176</xm:sqref>
        </x14:dataValidation>
        <x14:dataValidation type="list" allowBlank="1" showInputMessage="1" showErrorMessage="1">
          <x14:formula1>
            <xm:f>'Adubos e corretivos'!$C$63:$C$72</xm:f>
          </x14:formula1>
          <xm:sqref>O50:P50 U172:V172</xm:sqref>
        </x14:dataValidation>
        <x14:dataValidation type="list" allowBlank="1" showInputMessage="1" showErrorMessage="1">
          <x14:formula1>
            <xm:f>'Adubos e corretivos'!$C$3:$C$62</xm:f>
          </x14:formula1>
          <xm:sqref>O74:P76 O82:P84 O90:P92 U271:V273 U279:V281 U287:V289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D46" sqref="D46"/>
    </sheetView>
  </sheetViews>
  <sheetFormatPr defaultRowHeight="19.5" customHeight="1" outlineLevelCol="1" x14ac:dyDescent="0.25"/>
  <cols>
    <col min="1" max="1" width="5.7109375" style="11" customWidth="1"/>
    <col min="2" max="2" width="37.28515625" style="11" customWidth="1"/>
    <col min="3" max="3" width="29.5703125" style="11" customWidth="1"/>
    <col min="4" max="9" width="16.7109375" style="11" customWidth="1"/>
    <col min="10" max="10" width="5.85546875" style="66" customWidth="1"/>
    <col min="11" max="12" width="0" style="11" hidden="1" customWidth="1"/>
    <col min="13" max="13" width="36.5703125" style="11" customWidth="1"/>
    <col min="14" max="14" width="13.140625" style="11" bestFit="1" customWidth="1"/>
    <col min="15" max="15" width="29.7109375" style="11" customWidth="1"/>
    <col min="16" max="16" width="18.42578125" style="11" customWidth="1"/>
    <col min="17" max="17" width="49.140625" style="11" customWidth="1"/>
    <col min="18" max="18" width="8"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7.42578125" style="11" hidden="1" customWidth="1" outlineLevel="1"/>
    <col min="25" max="25" width="22.42578125" style="11" hidden="1" customWidth="1" outlineLevel="1"/>
    <col min="26" max="26" width="22"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36.140625" style="11" hidden="1" customWidth="1" outlineLevel="1"/>
    <col min="32" max="32" width="25.5703125" style="11" hidden="1" customWidth="1" outlineLevel="1"/>
    <col min="33" max="33" width="22" style="11" hidden="1" customWidth="1" outlineLevel="1"/>
    <col min="34" max="34" width="21.5703125" style="11" hidden="1" customWidth="1" outlineLevel="1"/>
    <col min="35" max="35" width="24.7109375" style="11" hidden="1" customWidth="1" outlineLevel="1"/>
    <col min="36" max="36" width="14.28515625" style="11" hidden="1" customWidth="1" outlineLevel="1"/>
    <col min="37" max="37" width="32.42578125" style="11" hidden="1" customWidth="1" outlineLevel="1"/>
    <col min="38" max="38" width="13.1406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13.7109375" style="11" hidden="1" customWidth="1" outlineLevel="1"/>
    <col min="47" max="47" width="31.42578125" style="11" hidden="1" customWidth="1" outlineLevel="1"/>
    <col min="48" max="48" width="9.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19.5" customHeight="1" thickBot="1" x14ac:dyDescent="0.3">
      <c r="A1" s="23"/>
    </row>
    <row r="2" spans="1:54" ht="19.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19.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19.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19.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960</v>
      </c>
      <c r="AT5" s="55">
        <f>$AC$31</f>
        <v>120</v>
      </c>
      <c r="AU5" s="55">
        <f>$AC$32</f>
        <v>864</v>
      </c>
      <c r="AV5" s="509"/>
      <c r="AW5" s="47"/>
      <c r="AX5" s="47"/>
      <c r="AY5" s="47"/>
      <c r="AZ5" s="47"/>
      <c r="BA5" s="47"/>
      <c r="BB5" s="47"/>
    </row>
    <row r="6" spans="1:54" ht="19.5" customHeight="1" x14ac:dyDescent="0.25">
      <c r="M6" s="364"/>
      <c r="N6" s="453"/>
      <c r="O6" s="51" t="s">
        <v>3</v>
      </c>
      <c r="P6" s="56">
        <v>2</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60.000000000000014</v>
      </c>
      <c r="AU6" s="55">
        <f>IFERROR((VLOOKUP(AQ6,$V$100:$AB$179,7,0)*0.01)*AV6,0)</f>
        <v>0</v>
      </c>
      <c r="AV6" s="55">
        <f>IFERROR($AT$5*Q74/(VLOOKUP(AQ6,$V$100:$AB$179,5,0)/100),0)</f>
        <v>342.85714285714289</v>
      </c>
      <c r="AW6" s="47"/>
      <c r="AX6" s="47"/>
      <c r="AY6" s="47"/>
      <c r="AZ6" s="47"/>
      <c r="BA6" s="47"/>
      <c r="BB6" s="47"/>
    </row>
    <row r="7" spans="1:54" ht="19.5" customHeight="1" x14ac:dyDescent="0.25">
      <c r="M7" s="364"/>
      <c r="N7" s="453"/>
      <c r="O7" s="51" t="s">
        <v>4</v>
      </c>
      <c r="P7" s="32">
        <v>1</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60.000000000000007</v>
      </c>
      <c r="AU7" s="55">
        <f>IFERROR((VLOOKUP(AQ7,$V$100:$AB$179,7,0)*0.01)*AV7,0)</f>
        <v>0</v>
      </c>
      <c r="AV7" s="55">
        <f>IFERROR($AT$5*Q75/(VLOOKUP(AQ7,$V$100:$AB$179,5,0)/100),0)</f>
        <v>333.33333333333337</v>
      </c>
      <c r="AW7" s="47"/>
      <c r="AX7" s="47"/>
      <c r="AY7" s="47"/>
      <c r="AZ7" s="47"/>
      <c r="BA7" s="47"/>
      <c r="BB7" s="47"/>
    </row>
    <row r="8" spans="1:54" ht="19.5" customHeight="1" thickBot="1" x14ac:dyDescent="0.3">
      <c r="M8" s="364"/>
      <c r="N8" s="453"/>
      <c r="O8" s="51" t="s">
        <v>5</v>
      </c>
      <c r="P8" s="56">
        <v>0.1</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19.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4.8</v>
      </c>
      <c r="AL9" s="457">
        <f>(AM9*1000)/$E$18</f>
        <v>4.8</v>
      </c>
      <c r="AM9" s="456">
        <v>1</v>
      </c>
      <c r="AO9" s="47"/>
      <c r="AP9" s="47"/>
      <c r="AQ9" s="47"/>
      <c r="AR9" s="47"/>
      <c r="AS9" s="59">
        <f>AS5-(SUM(AS6:AS8))</f>
        <v>960</v>
      </c>
      <c r="AT9" s="59">
        <f>AT5-(SUM(AT6:AT8))</f>
        <v>0</v>
      </c>
      <c r="AU9" s="59">
        <f>AU5-(SUM(AU6:AU8))</f>
        <v>864</v>
      </c>
      <c r="AV9" s="59"/>
      <c r="AW9" s="47"/>
      <c r="AX9" s="47"/>
      <c r="AY9" s="47"/>
      <c r="AZ9" s="47"/>
      <c r="BA9" s="47"/>
      <c r="BB9" s="47"/>
    </row>
    <row r="10" spans="1:54" ht="19.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c r="AX10" s="47"/>
      <c r="AY10" s="47"/>
      <c r="AZ10" s="47"/>
      <c r="BA10" s="47"/>
      <c r="BB10" s="47"/>
    </row>
    <row r="11" spans="1:54" ht="19.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960</v>
      </c>
      <c r="AT11" s="55">
        <f t="shared" ref="AT11:AU11" si="0">AT9</f>
        <v>0</v>
      </c>
      <c r="AU11" s="55">
        <f t="shared" si="0"/>
        <v>864</v>
      </c>
      <c r="AV11" s="509"/>
      <c r="AW11" s="47"/>
      <c r="AX11" s="47"/>
      <c r="AY11" s="47"/>
      <c r="AZ11" s="47"/>
      <c r="BA11" s="47"/>
      <c r="BB11" s="47"/>
    </row>
    <row r="12" spans="1:54" ht="19.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2.4</v>
      </c>
      <c r="AM12" s="456">
        <v>0.5</v>
      </c>
      <c r="AO12" s="47"/>
      <c r="AP12" s="54">
        <v>7</v>
      </c>
      <c r="AQ12" s="447" t="str">
        <f>O82</f>
        <v>Cloreto de potássio</v>
      </c>
      <c r="AR12" s="447"/>
      <c r="AS12" s="55">
        <f>IFERROR((VLOOKUP(AQ12,$V$100:$AB$179,3,0)*0.01)*AV12,0)</f>
        <v>0</v>
      </c>
      <c r="AT12" s="55">
        <f>IFERROR((VLOOKUP(AQ12,$V$100:$AB$179,5,0)*0.01)*AV12,0)</f>
        <v>0</v>
      </c>
      <c r="AU12" s="55">
        <f>IFERROR((VLOOKUP(AQ12,$V$100:$AB$179,7,0)*0.01)*AV12,0)</f>
        <v>432</v>
      </c>
      <c r="AV12" s="55">
        <f>IFERROR($AU$11*Q82/(VLOOKUP(AQ12,$V$100:$AB$179,7,0)/100),0)</f>
        <v>720</v>
      </c>
      <c r="AW12" s="47"/>
      <c r="AX12" s="47"/>
      <c r="AY12" s="47"/>
      <c r="AZ12" s="47"/>
      <c r="BA12" s="47"/>
      <c r="BB12" s="47"/>
    </row>
    <row r="13" spans="1:54" ht="19.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432</v>
      </c>
      <c r="AV13" s="55">
        <f>IFERROR($AU$11*Q83/(VLOOKUP(AQ13,$V$100:$AB$179,7,0)/100),0)</f>
        <v>5400</v>
      </c>
      <c r="AW13" s="47"/>
      <c r="AX13" s="47"/>
      <c r="AY13" s="47"/>
      <c r="AZ13" s="47"/>
      <c r="BA13" s="47"/>
      <c r="BB13" s="47"/>
    </row>
    <row r="14" spans="1:54" ht="19.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19.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4.8</v>
      </c>
      <c r="AM15" s="456">
        <v>1</v>
      </c>
      <c r="AO15" s="47"/>
      <c r="AP15" s="47"/>
      <c r="AQ15" s="47"/>
      <c r="AR15" s="47"/>
      <c r="AS15" s="59">
        <f>AS11-(SUM(AS12:AS14))</f>
        <v>960</v>
      </c>
      <c r="AT15" s="59">
        <f>AT11-(SUM(AT12:AT14))</f>
        <v>0</v>
      </c>
      <c r="AU15" s="59">
        <f>AU11-(SUM(AU12:AU14))</f>
        <v>0</v>
      </c>
      <c r="AV15" s="47"/>
      <c r="AW15" s="47"/>
      <c r="AX15" s="47"/>
      <c r="AY15" s="47"/>
      <c r="AZ15" s="47"/>
      <c r="BA15" s="47"/>
      <c r="BB15" s="47"/>
    </row>
    <row r="16" spans="1:54" ht="19.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19.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960</v>
      </c>
      <c r="AT17" s="55">
        <f t="shared" ref="AT17:AU17" si="1">AT15</f>
        <v>0</v>
      </c>
      <c r="AU17" s="55">
        <f t="shared" si="1"/>
        <v>0</v>
      </c>
      <c r="AV17" s="509"/>
      <c r="AW17" s="47"/>
      <c r="AX17" s="47"/>
      <c r="AY17" s="47"/>
      <c r="AZ17" s="47"/>
      <c r="BA17" s="47"/>
      <c r="BB17" s="47"/>
    </row>
    <row r="18" spans="2:54" ht="19.5" customHeight="1" x14ac:dyDescent="0.25">
      <c r="B18" s="457" t="s">
        <v>134</v>
      </c>
      <c r="C18" s="457"/>
      <c r="D18" s="457"/>
      <c r="E18" s="60">
        <f>IFERROR(IF(ISERR(P35),Q35,IF(ISERR(Q35),P35)),"-")</f>
        <v>208.33333333333334</v>
      </c>
      <c r="F18" s="457" t="s">
        <v>125</v>
      </c>
      <c r="G18" s="457"/>
      <c r="H18" s="457"/>
      <c r="I18" s="51">
        <f>O34</f>
        <v>1</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24</v>
      </c>
      <c r="AM18" s="456">
        <v>5</v>
      </c>
      <c r="AO18" s="47"/>
      <c r="AP18" s="54">
        <v>13</v>
      </c>
      <c r="AQ18" s="447">
        <f>O90</f>
        <v>0</v>
      </c>
      <c r="AR18" s="447"/>
      <c r="AS18" s="55">
        <f>IFERROR((VLOOKUP(AQ18,$V$100:$AB$179,3,0)*0.01)*AV18,0)</f>
        <v>0</v>
      </c>
      <c r="AT18" s="55">
        <f>IFERROR((VLOOKUP(AQ18,$V$100:$AB$179,5,0)*0.01)*AV18,0)</f>
        <v>0</v>
      </c>
      <c r="AU18" s="55">
        <f>IFERROR((VLOOKUP(AQ18,$V$100:$AB$179,7,0)*0.01)*AV18,0)</f>
        <v>0</v>
      </c>
      <c r="AV18" s="55">
        <f>IFERROR($AS$17*Q90/(VLOOKUP(AQ18,$V$100:$AB$179,3,0)/100),0)</f>
        <v>0</v>
      </c>
      <c r="AW18" s="47"/>
      <c r="AX18" s="47"/>
      <c r="AY18" s="47"/>
      <c r="AZ18" s="47"/>
      <c r="BA18" s="47"/>
      <c r="BB18" s="47"/>
    </row>
    <row r="19" spans="2:54" ht="19.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t="str">
        <f>O91</f>
        <v>Nitrato de Amônio</v>
      </c>
      <c r="AR19" s="447"/>
      <c r="AS19" s="55">
        <f>IFERROR((VLOOKUP(AQ19,$V$100:$AB$179,3,0)*0.01)*AV19,0)</f>
        <v>960</v>
      </c>
      <c r="AT19" s="55">
        <f>IFERROR((VLOOKUP(AQ19,$V$100:$AB$179,5,0)*0.01)*AV19,0)</f>
        <v>0</v>
      </c>
      <c r="AU19" s="55">
        <f>IFERROR((VLOOKUP(AQ19,$V$100:$AB$179,7,0)*0.01)*AV19,0)</f>
        <v>0</v>
      </c>
      <c r="AV19" s="55">
        <f>IFERROR($AS$17*Q91/(VLOOKUP(AQ19,$V$100:$AB$179,3,0)/100),0)</f>
        <v>3310.344827586207</v>
      </c>
      <c r="AW19" s="47"/>
      <c r="AX19" s="47"/>
      <c r="AY19" s="47"/>
      <c r="AZ19" s="47"/>
      <c r="BA19" s="47"/>
      <c r="BB19" s="47"/>
    </row>
    <row r="20" spans="2:54" ht="19.5" customHeight="1" x14ac:dyDescent="0.25">
      <c r="B20" s="459" t="s">
        <v>183</v>
      </c>
      <c r="C20" s="512"/>
      <c r="D20" s="512"/>
      <c r="E20" s="460"/>
      <c r="F20" s="63" t="s">
        <v>126</v>
      </c>
      <c r="G20" s="63">
        <f>P24</f>
        <v>56.730769230769226</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19.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19.5" customHeight="1" x14ac:dyDescent="0.25">
      <c r="B22" s="64" t="s">
        <v>81</v>
      </c>
      <c r="C22" s="65">
        <f>P6</f>
        <v>2</v>
      </c>
      <c r="D22" s="63" t="s">
        <v>79</v>
      </c>
      <c r="E22" s="63">
        <f>P13</f>
        <v>38.299999999999997</v>
      </c>
      <c r="F22" s="63" t="s">
        <v>84</v>
      </c>
      <c r="G22" s="63">
        <f>P14</f>
        <v>0.04</v>
      </c>
      <c r="H22" s="63" t="s">
        <v>86</v>
      </c>
      <c r="I22" s="63">
        <f>P19</f>
        <v>20.100000000000001</v>
      </c>
      <c r="M22" s="364"/>
      <c r="N22" s="453"/>
      <c r="O22" s="51" t="s">
        <v>20</v>
      </c>
      <c r="P22" s="56">
        <v>25</v>
      </c>
      <c r="Q22" s="57" t="s">
        <v>23</v>
      </c>
      <c r="R22" s="53"/>
      <c r="U22" s="51" t="s">
        <v>50</v>
      </c>
      <c r="V22" s="51" t="s">
        <v>274</v>
      </c>
      <c r="W22" s="51" t="s">
        <v>276</v>
      </c>
      <c r="X22" s="51" t="s">
        <v>277</v>
      </c>
      <c r="Y22" s="51" t="str">
        <f>IF($P$21&lt;=20,"correto","erro")</f>
        <v>erro</v>
      </c>
      <c r="Z22" s="51" t="str">
        <f>IF($P$8&lt;=0.04,"baixo","erro")</f>
        <v>erro</v>
      </c>
      <c r="AA22" s="51" t="str">
        <f>IF(AND($P$8&gt;=0.041,$P$8&lt;=0.1),"medio","erro")</f>
        <v>medio</v>
      </c>
      <c r="AB22" s="51" t="str">
        <f>IF($P$8&gt;0.101,"adequado","erro")</f>
        <v>erro</v>
      </c>
      <c r="AC22" s="51" t="str">
        <f>IF(Z22="baixo","baixo",IF(AA22="medio","medio",IF(AB22="adequado","adequado",0)))</f>
        <v>medio</v>
      </c>
      <c r="AD22" s="510" t="str">
        <f>VLOOKUP("correto",Y22:AC23,5,0)</f>
        <v>medio</v>
      </c>
      <c r="AO22" s="47"/>
      <c r="AP22" s="47"/>
      <c r="AQ22" s="47"/>
      <c r="AR22" s="47"/>
      <c r="AS22" s="47"/>
      <c r="AT22" s="47"/>
      <c r="AU22" s="47"/>
      <c r="AV22" s="47"/>
      <c r="AW22" s="47"/>
      <c r="AX22" s="47"/>
      <c r="AY22" s="47"/>
      <c r="AZ22" s="47"/>
      <c r="BA22" s="47"/>
      <c r="BB22" s="47"/>
    </row>
    <row r="23" spans="2:54" ht="19.5" customHeight="1" x14ac:dyDescent="0.25">
      <c r="B23" s="64" t="s">
        <v>82</v>
      </c>
      <c r="C23" s="65">
        <f>P7</f>
        <v>1</v>
      </c>
      <c r="D23" s="63" t="s">
        <v>129</v>
      </c>
      <c r="E23" s="63">
        <f>P11</f>
        <v>2.7</v>
      </c>
      <c r="F23" s="63" t="s">
        <v>87</v>
      </c>
      <c r="G23" s="63">
        <f>P16</f>
        <v>4</v>
      </c>
      <c r="H23" s="63" t="s">
        <v>83</v>
      </c>
      <c r="I23" s="63">
        <f>P15</f>
        <v>20</v>
      </c>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medio</v>
      </c>
      <c r="AB23" s="51" t="str">
        <f>IF($P$8&gt;0.201,"adequado","erro")</f>
        <v>erro</v>
      </c>
      <c r="AC23" s="51" t="str">
        <f>IF(Z23="baixo","baixo",IF(AA23="medio","medio",IF(AB23="adequado","adequado",0)))</f>
        <v>medio</v>
      </c>
      <c r="AD23" s="370"/>
      <c r="AO23" s="47"/>
      <c r="AP23" s="47"/>
      <c r="AQ23" s="47"/>
      <c r="AR23" s="47"/>
      <c r="AS23" s="47"/>
      <c r="AT23" s="47"/>
      <c r="AU23" s="47"/>
      <c r="AV23" s="47"/>
      <c r="AW23" s="47"/>
      <c r="AX23" s="47"/>
      <c r="AY23" s="47"/>
      <c r="AZ23" s="47"/>
      <c r="BA23" s="47"/>
      <c r="BB23" s="47"/>
    </row>
    <row r="24" spans="2:54" ht="19.5" customHeight="1" x14ac:dyDescent="0.25">
      <c r="B24" s="64" t="s">
        <v>80</v>
      </c>
      <c r="C24" s="65">
        <f>P8</f>
        <v>0.1</v>
      </c>
      <c r="D24" s="63" t="s">
        <v>130</v>
      </c>
      <c r="E24" s="63">
        <f>P10</f>
        <v>0.1</v>
      </c>
      <c r="F24" s="63" t="s">
        <v>89</v>
      </c>
      <c r="G24" s="63">
        <f>P17</f>
        <v>58.4</v>
      </c>
      <c r="H24" s="63" t="s">
        <v>131</v>
      </c>
      <c r="I24" s="63">
        <f>P25</f>
        <v>6.24</v>
      </c>
      <c r="M24" s="364"/>
      <c r="N24" s="453"/>
      <c r="O24" s="51" t="s">
        <v>22</v>
      </c>
      <c r="P24" s="63">
        <f>100*(P6+P7+P8+P9)/P25</f>
        <v>56.730769230769226</v>
      </c>
      <c r="Q24" s="51" t="s">
        <v>23</v>
      </c>
      <c r="R24" s="53"/>
      <c r="AO24" s="47"/>
      <c r="AP24" s="47"/>
      <c r="AQ24" s="47"/>
      <c r="AR24" s="47"/>
      <c r="AS24" s="59">
        <f>AS26-(SUM(AS27:AS36))</f>
        <v>4.8</v>
      </c>
      <c r="AT24" s="59">
        <f t="shared" ref="AT24:AV24" si="3">AT26-(SUM(AT27:AT36))</f>
        <v>0</v>
      </c>
      <c r="AU24" s="59">
        <f t="shared" si="3"/>
        <v>0</v>
      </c>
      <c r="AV24" s="59">
        <f t="shared" si="3"/>
        <v>0</v>
      </c>
      <c r="AW24" s="47"/>
      <c r="AX24" s="47"/>
      <c r="AY24" s="47"/>
      <c r="AZ24" s="47"/>
      <c r="BA24" s="47"/>
      <c r="BB24" s="47"/>
    </row>
    <row r="25" spans="2:54" ht="19.5" customHeight="1" thickBot="1" x14ac:dyDescent="0.3">
      <c r="M25" s="364"/>
      <c r="N25" s="453"/>
      <c r="O25" s="51" t="s">
        <v>24</v>
      </c>
      <c r="P25" s="67">
        <f>(P6+P7+P8+P9+P11)</f>
        <v>6.24</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19.5" customHeight="1" thickBot="1" x14ac:dyDescent="0.3">
      <c r="B26" s="485" t="s">
        <v>272</v>
      </c>
      <c r="C26" s="486"/>
      <c r="D26" s="486"/>
      <c r="E26" s="486"/>
      <c r="F26" s="486"/>
      <c r="G26" s="486"/>
      <c r="H26" s="486"/>
      <c r="I26" s="487"/>
      <c r="M26" s="69"/>
      <c r="N26" s="70"/>
      <c r="O26" s="70"/>
      <c r="P26" s="70"/>
      <c r="Q26" s="70"/>
      <c r="R26" s="71"/>
      <c r="U26" s="459" t="s">
        <v>312</v>
      </c>
      <c r="V26" s="512"/>
      <c r="W26" s="512"/>
      <c r="X26" s="512"/>
      <c r="Y26" s="512"/>
      <c r="Z26" s="460"/>
      <c r="AO26" s="47"/>
      <c r="AP26" s="461"/>
      <c r="AQ26" s="461"/>
      <c r="AR26" s="461"/>
      <c r="AS26" s="72">
        <f>AK9</f>
        <v>4.8</v>
      </c>
      <c r="AT26" s="72">
        <f>AK12</f>
        <v>0</v>
      </c>
      <c r="AU26" s="72">
        <f>AK15</f>
        <v>0</v>
      </c>
      <c r="AV26" s="72">
        <f>AK18</f>
        <v>0</v>
      </c>
      <c r="AW26" s="47"/>
      <c r="AX26" s="47"/>
      <c r="AY26" s="47"/>
      <c r="AZ26" s="47"/>
      <c r="BA26" s="47"/>
      <c r="BB26" s="47"/>
    </row>
    <row r="27" spans="2:54" ht="19.5" customHeight="1" thickBot="1" x14ac:dyDescent="0.3">
      <c r="B27" s="488" t="str">
        <f>IF($O$47&gt;0,$O$47,"-")</f>
        <v>BRITACAL Dolomítico</v>
      </c>
      <c r="C27" s="488"/>
      <c r="D27" s="73">
        <f>IF(J27&gt;0,J27,"-")</f>
        <v>0.12750000000000017</v>
      </c>
      <c r="E27" s="365" t="str">
        <f>IF(J27&gt;0,"toneladas por hectare ou,","-")</f>
        <v>toneladas por hectare ou,</v>
      </c>
      <c r="F27" s="365"/>
      <c r="G27" s="365"/>
      <c r="H27" s="365"/>
      <c r="I27" s="365"/>
      <c r="J27" s="74">
        <f>V51</f>
        <v>0.12750000000000017</v>
      </c>
      <c r="U27" s="51" t="s">
        <v>300</v>
      </c>
      <c r="V27" s="51" t="s">
        <v>313</v>
      </c>
      <c r="W27" s="51" t="s">
        <v>75</v>
      </c>
      <c r="X27" s="51" t="s">
        <v>71</v>
      </c>
      <c r="Y27" s="51" t="s">
        <v>314</v>
      </c>
      <c r="Z27" s="51" t="s">
        <v>315</v>
      </c>
      <c r="AO27" s="47"/>
      <c r="AP27" s="447" t="s">
        <v>261</v>
      </c>
      <c r="AQ27" s="447" t="str">
        <f>B29</f>
        <v>Micaxisto (61) 3233-9368</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19.5" customHeight="1" x14ac:dyDescent="0.25">
      <c r="B28" s="488"/>
      <c r="C28" s="488"/>
      <c r="D28" s="73">
        <f>IF(J28&gt;0,J28,"-")</f>
        <v>1.2750000000000017E-2</v>
      </c>
      <c r="E28" s="365" t="str">
        <f>IF(J28&gt;0,"quilos por metro quadrado","-")</f>
        <v>quilos por metro quadrado</v>
      </c>
      <c r="F28" s="365"/>
      <c r="G28" s="365"/>
      <c r="H28" s="365"/>
      <c r="I28" s="365"/>
      <c r="J28" s="74">
        <f>J27/10</f>
        <v>1.2750000000000017E-2</v>
      </c>
      <c r="M28" s="48"/>
      <c r="N28" s="49"/>
      <c r="O28" s="49"/>
      <c r="P28" s="49"/>
      <c r="Q28" s="49"/>
      <c r="R28" s="50"/>
      <c r="U28" s="75" t="s">
        <v>295</v>
      </c>
      <c r="V28" s="75">
        <v>35000</v>
      </c>
      <c r="W28" s="75" t="s">
        <v>68</v>
      </c>
      <c r="X28" s="75" t="str">
        <f>CONCATENATE(U28," - ",W28)</f>
        <v>&lt; 6 - baixo</v>
      </c>
      <c r="Y28" s="75">
        <v>30000</v>
      </c>
      <c r="Z28" s="75">
        <v>60000</v>
      </c>
      <c r="AE28" s="75"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19.5" customHeight="1" x14ac:dyDescent="0.25">
      <c r="B29" s="488" t="str">
        <f>IF($O$50&gt;0,$O$50,"-")</f>
        <v>Micaxisto (61) 3233-9368</v>
      </c>
      <c r="C29" s="488"/>
      <c r="D29" s="73">
        <f>IF(J29&gt;0,J29,"-")</f>
        <v>0.80753759653796486</v>
      </c>
      <c r="E29" s="365" t="str">
        <f>IF(J29&gt;0,"toneladas por hectare ou,","-")</f>
        <v>toneladas por hectare ou,</v>
      </c>
      <c r="F29" s="365"/>
      <c r="G29" s="365"/>
      <c r="H29" s="365"/>
      <c r="I29" s="365"/>
      <c r="J29" s="74">
        <f>Z49</f>
        <v>0.80753759653796486</v>
      </c>
      <c r="M29" s="364" t="s">
        <v>211</v>
      </c>
      <c r="N29" s="453"/>
      <c r="O29" s="489" t="s">
        <v>197</v>
      </c>
      <c r="P29" s="489"/>
      <c r="Q29" s="489"/>
      <c r="R29" s="53"/>
      <c r="U29" s="75" t="s">
        <v>295</v>
      </c>
      <c r="V29" s="75">
        <v>35000</v>
      </c>
      <c r="W29" s="75" t="s">
        <v>69</v>
      </c>
      <c r="X29" s="75" t="str">
        <f t="shared" ref="X29:X42" si="9">CONCATENATE(U29," - ",W29)</f>
        <v>&lt; 6 - medio</v>
      </c>
      <c r="Y29" s="75">
        <v>20000</v>
      </c>
      <c r="Z29" s="75">
        <v>40000</v>
      </c>
      <c r="AB29" s="458" t="s">
        <v>65</v>
      </c>
      <c r="AC29" s="458"/>
      <c r="AE29" s="75" t="s">
        <v>300</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19.5" customHeight="1" x14ac:dyDescent="0.25">
      <c r="B30" s="488"/>
      <c r="C30" s="488"/>
      <c r="D30" s="73">
        <f>IF(J30&gt;0,J30,"-")</f>
        <v>8.0753759653796484E-2</v>
      </c>
      <c r="E30" s="365" t="str">
        <f>IF(J30&gt;0,"quilos por metro quadrado","-")</f>
        <v>quilos por metro quadrado</v>
      </c>
      <c r="F30" s="365"/>
      <c r="G30" s="365"/>
      <c r="H30" s="365"/>
      <c r="I30" s="365"/>
      <c r="J30" s="74">
        <f>J29/10</f>
        <v>8.0753759653796484E-2</v>
      </c>
      <c r="M30" s="364"/>
      <c r="N30" s="453"/>
      <c r="O30" s="32">
        <v>8</v>
      </c>
      <c r="P30" s="77" t="s">
        <v>200</v>
      </c>
      <c r="Q30" s="32">
        <v>6</v>
      </c>
      <c r="R30" s="53"/>
      <c r="U30" s="75" t="s">
        <v>295</v>
      </c>
      <c r="V30" s="75">
        <v>35000</v>
      </c>
      <c r="W30" s="75" t="s">
        <v>70</v>
      </c>
      <c r="X30" s="75" t="str">
        <f t="shared" si="9"/>
        <v>&lt; 6 - adequado</v>
      </c>
      <c r="Y30" s="75">
        <v>0</v>
      </c>
      <c r="Z30" s="75">
        <v>30000</v>
      </c>
      <c r="AB30" s="78" t="s">
        <v>33</v>
      </c>
      <c r="AC30" s="78">
        <f>VLOOKUP($P$39,$U$28:$V$42,2,0)/$E$18</f>
        <v>960</v>
      </c>
      <c r="AE30" s="75"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19.5" customHeight="1" x14ac:dyDescent="0.25">
      <c r="B31" s="524" t="s">
        <v>533</v>
      </c>
      <c r="C31" s="524"/>
      <c r="D31" s="524"/>
      <c r="E31" s="524"/>
      <c r="F31" s="524"/>
      <c r="G31" s="524"/>
      <c r="H31" s="524"/>
      <c r="I31" s="524"/>
      <c r="J31" s="74"/>
      <c r="M31" s="364"/>
      <c r="N31" s="365"/>
      <c r="O31" s="454"/>
      <c r="P31" s="454"/>
      <c r="Q31" s="454"/>
      <c r="R31" s="53"/>
      <c r="U31" s="75" t="s">
        <v>296</v>
      </c>
      <c r="V31" s="75">
        <v>55000</v>
      </c>
      <c r="W31" s="75" t="s">
        <v>68</v>
      </c>
      <c r="X31" s="75" t="str">
        <f t="shared" si="9"/>
        <v>6,1 - 12 - baixo</v>
      </c>
      <c r="Y31" s="75">
        <v>50000</v>
      </c>
      <c r="Z31" s="75">
        <v>95000</v>
      </c>
      <c r="AB31" s="78" t="s">
        <v>66</v>
      </c>
      <c r="AC31" s="78">
        <f>VLOOKUP(AB36,X28:Z42,2,0)/$E$18</f>
        <v>120</v>
      </c>
      <c r="AE31" s="75" t="s">
        <v>295</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19.5" customHeight="1" x14ac:dyDescent="0.25">
      <c r="B32" s="524"/>
      <c r="C32" s="524"/>
      <c r="D32" s="524"/>
      <c r="E32" s="524"/>
      <c r="F32" s="524"/>
      <c r="G32" s="524"/>
      <c r="H32" s="524"/>
      <c r="I32" s="524"/>
      <c r="J32" s="74"/>
      <c r="M32" s="364"/>
      <c r="N32" s="365"/>
      <c r="O32" s="80"/>
      <c r="P32" s="80"/>
      <c r="Q32" s="80"/>
      <c r="R32" s="53"/>
      <c r="U32" s="75" t="s">
        <v>296</v>
      </c>
      <c r="V32" s="75">
        <v>55000</v>
      </c>
      <c r="W32" s="75" t="s">
        <v>69</v>
      </c>
      <c r="X32" s="75" t="str">
        <f t="shared" si="9"/>
        <v>6,1 - 12 - medio</v>
      </c>
      <c r="Y32" s="75">
        <v>30000</v>
      </c>
      <c r="Z32" s="75">
        <v>60000</v>
      </c>
      <c r="AB32" s="78" t="s">
        <v>67</v>
      </c>
      <c r="AC32" s="78">
        <f>VLOOKUP($AB$39,X28:Z42,3,0)/$E$18</f>
        <v>864</v>
      </c>
      <c r="AE32" s="75" t="s">
        <v>296</v>
      </c>
      <c r="AI32" s="76">
        <v>0.2</v>
      </c>
      <c r="AK32" s="51" t="s">
        <v>292</v>
      </c>
      <c r="AO32" s="47"/>
      <c r="AP32" s="447"/>
      <c r="AQ32" s="447" t="str">
        <f t="shared" si="8"/>
        <v>EkoSil</v>
      </c>
      <c r="AR32" s="447"/>
      <c r="AS32" s="55">
        <f t="shared" si="4"/>
        <v>0</v>
      </c>
      <c r="AT32" s="55">
        <f t="shared" si="5"/>
        <v>0</v>
      </c>
      <c r="AU32" s="55">
        <f t="shared" si="6"/>
        <v>0</v>
      </c>
      <c r="AV32" s="55">
        <f t="shared" si="7"/>
        <v>0</v>
      </c>
      <c r="AW32" s="47"/>
      <c r="AX32" s="47"/>
      <c r="AY32" s="47"/>
      <c r="AZ32" s="47"/>
      <c r="BA32" s="47"/>
      <c r="BB32" s="47"/>
    </row>
    <row r="33" spans="2:57" ht="19.5" customHeight="1" thickBot="1" x14ac:dyDescent="0.3">
      <c r="B33" s="525"/>
      <c r="C33" s="525"/>
      <c r="D33" s="525"/>
      <c r="E33" s="525"/>
      <c r="F33" s="525"/>
      <c r="G33" s="525"/>
      <c r="H33" s="525"/>
      <c r="I33" s="525"/>
      <c r="J33" s="74"/>
      <c r="M33" s="364"/>
      <c r="N33" s="453"/>
      <c r="O33" s="489" t="s">
        <v>282</v>
      </c>
      <c r="P33" s="489"/>
      <c r="Q33" s="489"/>
      <c r="R33" s="53"/>
      <c r="U33" s="75" t="s">
        <v>296</v>
      </c>
      <c r="V33" s="75">
        <v>55000</v>
      </c>
      <c r="W33" s="75" t="s">
        <v>70</v>
      </c>
      <c r="X33" s="75" t="str">
        <f t="shared" si="9"/>
        <v>6,1 - 12 - adequado</v>
      </c>
      <c r="Y33" s="75">
        <v>0</v>
      </c>
      <c r="Z33" s="75">
        <v>40000</v>
      </c>
      <c r="AE33" s="75" t="s">
        <v>297</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19.5" customHeight="1" thickBot="1" x14ac:dyDescent="0.3">
      <c r="B34" s="485" t="s">
        <v>184</v>
      </c>
      <c r="C34" s="486"/>
      <c r="D34" s="486"/>
      <c r="E34" s="486"/>
      <c r="F34" s="486"/>
      <c r="G34" s="486"/>
      <c r="H34" s="486"/>
      <c r="I34" s="487"/>
      <c r="J34" s="81">
        <f>IF(O68="Sim",P21*7.5,0)</f>
        <v>356.25</v>
      </c>
      <c r="M34" s="364"/>
      <c r="N34" s="453"/>
      <c r="O34" s="448">
        <v>1</v>
      </c>
      <c r="P34" s="448"/>
      <c r="Q34" s="448"/>
      <c r="R34" s="53"/>
      <c r="U34" s="75" t="s">
        <v>297</v>
      </c>
      <c r="V34" s="75">
        <v>100000</v>
      </c>
      <c r="W34" s="75" t="s">
        <v>68</v>
      </c>
      <c r="X34" s="75" t="str">
        <f t="shared" si="9"/>
        <v>12,1 - 20 - baixo</v>
      </c>
      <c r="Y34" s="75">
        <v>90000</v>
      </c>
      <c r="Z34" s="75">
        <v>150000</v>
      </c>
      <c r="AE34" s="75" t="s">
        <v>298</v>
      </c>
      <c r="AI34" s="76">
        <v>0.4</v>
      </c>
      <c r="AK34" s="51" t="s">
        <v>292</v>
      </c>
      <c r="AO34" s="47"/>
      <c r="AP34" s="447"/>
      <c r="AQ34" s="447" t="str">
        <f t="shared" si="8"/>
        <v>-</v>
      </c>
      <c r="AR34" s="447"/>
      <c r="AS34" s="55">
        <f t="shared" si="4"/>
        <v>0</v>
      </c>
      <c r="AT34" s="55">
        <f t="shared" si="5"/>
        <v>0</v>
      </c>
      <c r="AU34" s="55">
        <f t="shared" si="6"/>
        <v>0</v>
      </c>
      <c r="AV34" s="55">
        <f t="shared" si="7"/>
        <v>0</v>
      </c>
      <c r="AW34" s="47"/>
      <c r="AX34" s="47"/>
      <c r="AY34" s="47"/>
      <c r="AZ34" s="47"/>
      <c r="BA34" s="47"/>
      <c r="BB34" s="47"/>
    </row>
    <row r="35" spans="2:57" ht="19.5" customHeight="1" thickBot="1" x14ac:dyDescent="0.3">
      <c r="B35" s="488" t="str">
        <f>IF($O$55&gt;0,$O$55,"-")</f>
        <v>Gesso Agronelli</v>
      </c>
      <c r="C35" s="488"/>
      <c r="D35" s="106">
        <f>IF(J34&gt;0,J34,"-")</f>
        <v>356.25</v>
      </c>
      <c r="E35" s="365" t="str">
        <f>IF(J34&gt;0,"quilos por hectare ou,","-")</f>
        <v>quilos por hectare ou,</v>
      </c>
      <c r="F35" s="365"/>
      <c r="G35" s="365"/>
      <c r="H35" s="365"/>
      <c r="I35" s="365"/>
      <c r="J35" s="81">
        <f>J34/10</f>
        <v>35.625</v>
      </c>
      <c r="M35" s="69"/>
      <c r="N35" s="70"/>
      <c r="O35" s="70"/>
      <c r="P35" s="83">
        <f>10000/($O$30*$Q$30)</f>
        <v>208.33333333333334</v>
      </c>
      <c r="Q35" s="83" t="e">
        <f>10000/((($O$32/2)+($P$32/2))*$Q$32)</f>
        <v>#DIV/0!</v>
      </c>
      <c r="R35" s="71"/>
      <c r="U35" s="75" t="s">
        <v>297</v>
      </c>
      <c r="V35" s="75">
        <v>100000</v>
      </c>
      <c r="W35" s="75" t="s">
        <v>69</v>
      </c>
      <c r="X35" s="75" t="str">
        <f t="shared" si="9"/>
        <v>12,1 - 20 - medio</v>
      </c>
      <c r="Y35" s="75">
        <v>60000</v>
      </c>
      <c r="Z35" s="75">
        <v>100000</v>
      </c>
      <c r="AB35" s="457" t="s">
        <v>72</v>
      </c>
      <c r="AC35" s="457"/>
      <c r="AE35" s="75" t="s">
        <v>299</v>
      </c>
      <c r="AI35" s="76">
        <v>0.5</v>
      </c>
      <c r="AK35" s="51" t="s">
        <v>288</v>
      </c>
      <c r="AO35" s="47"/>
      <c r="AP35" s="447"/>
      <c r="AQ35" s="447" t="str">
        <f t="shared" si="8"/>
        <v>Nitrato de Amônio</v>
      </c>
      <c r="AR35" s="447"/>
      <c r="AS35" s="55">
        <f t="shared" si="4"/>
        <v>0</v>
      </c>
      <c r="AT35" s="55">
        <f t="shared" si="5"/>
        <v>0</v>
      </c>
      <c r="AU35" s="55">
        <f t="shared" si="6"/>
        <v>0</v>
      </c>
      <c r="AV35" s="55">
        <f t="shared" si="7"/>
        <v>0</v>
      </c>
      <c r="AW35" s="47"/>
      <c r="AX35" s="47"/>
      <c r="AY35" s="47"/>
      <c r="AZ35" s="47"/>
      <c r="BA35" s="47"/>
      <c r="BB35" s="47"/>
    </row>
    <row r="36" spans="2:57" ht="19.5" customHeight="1" thickBot="1" x14ac:dyDescent="0.3">
      <c r="B36" s="488"/>
      <c r="C36" s="488"/>
      <c r="D36" s="107">
        <f>IF(J35&gt;0,J35,"-")</f>
        <v>35.625</v>
      </c>
      <c r="E36" s="365" t="str">
        <f>IF(J35&gt;0,"gramas por metro quadrado","-")</f>
        <v>gramas por metro quadrado</v>
      </c>
      <c r="F36" s="365"/>
      <c r="G36" s="365"/>
      <c r="H36" s="365"/>
      <c r="I36" s="365"/>
      <c r="J36" s="81"/>
      <c r="M36" s="368"/>
      <c r="N36" s="368"/>
      <c r="O36" s="368"/>
      <c r="P36" s="368"/>
      <c r="Q36" s="368"/>
      <c r="R36" s="368"/>
      <c r="U36" s="75" t="s">
        <v>297</v>
      </c>
      <c r="V36" s="75">
        <v>100000</v>
      </c>
      <c r="W36" s="75" t="s">
        <v>70</v>
      </c>
      <c r="X36" s="75" t="str">
        <f t="shared" si="9"/>
        <v>12,1 - 20 - adequado</v>
      </c>
      <c r="Y36" s="75">
        <v>15000</v>
      </c>
      <c r="Z36" s="75">
        <v>70000</v>
      </c>
      <c r="AB36" s="457" t="str">
        <f>CONCATENATE($P$39," - ",$AD$8)</f>
        <v>&gt; 30,1 -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19.5" customHeight="1" x14ac:dyDescent="0.25">
      <c r="B37" s="523" t="s">
        <v>534</v>
      </c>
      <c r="C37" s="523"/>
      <c r="D37" s="523"/>
      <c r="E37" s="523"/>
      <c r="F37" s="523"/>
      <c r="G37" s="523"/>
      <c r="H37" s="523"/>
      <c r="I37" s="523"/>
      <c r="J37" s="81"/>
      <c r="M37" s="48"/>
      <c r="N37" s="49"/>
      <c r="O37" s="49"/>
      <c r="P37" s="49"/>
      <c r="Q37" s="49"/>
      <c r="R37" s="50"/>
      <c r="U37" s="75" t="s">
        <v>298</v>
      </c>
      <c r="V37" s="75">
        <v>150000</v>
      </c>
      <c r="W37" s="75" t="s">
        <v>68</v>
      </c>
      <c r="X37" s="75" t="str">
        <f t="shared" si="9"/>
        <v>20,1 - 30 - baixo</v>
      </c>
      <c r="Y37" s="75">
        <v>130000</v>
      </c>
      <c r="Z37" s="75">
        <v>210000</v>
      </c>
      <c r="AI37" s="76">
        <v>0.7</v>
      </c>
      <c r="AK37" s="51" t="s">
        <v>290</v>
      </c>
      <c r="AO37" s="85"/>
      <c r="AP37" s="85"/>
      <c r="AQ37" s="85"/>
      <c r="AR37" s="85"/>
      <c r="AS37" s="59">
        <f>IF(AS24&gt;0,AS24,0)</f>
        <v>4.8</v>
      </c>
      <c r="AT37" s="59">
        <f>IF(AT24&gt;0,AT24,0)</f>
        <v>0</v>
      </c>
      <c r="AU37" s="59">
        <f>IF(AU24&gt;0,AU24,0)</f>
        <v>0</v>
      </c>
      <c r="AV37" s="59">
        <f>IF(AV24&gt;0,AV24,0)</f>
        <v>0</v>
      </c>
      <c r="AW37" s="47"/>
      <c r="AX37" s="47"/>
      <c r="AY37" s="47"/>
      <c r="AZ37" s="47"/>
      <c r="BA37" s="47"/>
      <c r="BB37" s="47"/>
    </row>
    <row r="38" spans="2:57" ht="19.5" customHeight="1" thickBot="1" x14ac:dyDescent="0.3">
      <c r="B38" s="523"/>
      <c r="C38" s="523"/>
      <c r="D38" s="523"/>
      <c r="E38" s="523"/>
      <c r="F38" s="523"/>
      <c r="G38" s="523"/>
      <c r="H38" s="523"/>
      <c r="I38" s="523"/>
      <c r="J38" s="81"/>
      <c r="M38" s="364" t="s">
        <v>212</v>
      </c>
      <c r="N38" s="365"/>
      <c r="O38" s="489" t="s">
        <v>301</v>
      </c>
      <c r="P38" s="489"/>
      <c r="Q38" s="489"/>
      <c r="R38" s="53"/>
      <c r="U38" s="75" t="s">
        <v>298</v>
      </c>
      <c r="V38" s="75">
        <v>150000</v>
      </c>
      <c r="W38" s="75" t="s">
        <v>69</v>
      </c>
      <c r="X38" s="75" t="str">
        <f t="shared" si="9"/>
        <v>20,1 - 30 - medio</v>
      </c>
      <c r="Y38" s="75">
        <v>90000</v>
      </c>
      <c r="Z38" s="75">
        <v>140000</v>
      </c>
      <c r="AB38" s="457" t="s">
        <v>73</v>
      </c>
      <c r="AC38" s="457"/>
      <c r="AI38" s="76">
        <v>0.8</v>
      </c>
      <c r="AK38" s="51"/>
      <c r="AO38" s="47"/>
      <c r="AP38" s="47"/>
      <c r="AQ38" s="47"/>
      <c r="AR38" s="47"/>
      <c r="AS38" s="47"/>
      <c r="AT38" s="47"/>
      <c r="AU38" s="47"/>
      <c r="AV38" s="47"/>
      <c r="AW38" s="47"/>
      <c r="AX38" s="47"/>
      <c r="AY38" s="47"/>
      <c r="AZ38" s="47"/>
      <c r="BA38" s="47"/>
      <c r="BB38" s="47"/>
    </row>
    <row r="39" spans="2:57" ht="19.5" customHeight="1" thickBot="1" x14ac:dyDescent="0.3">
      <c r="B39" s="355" t="s">
        <v>267</v>
      </c>
      <c r="C39" s="356"/>
      <c r="D39" s="356"/>
      <c r="E39" s="356"/>
      <c r="F39" s="356"/>
      <c r="G39" s="356"/>
      <c r="H39" s="356"/>
      <c r="I39" s="357"/>
      <c r="J39" s="81">
        <f>AV6</f>
        <v>342.85714285714289</v>
      </c>
      <c r="M39" s="364"/>
      <c r="N39" s="365"/>
      <c r="O39" s="51" t="s">
        <v>303</v>
      </c>
      <c r="P39" s="448" t="s">
        <v>299</v>
      </c>
      <c r="Q39" s="448"/>
      <c r="R39" s="53"/>
      <c r="U39" s="75" t="s">
        <v>298</v>
      </c>
      <c r="V39" s="75">
        <v>150000</v>
      </c>
      <c r="W39" s="75" t="s">
        <v>70</v>
      </c>
      <c r="X39" s="75" t="str">
        <f t="shared" si="9"/>
        <v>20,1 - 30 - adequado</v>
      </c>
      <c r="Y39" s="75">
        <v>20000</v>
      </c>
      <c r="Z39" s="75">
        <v>100000</v>
      </c>
      <c r="AB39" s="457" t="str">
        <f>CONCATENATE($P$39," - ",$AD$22)</f>
        <v>&gt; 30,1 - medio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19.5" customHeight="1" x14ac:dyDescent="0.25">
      <c r="B40" s="449" t="str">
        <f>IF(O42&gt;0,O42,"-")</f>
        <v>Esterco Bovino curtido</v>
      </c>
      <c r="C40" s="449"/>
      <c r="D40" s="109">
        <f>IF(AQ58&gt;0,AQ58,"-")</f>
        <v>12</v>
      </c>
      <c r="E40" s="362" t="str">
        <f>IF(AQ58&gt;0,"quilos por cova ou planta","-")</f>
        <v>quilos por cova ou planta</v>
      </c>
      <c r="F40" s="362"/>
      <c r="G40" s="362"/>
      <c r="H40" s="362"/>
      <c r="I40" s="362"/>
      <c r="J40" s="81">
        <f>AV7</f>
        <v>333.33333333333337</v>
      </c>
      <c r="M40" s="364"/>
      <c r="N40" s="365"/>
      <c r="O40" s="25"/>
      <c r="P40" s="25"/>
      <c r="Q40" s="25"/>
      <c r="R40" s="53"/>
      <c r="U40" s="75" t="s">
        <v>299</v>
      </c>
      <c r="V40" s="75">
        <v>200000</v>
      </c>
      <c r="W40" s="75" t="s">
        <v>68</v>
      </c>
      <c r="X40" s="75" t="str">
        <f t="shared" si="9"/>
        <v>&gt; 30,1 - baixo</v>
      </c>
      <c r="Y40" s="75">
        <v>170000</v>
      </c>
      <c r="Z40" s="75">
        <v>270000</v>
      </c>
      <c r="AI40" s="76">
        <v>1</v>
      </c>
      <c r="AO40" s="47"/>
      <c r="AP40" s="447" t="str">
        <f>O105</f>
        <v>Ácido Bórico</v>
      </c>
      <c r="AQ40" s="447"/>
      <c r="AR40" s="55">
        <f>IFERROR($AS$37/((VLOOKUP(AP40,$V$100:$AO$179,11,0)*0.01)),0)</f>
        <v>27.428571428571423</v>
      </c>
      <c r="AS40" s="55">
        <f>IFERROR($AT$37/((VLOOKUP(AP40,$V$100:$AO$179,14,0)*0.01)),0)</f>
        <v>0</v>
      </c>
      <c r="AT40" s="55">
        <f>IFERROR($AU$37/((VLOOKUP(AP40,$V$100:$AO$179,12,0)*0.01)),0)</f>
        <v>0</v>
      </c>
      <c r="AU40" s="55">
        <f>IFERROR($AV$37/((VLOOKUP(AP40,$V$100:$AO$179,13,0)*0.01)),0)</f>
        <v>0</v>
      </c>
      <c r="AV40" s="55">
        <f>MAX(AR40:AU40)</f>
        <v>27.428571428571423</v>
      </c>
      <c r="AW40" s="55">
        <f>IFERROR(AV40*(VLOOKUP(AP40,$V$100:$AO$179,11,0)*0.01),0)</f>
        <v>4.8</v>
      </c>
      <c r="AX40" s="55">
        <f>IFERROR(AV40*(VLOOKUP(AP40,$V$100:$AO$179,14,0)*0.01),0)</f>
        <v>0</v>
      </c>
      <c r="AY40" s="55">
        <f>IFERROR(AV40*(VLOOKUP(AP40,$V$100:$AO$179,12,0)*0.01),0)</f>
        <v>0</v>
      </c>
      <c r="AZ40" s="55">
        <f>IFERROR(AV40*(VLOOKUP(AP40,$V$100:$AO$179,13,0)*0.01),0)</f>
        <v>0</v>
      </c>
      <c r="BA40" s="47"/>
      <c r="BB40" s="47"/>
    </row>
    <row r="41" spans="2:57" ht="19.5" customHeight="1" x14ac:dyDescent="0.25">
      <c r="B41" s="449" t="str">
        <f>IF(AQ6&gt;0,AQ6,"-")</f>
        <v>Termofosfato YOORIN</v>
      </c>
      <c r="C41" s="449"/>
      <c r="D41" s="87">
        <f>IF(J39&gt;0,J39,"-")</f>
        <v>342.85714285714289</v>
      </c>
      <c r="E41" s="365" t="str">
        <f>IF(J39&gt;0,"gramas por cova ou planta","-")</f>
        <v>gramas por cova ou planta</v>
      </c>
      <c r="F41" s="365"/>
      <c r="G41" s="365"/>
      <c r="H41" s="365"/>
      <c r="I41" s="365"/>
      <c r="J41" s="81">
        <f>AV8</f>
        <v>0</v>
      </c>
      <c r="M41" s="364"/>
      <c r="N41" s="365"/>
      <c r="O41" s="489" t="s">
        <v>308</v>
      </c>
      <c r="P41" s="489"/>
      <c r="Q41" s="489"/>
      <c r="R41" s="53"/>
      <c r="U41" s="75" t="s">
        <v>299</v>
      </c>
      <c r="V41" s="75">
        <v>200000</v>
      </c>
      <c r="W41" s="75" t="s">
        <v>69</v>
      </c>
      <c r="X41" s="75" t="str">
        <f t="shared" si="9"/>
        <v>&gt; 30,1 - medio</v>
      </c>
      <c r="Y41" s="75">
        <v>120000</v>
      </c>
      <c r="Z41" s="75">
        <v>180000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0">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19.5" customHeight="1" x14ac:dyDescent="0.25">
      <c r="B42" s="449" t="str">
        <f>IF(AQ7&gt;0,AQ7,"-")</f>
        <v>Superfosfato simples</v>
      </c>
      <c r="C42" s="449"/>
      <c r="D42" s="87">
        <f t="shared" ref="D42:D49" si="11">IF(J40&gt;0,J40,"-")</f>
        <v>333.33333333333337</v>
      </c>
      <c r="E42" s="365" t="str">
        <f t="shared" ref="E42:E49" si="12">IF(J40&gt;0,"gramas por planta","-")</f>
        <v>gramas por planta</v>
      </c>
      <c r="F42" s="365"/>
      <c r="G42" s="365"/>
      <c r="H42" s="365"/>
      <c r="I42" s="365"/>
      <c r="J42" s="81">
        <f>AV12</f>
        <v>720</v>
      </c>
      <c r="M42" s="364"/>
      <c r="N42" s="365"/>
      <c r="O42" s="483" t="s">
        <v>292</v>
      </c>
      <c r="P42" s="513"/>
      <c r="Q42" s="484"/>
      <c r="R42" s="53"/>
      <c r="U42" s="75" t="s">
        <v>299</v>
      </c>
      <c r="V42" s="75">
        <v>200000</v>
      </c>
      <c r="W42" s="75" t="s">
        <v>70</v>
      </c>
      <c r="X42" s="75" t="str">
        <f t="shared" si="9"/>
        <v>&gt; 30,1 - adequado</v>
      </c>
      <c r="Y42" s="75">
        <v>25000</v>
      </c>
      <c r="Z42" s="75">
        <v>130000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0"/>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19.5" customHeight="1" thickBot="1" x14ac:dyDescent="0.3">
      <c r="B43" s="449" t="str">
        <f>IF(AQ8&gt;0,AQ8,"-")</f>
        <v>-</v>
      </c>
      <c r="C43" s="449"/>
      <c r="D43" s="87" t="str">
        <f t="shared" si="11"/>
        <v>-</v>
      </c>
      <c r="E43" s="365" t="str">
        <f t="shared" si="12"/>
        <v>-</v>
      </c>
      <c r="F43" s="365"/>
      <c r="G43" s="365"/>
      <c r="H43" s="365"/>
      <c r="I43" s="365"/>
      <c r="J43" s="81">
        <f>AV13</f>
        <v>5400</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0"/>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19.5" customHeight="1" thickBot="1" x14ac:dyDescent="0.3">
      <c r="B44" s="449" t="str">
        <f>IF(AQ12&gt;0,AQ12,"-")</f>
        <v>Cloreto de potássio</v>
      </c>
      <c r="C44" s="449"/>
      <c r="D44" s="87">
        <f t="shared" si="11"/>
        <v>720</v>
      </c>
      <c r="E44" s="365" t="str">
        <f t="shared" si="12"/>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19.5" customHeight="1" x14ac:dyDescent="0.25">
      <c r="B45" s="449" t="str">
        <f>IF(AQ13&gt;0,AQ13,"-")</f>
        <v>EkoSil</v>
      </c>
      <c r="C45" s="449"/>
      <c r="D45" s="87">
        <f t="shared" si="11"/>
        <v>5400</v>
      </c>
      <c r="E45" s="365" t="str">
        <f t="shared" si="12"/>
        <v>gramas por planta</v>
      </c>
      <c r="F45" s="365"/>
      <c r="G45" s="365"/>
      <c r="H45" s="365"/>
      <c r="I45" s="365"/>
      <c r="J45" s="81">
        <f>AV18</f>
        <v>0</v>
      </c>
      <c r="M45" s="48"/>
      <c r="N45" s="49"/>
      <c r="O45" s="500" t="s">
        <v>305</v>
      </c>
      <c r="P45" s="500"/>
      <c r="Q45" s="500"/>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19.5" customHeight="1" x14ac:dyDescent="0.25">
      <c r="B46" s="449" t="str">
        <f>IF(AQ14&gt;0,AQ14,"-")</f>
        <v>-</v>
      </c>
      <c r="C46" s="449"/>
      <c r="D46" s="87" t="str">
        <f t="shared" si="11"/>
        <v>-</v>
      </c>
      <c r="E46" s="365" t="str">
        <f t="shared" si="12"/>
        <v>-</v>
      </c>
      <c r="F46" s="365"/>
      <c r="G46" s="365"/>
      <c r="H46" s="365"/>
      <c r="I46" s="365"/>
      <c r="J46" s="81">
        <f>AV19</f>
        <v>3310.344827586207</v>
      </c>
      <c r="M46" s="364" t="s">
        <v>213</v>
      </c>
      <c r="N46" s="365"/>
      <c r="O46" s="503"/>
      <c r="P46" s="503"/>
      <c r="Q46" s="503"/>
      <c r="R46" s="53"/>
      <c r="U46" s="75" t="s">
        <v>109</v>
      </c>
      <c r="V46" s="89">
        <v>60</v>
      </c>
      <c r="X46" s="455" t="s">
        <v>268</v>
      </c>
      <c r="Y46" s="455"/>
      <c r="Z46" s="63">
        <f>IFERROR(VLOOKUP(O50,$V$87:$AE$95,10,0),0)</f>
        <v>6.7891575865994476</v>
      </c>
      <c r="AO46" s="47"/>
      <c r="AP46" s="47"/>
      <c r="AQ46" s="47"/>
      <c r="AR46" s="47"/>
      <c r="AS46" s="47"/>
      <c r="AT46" s="47"/>
      <c r="AU46" s="47"/>
      <c r="AV46" s="47"/>
      <c r="AW46" s="47"/>
      <c r="AX46" s="47"/>
      <c r="AY46" s="47"/>
      <c r="AZ46" s="47"/>
      <c r="BA46" s="47"/>
      <c r="BB46" s="47"/>
    </row>
    <row r="47" spans="2:57" ht="19.5" customHeight="1" x14ac:dyDescent="0.25">
      <c r="B47" s="449" t="str">
        <f>IF(AQ18&gt;0,AQ18,"-")</f>
        <v>-</v>
      </c>
      <c r="C47" s="449"/>
      <c r="D47" s="87" t="str">
        <f t="shared" si="11"/>
        <v>-</v>
      </c>
      <c r="E47" s="365" t="str">
        <f t="shared" si="12"/>
        <v>-</v>
      </c>
      <c r="F47" s="365"/>
      <c r="G47" s="365"/>
      <c r="H47" s="365"/>
      <c r="I47" s="365"/>
      <c r="J47" s="81">
        <f>AV20</f>
        <v>0</v>
      </c>
      <c r="M47" s="364"/>
      <c r="N47" s="365"/>
      <c r="O47" s="483" t="s">
        <v>140</v>
      </c>
      <c r="P47" s="484"/>
      <c r="Q47" s="92">
        <v>0.5</v>
      </c>
      <c r="R47" s="53"/>
      <c r="U47" s="51" t="s">
        <v>111</v>
      </c>
      <c r="V47" s="63">
        <f>IFERROR((((V46-P24)*P25)/V49),0)</f>
        <v>0.25500000000000034</v>
      </c>
      <c r="X47" s="455" t="s">
        <v>203</v>
      </c>
      <c r="Y47" s="455"/>
      <c r="Z47" s="63">
        <f>IFERROR((($V$50/$Z$46)*$V$47),0)</f>
        <v>1.6150751930759297</v>
      </c>
      <c r="AO47" s="47"/>
      <c r="BA47" s="47"/>
      <c r="BB47" s="47"/>
    </row>
    <row r="48" spans="2:57" ht="19.5" customHeight="1" x14ac:dyDescent="0.25">
      <c r="B48" s="449" t="str">
        <f>IF(AQ19&gt;0,AQ19,"-")</f>
        <v>Nitrato de Amônio</v>
      </c>
      <c r="C48" s="449"/>
      <c r="D48" s="87">
        <f t="shared" si="11"/>
        <v>3310.344827586207</v>
      </c>
      <c r="E48" s="365" t="str">
        <f t="shared" si="12"/>
        <v>gramas por planta</v>
      </c>
      <c r="F48" s="365"/>
      <c r="G48" s="365"/>
      <c r="H48" s="365"/>
      <c r="I48" s="365"/>
      <c r="J48" s="91"/>
      <c r="M48" s="364"/>
      <c r="N48" s="365"/>
      <c r="O48" s="506" t="s">
        <v>306</v>
      </c>
      <c r="P48" s="506"/>
      <c r="Q48" s="506"/>
      <c r="R48" s="53"/>
      <c r="U48" s="51" t="s">
        <v>201</v>
      </c>
      <c r="V48" s="63">
        <f>IF(V47&lt;0,(0),IF(V47&gt;=0,(V47)))</f>
        <v>0.25500000000000034</v>
      </c>
      <c r="X48" s="455" t="s">
        <v>201</v>
      </c>
      <c r="Y48" s="455"/>
      <c r="Z48" s="63">
        <f>IFERROR(IF(Z47&lt;0,(0),IF(Z47&gt;=0,(Z47))),0)</f>
        <v>1.6150751930759297</v>
      </c>
    </row>
    <row r="49" spans="2:50" ht="19.5" customHeight="1" x14ac:dyDescent="0.25">
      <c r="B49" s="449" t="str">
        <f>IF(AQ20&gt;0,AQ20,"-")</f>
        <v>-</v>
      </c>
      <c r="C49" s="449"/>
      <c r="D49" s="87" t="str">
        <f t="shared" si="11"/>
        <v>-</v>
      </c>
      <c r="E49" s="365" t="str">
        <f t="shared" si="12"/>
        <v>-</v>
      </c>
      <c r="F49" s="365"/>
      <c r="G49" s="365"/>
      <c r="H49" s="365"/>
      <c r="I49" s="365"/>
      <c r="M49" s="364"/>
      <c r="N49" s="365"/>
      <c r="O49" s="503"/>
      <c r="P49" s="503"/>
      <c r="Q49" s="503"/>
      <c r="R49" s="53"/>
      <c r="U49" s="51" t="s">
        <v>110</v>
      </c>
      <c r="V49" s="63">
        <f>IFERROR(VLOOKUP($O$47,$V$56:$AA$68,5,0),0)</f>
        <v>80</v>
      </c>
      <c r="X49" s="455" t="s">
        <v>273</v>
      </c>
      <c r="Y49" s="455"/>
      <c r="Z49" s="63">
        <f>Z48*$Q$50</f>
        <v>0.80753759653796486</v>
      </c>
    </row>
    <row r="50" spans="2:50" ht="19.5" customHeight="1" x14ac:dyDescent="0.25">
      <c r="B50" s="476" t="s">
        <v>535</v>
      </c>
      <c r="C50" s="476"/>
      <c r="D50" s="476"/>
      <c r="E50" s="476"/>
      <c r="F50" s="476"/>
      <c r="G50" s="476"/>
      <c r="H50" s="476"/>
      <c r="I50" s="476"/>
      <c r="M50" s="364"/>
      <c r="N50" s="365"/>
      <c r="O50" s="483" t="s">
        <v>156</v>
      </c>
      <c r="P50" s="484"/>
      <c r="Q50" s="92">
        <v>0.5</v>
      </c>
      <c r="R50" s="53"/>
      <c r="U50" s="51" t="s">
        <v>193</v>
      </c>
      <c r="V50" s="63">
        <f>IFERROR(VLOOKUP($O$47,$V$56:$AA$68,6,0),0)</f>
        <v>43</v>
      </c>
      <c r="AT50" s="457" t="s">
        <v>280</v>
      </c>
      <c r="AU50" s="457"/>
      <c r="AV50" s="457"/>
    </row>
    <row r="51" spans="2:50" ht="19.5" customHeight="1" thickBot="1" x14ac:dyDescent="0.3">
      <c r="B51" s="476"/>
      <c r="C51" s="476"/>
      <c r="D51" s="476"/>
      <c r="E51" s="476"/>
      <c r="F51" s="476"/>
      <c r="G51" s="476"/>
      <c r="H51" s="476"/>
      <c r="I51" s="476"/>
      <c r="M51" s="69"/>
      <c r="N51" s="70"/>
      <c r="O51" s="70"/>
      <c r="P51" s="70"/>
      <c r="Q51" s="70"/>
      <c r="R51" s="71"/>
      <c r="U51" s="51" t="s">
        <v>273</v>
      </c>
      <c r="V51" s="63">
        <f>V48*$Q$47</f>
        <v>0.12750000000000017</v>
      </c>
      <c r="AT51" s="110" t="s">
        <v>291</v>
      </c>
      <c r="AU51" s="111" t="s">
        <v>286</v>
      </c>
      <c r="AV51" s="110">
        <v>15</v>
      </c>
    </row>
    <row r="52" spans="2:50" ht="19.5" customHeight="1" thickBot="1" x14ac:dyDescent="0.3">
      <c r="B52" s="476"/>
      <c r="C52" s="476"/>
      <c r="D52" s="476"/>
      <c r="E52" s="476"/>
      <c r="F52" s="476"/>
      <c r="G52" s="476"/>
      <c r="H52" s="476"/>
      <c r="I52" s="476"/>
      <c r="AT52" s="110" t="s">
        <v>291</v>
      </c>
      <c r="AU52" s="111" t="s">
        <v>293</v>
      </c>
      <c r="AV52" s="110">
        <v>4</v>
      </c>
    </row>
    <row r="53" spans="2:50" ht="19.5" customHeight="1" thickBot="1" x14ac:dyDescent="0.3">
      <c r="B53" s="477"/>
      <c r="C53" s="477"/>
      <c r="D53" s="477"/>
      <c r="E53" s="477"/>
      <c r="F53" s="477"/>
      <c r="G53" s="477"/>
      <c r="H53" s="477"/>
      <c r="I53" s="477"/>
      <c r="M53" s="48"/>
      <c r="N53" s="49"/>
      <c r="O53" s="49"/>
      <c r="P53" s="49"/>
      <c r="Q53" s="49"/>
      <c r="R53" s="50"/>
      <c r="AP53" s="108"/>
      <c r="AQ53" s="108"/>
      <c r="AS53" s="108"/>
      <c r="AT53" s="110" t="s">
        <v>291</v>
      </c>
      <c r="AU53" s="111" t="s">
        <v>158</v>
      </c>
      <c r="AV53" s="110">
        <v>6</v>
      </c>
    </row>
    <row r="54" spans="2:50" ht="19.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110" t="s">
        <v>291</v>
      </c>
      <c r="AU54" s="111" t="s">
        <v>292</v>
      </c>
      <c r="AV54" s="110">
        <v>12</v>
      </c>
    </row>
    <row r="55" spans="2:50" ht="19.5" customHeight="1" x14ac:dyDescent="0.25">
      <c r="B55" s="449" t="str">
        <f>IF(AP40&gt;0,AP40,"-")</f>
        <v>Ácido Bórico</v>
      </c>
      <c r="C55" s="449"/>
      <c r="D55" s="87">
        <f>IF(AV40&gt;0,AV40,"-")</f>
        <v>27.428571428571423</v>
      </c>
      <c r="E55" s="365" t="str">
        <f>IF(AV40&gt;0,"gramas por planta","-")</f>
        <v>gramas por planta</v>
      </c>
      <c r="F55" s="365"/>
      <c r="G55" s="365"/>
      <c r="H55" s="365"/>
      <c r="I55" s="365"/>
      <c r="M55" s="364"/>
      <c r="N55" s="365"/>
      <c r="O55" s="448" t="s">
        <v>188</v>
      </c>
      <c r="P55" s="448"/>
      <c r="Q55" s="448"/>
      <c r="R55" s="53"/>
      <c r="U55" s="344"/>
      <c r="V55" s="344"/>
      <c r="W55" s="344"/>
      <c r="X55" s="95" t="s">
        <v>105</v>
      </c>
      <c r="Y55" s="95" t="s">
        <v>106</v>
      </c>
      <c r="Z55" s="95" t="s">
        <v>107</v>
      </c>
      <c r="AA55" s="95" t="s">
        <v>195</v>
      </c>
      <c r="AP55" s="465"/>
      <c r="AQ55" s="465"/>
      <c r="AS55" s="465"/>
      <c r="AT55" s="110" t="s">
        <v>291</v>
      </c>
      <c r="AU55" s="111" t="s">
        <v>285</v>
      </c>
      <c r="AV55" s="110">
        <v>14</v>
      </c>
    </row>
    <row r="56" spans="2:50" ht="19.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110" t="s">
        <v>291</v>
      </c>
      <c r="AU56" s="111" t="s">
        <v>287</v>
      </c>
      <c r="AV56" s="110">
        <v>10</v>
      </c>
    </row>
    <row r="57" spans="2:50" ht="19.5" customHeight="1" x14ac:dyDescent="0.25">
      <c r="B57" s="449" t="str">
        <f>IF(AP42&gt;0,AP42,"-")</f>
        <v>Sulfato de zinco</v>
      </c>
      <c r="C57" s="449"/>
      <c r="D57" s="87" t="str">
        <f>IF(AV42&gt;0,AV42,"-")</f>
        <v>-</v>
      </c>
      <c r="E57" s="365" t="str">
        <f t="shared" ref="E57:E59" si="13">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302</v>
      </c>
      <c r="AR57" s="463"/>
      <c r="AS57" s="25"/>
      <c r="AT57" s="110" t="s">
        <v>291</v>
      </c>
      <c r="AU57" s="111" t="s">
        <v>288</v>
      </c>
      <c r="AV57" s="110">
        <v>14</v>
      </c>
    </row>
    <row r="58" spans="2:50" ht="19.5" customHeight="1" x14ac:dyDescent="0.25">
      <c r="B58" s="449" t="str">
        <f>IF(AP43&gt;0,AP43,"-")</f>
        <v>Sulfato de manganês</v>
      </c>
      <c r="C58" s="449"/>
      <c r="D58" s="87" t="str">
        <f>IF(AV43&gt;0,AV43,"-")</f>
        <v>-</v>
      </c>
      <c r="E58" s="365" t="str">
        <f t="shared" si="13"/>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f>IFERROR(VLOOKUP($O$42,AU51:AV59,2,0),0)</f>
        <v>12</v>
      </c>
      <c r="AR58" s="463"/>
      <c r="AS58" s="25"/>
      <c r="AT58" s="110" t="s">
        <v>291</v>
      </c>
      <c r="AU58" s="111" t="s">
        <v>289</v>
      </c>
      <c r="AV58" s="110">
        <v>15</v>
      </c>
    </row>
    <row r="59" spans="2:50" ht="19.5" customHeight="1" x14ac:dyDescent="0.25">
      <c r="B59" s="449" t="str">
        <f>IF(AP44&gt;0,AP44,"-")</f>
        <v>-</v>
      </c>
      <c r="C59" s="449"/>
      <c r="D59" s="87" t="str">
        <f>IF(AV44&gt;0,AV44,"-")</f>
        <v>-</v>
      </c>
      <c r="E59" s="365" t="str">
        <f t="shared" si="13"/>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S59" s="25"/>
      <c r="AT59" s="110" t="s">
        <v>291</v>
      </c>
      <c r="AU59" s="111" t="s">
        <v>290</v>
      </c>
      <c r="AV59" s="110">
        <v>6</v>
      </c>
    </row>
    <row r="60" spans="2:50" ht="19.5" customHeight="1" x14ac:dyDescent="0.25">
      <c r="B60" s="521" t="s">
        <v>536</v>
      </c>
      <c r="C60" s="521"/>
      <c r="D60" s="521"/>
      <c r="E60" s="521"/>
      <c r="F60" s="521"/>
      <c r="G60" s="521"/>
      <c r="H60" s="521"/>
      <c r="I60" s="521"/>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25"/>
      <c r="AU60" s="25"/>
      <c r="AV60" s="25"/>
      <c r="AW60" s="25"/>
      <c r="AX60" s="25"/>
    </row>
    <row r="61" spans="2:50" ht="19.5" customHeight="1" x14ac:dyDescent="0.25">
      <c r="B61" s="521"/>
      <c r="C61" s="521"/>
      <c r="D61" s="521"/>
      <c r="E61" s="521"/>
      <c r="F61" s="521"/>
      <c r="G61" s="521"/>
      <c r="H61" s="521"/>
      <c r="I61" s="521"/>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25"/>
      <c r="AU61" s="25"/>
      <c r="AV61" s="25"/>
      <c r="AW61" s="25"/>
      <c r="AX61" s="25"/>
    </row>
    <row r="62" spans="2:50" ht="19.5" customHeight="1" x14ac:dyDescent="0.25">
      <c r="B62" s="521"/>
      <c r="C62" s="521"/>
      <c r="D62" s="521"/>
      <c r="E62" s="521"/>
      <c r="F62" s="521"/>
      <c r="G62" s="521"/>
      <c r="H62" s="521"/>
      <c r="I62" s="521"/>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S62" s="25"/>
      <c r="AT62" s="25"/>
      <c r="AU62" s="25"/>
      <c r="AV62" s="25"/>
      <c r="AW62" s="25"/>
      <c r="AX62" s="25"/>
    </row>
    <row r="63" spans="2:50" ht="19.5" customHeight="1" thickBot="1" x14ac:dyDescent="0.3">
      <c r="B63" s="522"/>
      <c r="C63" s="522"/>
      <c r="D63" s="522"/>
      <c r="E63" s="522"/>
      <c r="F63" s="522"/>
      <c r="G63" s="522"/>
      <c r="H63" s="522"/>
      <c r="I63" s="522"/>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S63" s="25"/>
      <c r="AT63" s="25"/>
      <c r="AU63" s="25"/>
      <c r="AV63" s="25"/>
      <c r="AW63" s="25"/>
      <c r="AX63" s="25"/>
    </row>
    <row r="64" spans="2:50" ht="19.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S64" s="25"/>
      <c r="AT64" s="25"/>
      <c r="AU64" s="25"/>
      <c r="AV64" s="25"/>
      <c r="AW64" s="25"/>
      <c r="AX64" s="25"/>
    </row>
    <row r="65" spans="2:50" ht="19.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S65" s="25"/>
      <c r="AT65" s="25"/>
      <c r="AU65" s="25"/>
      <c r="AV65" s="25"/>
      <c r="AW65" s="25"/>
      <c r="AX65" s="25"/>
    </row>
    <row r="66" spans="2:50" ht="19.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S66" s="25"/>
      <c r="AT66" s="25"/>
      <c r="AU66" s="25"/>
      <c r="AV66" s="25"/>
      <c r="AW66" s="25"/>
      <c r="AX66" s="25"/>
    </row>
    <row r="67" spans="2:50" ht="19.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S67" s="25"/>
      <c r="AT67" s="25"/>
      <c r="AU67" s="25"/>
      <c r="AV67" s="25"/>
      <c r="AW67" s="25"/>
      <c r="AX67" s="25"/>
    </row>
    <row r="68" spans="2:50" ht="19.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S68" s="25"/>
      <c r="AT68" s="25"/>
      <c r="AU68" s="25"/>
      <c r="AV68" s="25"/>
      <c r="AW68" s="25"/>
      <c r="AX68" s="25"/>
    </row>
    <row r="69" spans="2:50" ht="19.5" customHeight="1" thickBot="1" x14ac:dyDescent="0.3">
      <c r="M69" s="69"/>
      <c r="N69" s="70"/>
      <c r="O69" s="70"/>
      <c r="P69" s="70"/>
      <c r="Q69" s="70"/>
      <c r="R69" s="71"/>
      <c r="AS69" s="25"/>
      <c r="AT69" s="25"/>
      <c r="AU69" s="25"/>
      <c r="AV69" s="25"/>
      <c r="AW69" s="25"/>
      <c r="AX69" s="25"/>
    </row>
    <row r="70" spans="2:50" ht="19.5" customHeight="1" thickBot="1" x14ac:dyDescent="0.3">
      <c r="AS70" s="25"/>
      <c r="AT70" s="25"/>
      <c r="AU70" s="25"/>
      <c r="AV70" s="25"/>
      <c r="AW70" s="25"/>
      <c r="AX70" s="25"/>
    </row>
    <row r="71" spans="2:50" ht="19.5" customHeight="1" x14ac:dyDescent="0.25">
      <c r="M71" s="48"/>
      <c r="N71" s="49"/>
      <c r="O71" s="49"/>
      <c r="P71" s="49"/>
      <c r="Q71" s="49"/>
      <c r="R71" s="50"/>
      <c r="U71" s="347" t="s">
        <v>136</v>
      </c>
      <c r="V71" s="347" t="s">
        <v>76</v>
      </c>
      <c r="W71" s="347" t="s">
        <v>77</v>
      </c>
      <c r="X71" s="347" t="s">
        <v>284</v>
      </c>
      <c r="Y71" s="347"/>
      <c r="Z71" s="347"/>
      <c r="AS71" s="25"/>
      <c r="AT71" s="25"/>
      <c r="AU71" s="25"/>
      <c r="AV71" s="25"/>
      <c r="AW71" s="25"/>
      <c r="AX71" s="25"/>
    </row>
    <row r="72" spans="2:50" ht="19.5" customHeight="1" x14ac:dyDescent="0.25">
      <c r="M72" s="364" t="s">
        <v>215</v>
      </c>
      <c r="N72" s="365"/>
      <c r="O72" s="450" t="s">
        <v>252</v>
      </c>
      <c r="P72" s="451"/>
      <c r="Q72" s="452"/>
      <c r="R72" s="53"/>
      <c r="U72" s="347"/>
      <c r="V72" s="347"/>
      <c r="W72" s="347"/>
      <c r="X72" s="13" t="s">
        <v>81</v>
      </c>
      <c r="Y72" s="13" t="s">
        <v>82</v>
      </c>
      <c r="Z72" s="13" t="s">
        <v>83</v>
      </c>
      <c r="AS72" s="25"/>
      <c r="AT72" s="25"/>
      <c r="AU72" s="25"/>
      <c r="AV72" s="25"/>
      <c r="AW72" s="25"/>
      <c r="AX72" s="25"/>
    </row>
    <row r="73" spans="2:50" ht="19.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S73" s="25"/>
      <c r="AT73" s="25"/>
      <c r="AU73" s="25"/>
      <c r="AV73" s="25"/>
      <c r="AW73" s="25"/>
      <c r="AX73" s="25"/>
    </row>
    <row r="74" spans="2:50" ht="19.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S74" s="25"/>
      <c r="AT74" s="25"/>
      <c r="AU74" s="25"/>
      <c r="AV74" s="25"/>
      <c r="AW74" s="25"/>
      <c r="AX74" s="25"/>
    </row>
    <row r="75" spans="2:50" ht="19.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S75" s="25"/>
      <c r="AT75" s="25"/>
      <c r="AU75" s="25"/>
      <c r="AV75" s="25"/>
      <c r="AW75" s="25"/>
      <c r="AX75" s="25"/>
    </row>
    <row r="76" spans="2:50" ht="19.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S76" s="25"/>
      <c r="AT76" s="25"/>
      <c r="AU76" s="25"/>
      <c r="AV76" s="25"/>
      <c r="AW76" s="25"/>
      <c r="AX76" s="25"/>
    </row>
    <row r="77" spans="2:50" ht="19.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S77" s="25"/>
      <c r="AT77" s="25"/>
      <c r="AU77" s="25"/>
      <c r="AV77" s="25"/>
      <c r="AW77" s="25"/>
      <c r="AX77" s="25"/>
    </row>
    <row r="78" spans="2:50" ht="19.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S78" s="25"/>
      <c r="AT78" s="25"/>
      <c r="AU78" s="25"/>
      <c r="AV78" s="25"/>
      <c r="AW78" s="25"/>
      <c r="AX78" s="25"/>
    </row>
    <row r="79" spans="2:50" ht="19.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S79" s="25"/>
      <c r="AT79" s="25"/>
      <c r="AU79" s="25"/>
      <c r="AV79" s="25"/>
      <c r="AW79" s="25"/>
      <c r="AX79" s="25"/>
    </row>
    <row r="80" spans="2:50" ht="19.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S80" s="25"/>
      <c r="AT80" s="25"/>
      <c r="AU80" s="25"/>
      <c r="AV80" s="25"/>
      <c r="AW80" s="25"/>
      <c r="AX80" s="25"/>
    </row>
    <row r="81" spans="13:50" ht="19.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S81" s="25"/>
      <c r="AT81" s="25"/>
      <c r="AU81" s="25"/>
      <c r="AV81" s="25"/>
      <c r="AW81" s="25"/>
      <c r="AX81" s="25"/>
    </row>
    <row r="82" spans="13:50" ht="19.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S82" s="25"/>
      <c r="AT82" s="25"/>
      <c r="AU82" s="25"/>
      <c r="AV82" s="25"/>
      <c r="AW82" s="25"/>
      <c r="AX82" s="25"/>
    </row>
    <row r="83" spans="13:50" ht="19.5" customHeight="1" x14ac:dyDescent="0.25">
      <c r="M83" s="364"/>
      <c r="N83" s="365"/>
      <c r="O83" s="448" t="s">
        <v>116</v>
      </c>
      <c r="P83" s="448"/>
      <c r="Q83" s="92">
        <v>0.5</v>
      </c>
      <c r="R83" s="53"/>
      <c r="AS83" s="25"/>
      <c r="AT83" s="25"/>
      <c r="AU83" s="25"/>
      <c r="AV83" s="25"/>
      <c r="AW83" s="25"/>
      <c r="AX83" s="25"/>
    </row>
    <row r="84" spans="13:50" ht="19.5" customHeight="1" x14ac:dyDescent="0.25">
      <c r="M84" s="364"/>
      <c r="N84" s="365"/>
      <c r="O84" s="448"/>
      <c r="P84" s="448"/>
      <c r="Q84" s="92"/>
      <c r="R84" s="53"/>
      <c r="AS84" s="25"/>
      <c r="AT84" s="25"/>
      <c r="AU84" s="25"/>
      <c r="AV84" s="25"/>
      <c r="AW84" s="25"/>
      <c r="AX84" s="25"/>
    </row>
    <row r="85" spans="13:50" ht="19.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S85" s="25"/>
      <c r="AT85" s="25"/>
      <c r="AU85" s="25"/>
      <c r="AV85" s="25"/>
      <c r="AW85" s="25"/>
      <c r="AX85" s="25"/>
    </row>
    <row r="86" spans="13:50" ht="19.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S86" s="25"/>
      <c r="AT86" s="25"/>
      <c r="AU86" s="25"/>
      <c r="AV86" s="25"/>
      <c r="AW86" s="25"/>
      <c r="AX86" s="25"/>
    </row>
    <row r="87" spans="13:50" ht="19.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4">Y160</f>
        <v>8.7999999999999995E-2</v>
      </c>
      <c r="Z87" s="99">
        <f t="shared" si="14"/>
        <v>0.2</v>
      </c>
      <c r="AA87" s="99">
        <f t="shared" si="14"/>
        <v>2.83</v>
      </c>
      <c r="AB87" s="99">
        <f t="shared" si="14"/>
        <v>3.4</v>
      </c>
      <c r="AC87" s="100">
        <f>AC160*0.602</f>
        <v>1.5155244755244754</v>
      </c>
      <c r="AD87" s="100">
        <f>AD160*0.715</f>
        <v>5.4634551495016606</v>
      </c>
      <c r="AE87" s="100">
        <f t="shared" ref="AE87:AE95" si="15">AB87+AC87+AD87</f>
        <v>10.378979625026137</v>
      </c>
      <c r="AS87" s="25"/>
      <c r="AT87" s="25"/>
      <c r="AU87" s="25"/>
      <c r="AV87" s="25"/>
      <c r="AW87" s="25"/>
      <c r="AX87" s="25"/>
    </row>
    <row r="88" spans="13:50" ht="19.5" customHeight="1" x14ac:dyDescent="0.25">
      <c r="M88" s="364"/>
      <c r="N88" s="365"/>
      <c r="O88" s="450" t="s">
        <v>254</v>
      </c>
      <c r="P88" s="451"/>
      <c r="Q88" s="452"/>
      <c r="R88" s="53"/>
      <c r="U88" s="466"/>
      <c r="V88" s="99" t="str">
        <f t="shared" ref="V88:W95" si="16">V161</f>
        <v>Kamafugito</v>
      </c>
      <c r="W88" s="99">
        <f t="shared" si="16"/>
        <v>0</v>
      </c>
      <c r="X88" s="99">
        <f t="shared" ref="X88:X95" si="17">AL161</f>
        <v>0</v>
      </c>
      <c r="Y88" s="99">
        <f t="shared" si="14"/>
        <v>1.5069999999999999</v>
      </c>
      <c r="Z88" s="99">
        <f t="shared" si="14"/>
        <v>3.5</v>
      </c>
      <c r="AA88" s="99">
        <f t="shared" si="14"/>
        <v>3.3250000000000002</v>
      </c>
      <c r="AB88" s="99">
        <f t="shared" si="14"/>
        <v>4</v>
      </c>
      <c r="AC88" s="100">
        <f t="shared" ref="AC88:AC95" si="18">AC161*0.602</f>
        <v>1.7217199999999999</v>
      </c>
      <c r="AD88" s="100">
        <f t="shared" ref="AD88:AD95" si="19">AD161*0.715</f>
        <v>0</v>
      </c>
      <c r="AE88" s="100">
        <f t="shared" si="15"/>
        <v>5.7217199999999995</v>
      </c>
      <c r="AS88" s="25"/>
      <c r="AT88" s="25"/>
      <c r="AU88" s="25"/>
      <c r="AV88" s="25"/>
      <c r="AW88" s="25"/>
      <c r="AX88" s="25"/>
    </row>
    <row r="89" spans="13:50" ht="19.5" customHeight="1" x14ac:dyDescent="0.25">
      <c r="M89" s="364"/>
      <c r="N89" s="365"/>
      <c r="O89" s="450" t="s">
        <v>251</v>
      </c>
      <c r="P89" s="451"/>
      <c r="Q89" s="452"/>
      <c r="R89" s="53"/>
      <c r="U89" s="466"/>
      <c r="V89" s="99" t="str">
        <f t="shared" si="16"/>
        <v>Micaxisto (61) 3233-9368</v>
      </c>
      <c r="W89" s="99">
        <f t="shared" si="16"/>
        <v>0</v>
      </c>
      <c r="X89" s="99">
        <f t="shared" si="17"/>
        <v>0</v>
      </c>
      <c r="Y89" s="99">
        <f t="shared" si="14"/>
        <v>4.4999999999999998E-2</v>
      </c>
      <c r="Z89" s="99">
        <f t="shared" si="14"/>
        <v>0.1</v>
      </c>
      <c r="AA89" s="99">
        <f t="shared" si="14"/>
        <v>4.32</v>
      </c>
      <c r="AB89" s="99">
        <f t="shared" si="14"/>
        <v>5.2</v>
      </c>
      <c r="AC89" s="100">
        <f t="shared" si="18"/>
        <v>0.75776223776223772</v>
      </c>
      <c r="AD89" s="100">
        <f t="shared" si="19"/>
        <v>0.83139534883720934</v>
      </c>
      <c r="AE89" s="100">
        <f t="shared" si="15"/>
        <v>6.7891575865994476</v>
      </c>
      <c r="AS89" s="25"/>
      <c r="AT89" s="25"/>
      <c r="AU89" s="25"/>
      <c r="AV89" s="25"/>
      <c r="AW89" s="25"/>
      <c r="AX89" s="25"/>
    </row>
    <row r="90" spans="13:50" ht="19.5" customHeight="1" x14ac:dyDescent="0.25">
      <c r="M90" s="364"/>
      <c r="N90" s="365"/>
      <c r="O90" s="448"/>
      <c r="P90" s="448"/>
      <c r="Q90" s="92"/>
      <c r="R90" s="53"/>
      <c r="U90" s="466"/>
      <c r="V90" s="99" t="str">
        <f t="shared" si="16"/>
        <v xml:space="preserve">Pó de brita Fmx (62) 3924 8565 </v>
      </c>
      <c r="W90" s="99">
        <f t="shared" si="16"/>
        <v>0</v>
      </c>
      <c r="X90" s="99">
        <f t="shared" si="17"/>
        <v>0</v>
      </c>
      <c r="Y90" s="99">
        <f t="shared" si="14"/>
        <v>0</v>
      </c>
      <c r="Z90" s="99">
        <f t="shared" si="14"/>
        <v>0</v>
      </c>
      <c r="AA90" s="99">
        <f t="shared" si="14"/>
        <v>4.99</v>
      </c>
      <c r="AB90" s="99">
        <f t="shared" si="14"/>
        <v>6</v>
      </c>
      <c r="AC90" s="100">
        <f t="shared" si="18"/>
        <v>2.5258741258741257</v>
      </c>
      <c r="AD90" s="100">
        <f t="shared" si="19"/>
        <v>0.59385382059800662</v>
      </c>
      <c r="AE90" s="100">
        <f t="shared" si="15"/>
        <v>9.1197279464721319</v>
      </c>
      <c r="AS90" s="25"/>
      <c r="AT90" s="25"/>
      <c r="AU90" s="25"/>
      <c r="AV90" s="25"/>
      <c r="AW90" s="25"/>
      <c r="AX90" s="25"/>
    </row>
    <row r="91" spans="13:50" ht="19.5" customHeight="1" x14ac:dyDescent="0.25">
      <c r="M91" s="364"/>
      <c r="N91" s="365"/>
      <c r="O91" s="448" t="s">
        <v>93</v>
      </c>
      <c r="P91" s="448"/>
      <c r="Q91" s="92">
        <v>1</v>
      </c>
      <c r="R91" s="53"/>
      <c r="U91" s="466"/>
      <c r="V91" s="99" t="str">
        <f t="shared" si="16"/>
        <v>Remax Mistel (61) 99414-1975</v>
      </c>
      <c r="W91" s="99">
        <f t="shared" si="16"/>
        <v>0</v>
      </c>
      <c r="X91" s="99">
        <f t="shared" si="17"/>
        <v>43.8</v>
      </c>
      <c r="Y91" s="99">
        <f t="shared" si="14"/>
        <v>4.4999999999999998E-2</v>
      </c>
      <c r="Z91" s="99">
        <f t="shared" si="14"/>
        <v>0.1</v>
      </c>
      <c r="AA91" s="99">
        <f t="shared" si="14"/>
        <v>2.1949999999999998</v>
      </c>
      <c r="AB91" s="99">
        <f t="shared" si="14"/>
        <v>2.6</v>
      </c>
      <c r="AC91" s="100">
        <f t="shared" si="18"/>
        <v>11.282237762237763</v>
      </c>
      <c r="AD91" s="100">
        <f t="shared" si="19"/>
        <v>8.8959302325581397</v>
      </c>
      <c r="AE91" s="100">
        <f t="shared" si="15"/>
        <v>22.778167994795901</v>
      </c>
      <c r="AS91" s="25"/>
      <c r="AT91" s="25"/>
      <c r="AU91" s="25"/>
      <c r="AV91" s="25"/>
      <c r="AW91" s="25"/>
      <c r="AX91" s="25"/>
    </row>
    <row r="92" spans="13:50" ht="19.5" customHeight="1" x14ac:dyDescent="0.25">
      <c r="M92" s="364"/>
      <c r="N92" s="365"/>
      <c r="O92" s="448"/>
      <c r="P92" s="448"/>
      <c r="Q92" s="92"/>
      <c r="R92" s="53"/>
      <c r="U92" s="466"/>
      <c r="V92" s="99">
        <f t="shared" si="16"/>
        <v>0</v>
      </c>
      <c r="W92" s="99">
        <f t="shared" si="16"/>
        <v>0</v>
      </c>
      <c r="X92" s="99">
        <f t="shared" si="17"/>
        <v>0</v>
      </c>
      <c r="Y92" s="99">
        <f t="shared" si="14"/>
        <v>0</v>
      </c>
      <c r="Z92" s="99">
        <f t="shared" si="14"/>
        <v>0</v>
      </c>
      <c r="AA92" s="99">
        <f t="shared" si="14"/>
        <v>0</v>
      </c>
      <c r="AB92" s="99">
        <f t="shared" si="14"/>
        <v>0</v>
      </c>
      <c r="AC92" s="100">
        <f t="shared" si="18"/>
        <v>0</v>
      </c>
      <c r="AD92" s="100">
        <f t="shared" si="19"/>
        <v>0</v>
      </c>
      <c r="AE92" s="100">
        <f t="shared" si="15"/>
        <v>0</v>
      </c>
      <c r="AS92" s="25"/>
      <c r="AT92" s="25"/>
      <c r="AU92" s="25"/>
      <c r="AV92" s="25"/>
      <c r="AW92" s="25"/>
      <c r="AX92" s="25"/>
    </row>
    <row r="93" spans="13:50" ht="19.5" customHeight="1" x14ac:dyDescent="0.25">
      <c r="M93" s="101"/>
      <c r="N93" s="25"/>
      <c r="O93" s="25"/>
      <c r="P93" s="25"/>
      <c r="Q93" s="25"/>
      <c r="R93" s="53"/>
      <c r="U93" s="466"/>
      <c r="V93" s="99">
        <f t="shared" si="16"/>
        <v>0</v>
      </c>
      <c r="W93" s="99">
        <f t="shared" si="16"/>
        <v>0</v>
      </c>
      <c r="X93" s="99">
        <f t="shared" si="17"/>
        <v>0</v>
      </c>
      <c r="Y93" s="99">
        <f t="shared" si="14"/>
        <v>0</v>
      </c>
      <c r="Z93" s="99">
        <f t="shared" si="14"/>
        <v>0</v>
      </c>
      <c r="AA93" s="99">
        <f t="shared" si="14"/>
        <v>0</v>
      </c>
      <c r="AB93" s="99">
        <f t="shared" si="14"/>
        <v>0</v>
      </c>
      <c r="AC93" s="100">
        <f t="shared" si="18"/>
        <v>0</v>
      </c>
      <c r="AD93" s="100">
        <f t="shared" si="19"/>
        <v>0</v>
      </c>
      <c r="AE93" s="100">
        <f t="shared" si="15"/>
        <v>0</v>
      </c>
      <c r="AS93" s="25"/>
      <c r="AT93" s="25"/>
      <c r="AU93" s="25"/>
      <c r="AV93" s="25"/>
      <c r="AW93" s="25"/>
      <c r="AX93" s="25"/>
    </row>
    <row r="94" spans="13:50" ht="19.5" customHeight="1" x14ac:dyDescent="0.25">
      <c r="M94" s="101"/>
      <c r="N94" s="25"/>
      <c r="O94" s="365" t="s">
        <v>264</v>
      </c>
      <c r="P94" s="365"/>
      <c r="Q94" s="365"/>
      <c r="R94" s="53"/>
      <c r="U94" s="466"/>
      <c r="V94" s="99">
        <f t="shared" si="16"/>
        <v>0</v>
      </c>
      <c r="W94" s="99">
        <f t="shared" si="16"/>
        <v>0</v>
      </c>
      <c r="X94" s="99">
        <f t="shared" si="17"/>
        <v>0</v>
      </c>
      <c r="Y94" s="99">
        <f t="shared" si="14"/>
        <v>0</v>
      </c>
      <c r="Z94" s="99">
        <f t="shared" si="14"/>
        <v>0</v>
      </c>
      <c r="AA94" s="99">
        <f t="shared" si="14"/>
        <v>0</v>
      </c>
      <c r="AB94" s="99">
        <f t="shared" si="14"/>
        <v>0</v>
      </c>
      <c r="AC94" s="100">
        <f t="shared" si="18"/>
        <v>0</v>
      </c>
      <c r="AD94" s="100">
        <f t="shared" si="19"/>
        <v>0</v>
      </c>
      <c r="AE94" s="100">
        <f t="shared" si="15"/>
        <v>0</v>
      </c>
      <c r="AS94" s="25"/>
      <c r="AT94" s="25"/>
      <c r="AU94" s="25"/>
      <c r="AV94" s="25"/>
      <c r="AW94" s="25"/>
      <c r="AX94" s="25"/>
    </row>
    <row r="95" spans="13:50" ht="19.5" customHeight="1" thickBot="1" x14ac:dyDescent="0.3">
      <c r="M95" s="69"/>
      <c r="N95" s="70"/>
      <c r="O95" s="70"/>
      <c r="P95" s="70"/>
      <c r="Q95" s="70"/>
      <c r="R95" s="71"/>
      <c r="U95" s="466"/>
      <c r="V95" s="99">
        <f t="shared" si="16"/>
        <v>0</v>
      </c>
      <c r="W95" s="99">
        <f t="shared" si="16"/>
        <v>0</v>
      </c>
      <c r="X95" s="99">
        <f t="shared" si="17"/>
        <v>0</v>
      </c>
      <c r="Y95" s="99">
        <f t="shared" si="14"/>
        <v>0</v>
      </c>
      <c r="Z95" s="99">
        <f t="shared" si="14"/>
        <v>0</v>
      </c>
      <c r="AA95" s="99">
        <f t="shared" si="14"/>
        <v>0</v>
      </c>
      <c r="AB95" s="99">
        <f t="shared" si="14"/>
        <v>0</v>
      </c>
      <c r="AC95" s="100">
        <f t="shared" si="18"/>
        <v>0</v>
      </c>
      <c r="AD95" s="100">
        <f t="shared" si="19"/>
        <v>0</v>
      </c>
      <c r="AE95" s="100">
        <f t="shared" si="15"/>
        <v>0</v>
      </c>
      <c r="AS95" s="25"/>
      <c r="AT95" s="25"/>
      <c r="AU95" s="25"/>
      <c r="AV95" s="25"/>
      <c r="AW95" s="25"/>
      <c r="AX95" s="25"/>
    </row>
    <row r="96" spans="13:50" ht="19.5" customHeight="1" thickBot="1" x14ac:dyDescent="0.3">
      <c r="AS96" s="25"/>
      <c r="AT96" s="25"/>
      <c r="AU96" s="25"/>
      <c r="AV96" s="25"/>
      <c r="AW96" s="25"/>
      <c r="AX96" s="25"/>
    </row>
    <row r="97" spans="1:50" ht="19.5" customHeight="1" x14ac:dyDescent="0.25">
      <c r="A97" s="26"/>
      <c r="M97" s="48"/>
      <c r="N97" s="49"/>
      <c r="O97" s="49"/>
      <c r="P97" s="49"/>
      <c r="Q97" s="49"/>
      <c r="R97" s="50"/>
      <c r="AS97" s="25"/>
      <c r="AT97" s="25"/>
      <c r="AU97" s="25"/>
      <c r="AV97" s="25"/>
      <c r="AW97" s="25"/>
      <c r="AX97" s="25"/>
    </row>
    <row r="98" spans="1:50" ht="19.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c r="AS98" s="25"/>
      <c r="AT98" s="25"/>
      <c r="AU98" s="25"/>
      <c r="AV98" s="25"/>
      <c r="AW98" s="25"/>
      <c r="AX98" s="25"/>
    </row>
    <row r="99" spans="1:50" ht="19.5" customHeight="1" x14ac:dyDescent="0.25">
      <c r="A99" s="94"/>
      <c r="M99" s="364" t="s">
        <v>262</v>
      </c>
      <c r="N99" s="453"/>
      <c r="O99" s="103">
        <f>$AC$30</f>
        <v>960</v>
      </c>
      <c r="P99" s="103">
        <f>$AC$31</f>
        <v>120</v>
      </c>
      <c r="Q99" s="103">
        <f>$AC$32</f>
        <v>864</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c r="AS99" s="25"/>
      <c r="AT99" s="25"/>
      <c r="AU99" s="25"/>
      <c r="AV99" s="25"/>
      <c r="AW99" s="25"/>
      <c r="AX99" s="25"/>
    </row>
    <row r="100" spans="1:50" ht="19.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c r="AS100" s="25"/>
      <c r="AT100" s="25"/>
      <c r="AU100" s="25"/>
      <c r="AV100" s="25"/>
      <c r="AW100" s="25"/>
      <c r="AX100" s="25"/>
    </row>
    <row r="101" spans="1:50" ht="19.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c r="AS101" s="25"/>
      <c r="AT101" s="25"/>
      <c r="AU101" s="25"/>
      <c r="AV101" s="25"/>
      <c r="AW101" s="25"/>
      <c r="AX101" s="25"/>
    </row>
    <row r="102" spans="1:50" ht="19.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c r="AS102" s="25"/>
      <c r="AT102" s="25"/>
      <c r="AU102" s="25"/>
      <c r="AV102" s="25"/>
      <c r="AW102" s="25"/>
      <c r="AX102" s="25"/>
    </row>
    <row r="103" spans="1:50" ht="19.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c r="AS103" s="25"/>
      <c r="AT103" s="25"/>
      <c r="AU103" s="25"/>
      <c r="AV103" s="25"/>
      <c r="AW103" s="25"/>
      <c r="AX103" s="25"/>
    </row>
    <row r="104" spans="1:50" ht="19.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c r="AS104" s="25"/>
      <c r="AT104" s="25"/>
      <c r="AU104" s="25"/>
      <c r="AV104" s="25"/>
      <c r="AW104" s="25"/>
      <c r="AX104" s="25"/>
    </row>
    <row r="105" spans="1:50" ht="19.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c r="AS105" s="25"/>
      <c r="AT105" s="25"/>
      <c r="AU105" s="25"/>
      <c r="AV105" s="25"/>
      <c r="AW105" s="25"/>
      <c r="AX105" s="25"/>
    </row>
    <row r="106" spans="1:50" ht="19.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50" ht="19.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50" ht="19.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50" ht="19.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50" ht="19.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50" ht="19.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50" ht="19.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19.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19.5" customHeight="1" x14ac:dyDescent="0.25">
      <c r="M114" s="101" t="s">
        <v>262</v>
      </c>
      <c r="N114" s="103">
        <f>AS26</f>
        <v>4.8</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19.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19.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19.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19.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19.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19.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19.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19.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19.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19.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19.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19.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19.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19.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19.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19.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19.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19.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19.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19.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19.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19.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19.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19.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19.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19.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19.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19.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19.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19.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19.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19.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19.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19.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19.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19.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19.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19.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19.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19.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19.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19.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19.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19.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19.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19.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19.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19.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19.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19.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19.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19.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19.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19.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19.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19.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19.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19.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19.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19.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19.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19.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19.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19.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19.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1">
    <mergeCell ref="AQ4:AR5"/>
    <mergeCell ref="AV4:AV5"/>
    <mergeCell ref="V6:X6"/>
    <mergeCell ref="AQ6:AR6"/>
    <mergeCell ref="Z7:AB7"/>
    <mergeCell ref="AF7:AM7"/>
    <mergeCell ref="AQ7:AR7"/>
    <mergeCell ref="AQ8:AR8"/>
    <mergeCell ref="AV16:AV17"/>
    <mergeCell ref="M2:R2"/>
    <mergeCell ref="U3:X5"/>
    <mergeCell ref="Y3:AD6"/>
    <mergeCell ref="O4:P4"/>
    <mergeCell ref="AP4:AP5"/>
    <mergeCell ref="AD8:AD11"/>
    <mergeCell ref="AG8:AH8"/>
    <mergeCell ref="AI8:AJ8"/>
    <mergeCell ref="AM18:AM20"/>
    <mergeCell ref="AF15:AF17"/>
    <mergeCell ref="AJ15:AJ17"/>
    <mergeCell ref="AK15:AK17"/>
    <mergeCell ref="AL15:AL17"/>
    <mergeCell ref="AM15:AM17"/>
    <mergeCell ref="AL18:AL20"/>
    <mergeCell ref="M5:N25"/>
    <mergeCell ref="M4:N4"/>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AB29:AC29"/>
    <mergeCell ref="AQ29:AR29"/>
    <mergeCell ref="E30:I30"/>
    <mergeCell ref="AQ30:AR30"/>
    <mergeCell ref="B35:C36"/>
    <mergeCell ref="E35:I35"/>
    <mergeCell ref="O34:Q34"/>
    <mergeCell ref="AQ34:AR34"/>
    <mergeCell ref="B16:I16"/>
    <mergeCell ref="AP16:AP17"/>
    <mergeCell ref="AQ18:AR18"/>
    <mergeCell ref="AQ19:AR19"/>
    <mergeCell ref="B20:E20"/>
    <mergeCell ref="V20:X20"/>
    <mergeCell ref="AQ20:AR20"/>
    <mergeCell ref="Z21:AB21"/>
    <mergeCell ref="AQ16:AR17"/>
    <mergeCell ref="U17:X19"/>
    <mergeCell ref="Y17:AD20"/>
    <mergeCell ref="B18:D18"/>
    <mergeCell ref="F18:H18"/>
    <mergeCell ref="AF18:AF20"/>
    <mergeCell ref="AJ18:AJ20"/>
    <mergeCell ref="AK18:AK20"/>
    <mergeCell ref="AB35:AC35"/>
    <mergeCell ref="AQ35:AR35"/>
    <mergeCell ref="O31:Q31"/>
    <mergeCell ref="AQ31:AR31"/>
    <mergeCell ref="AQ32:AR32"/>
    <mergeCell ref="B34:I34"/>
    <mergeCell ref="O33:Q33"/>
    <mergeCell ref="AQ33:AR33"/>
    <mergeCell ref="AD22:AD23"/>
    <mergeCell ref="AP25:AP26"/>
    <mergeCell ref="AQ25:AR26"/>
    <mergeCell ref="B26:I26"/>
    <mergeCell ref="U26:Z26"/>
    <mergeCell ref="B27:C28"/>
    <mergeCell ref="E27:I27"/>
    <mergeCell ref="AP27:AP36"/>
    <mergeCell ref="AQ27:AR27"/>
    <mergeCell ref="E28:I28"/>
    <mergeCell ref="B31:I33"/>
    <mergeCell ref="AQ28:AR28"/>
    <mergeCell ref="B29:C30"/>
    <mergeCell ref="E29:I29"/>
    <mergeCell ref="M29:N34"/>
    <mergeCell ref="O29:Q29"/>
    <mergeCell ref="B37:I38"/>
    <mergeCell ref="M36:R36"/>
    <mergeCell ref="AB36:AC36"/>
    <mergeCell ref="AQ36:AR36"/>
    <mergeCell ref="B39:I39"/>
    <mergeCell ref="M38:N42"/>
    <mergeCell ref="O38:Q38"/>
    <mergeCell ref="AB38:AC38"/>
    <mergeCell ref="B40:C40"/>
    <mergeCell ref="E40:I40"/>
    <mergeCell ref="P39:Q39"/>
    <mergeCell ref="AB39:AC39"/>
    <mergeCell ref="AP39:AQ39"/>
    <mergeCell ref="B41:C41"/>
    <mergeCell ref="AP40:AQ40"/>
    <mergeCell ref="B42:C42"/>
    <mergeCell ref="O41:Q41"/>
    <mergeCell ref="AP41:AQ41"/>
    <mergeCell ref="E36:I36"/>
    <mergeCell ref="E48:I48"/>
    <mergeCell ref="E49:I49"/>
    <mergeCell ref="B59:C59"/>
    <mergeCell ref="O56:Q64"/>
    <mergeCell ref="U56:U68"/>
    <mergeCell ref="B43:C43"/>
    <mergeCell ref="O42:Q42"/>
    <mergeCell ref="AP42:AQ42"/>
    <mergeCell ref="B44:C44"/>
    <mergeCell ref="AP43:AQ43"/>
    <mergeCell ref="B45:C45"/>
    <mergeCell ref="M44:R44"/>
    <mergeCell ref="AP44:AQ44"/>
    <mergeCell ref="B46:C46"/>
    <mergeCell ref="U45:V45"/>
    <mergeCell ref="X45:Z45"/>
    <mergeCell ref="X46:Y46"/>
    <mergeCell ref="O45:Q46"/>
    <mergeCell ref="O48:Q49"/>
    <mergeCell ref="B64:E66"/>
    <mergeCell ref="F64:I66"/>
    <mergeCell ref="AQ57:AR57"/>
    <mergeCell ref="O54:Q54"/>
    <mergeCell ref="U54:U55"/>
    <mergeCell ref="W54:W55"/>
    <mergeCell ref="X54:AA54"/>
    <mergeCell ref="AP54:AP55"/>
    <mergeCell ref="B57:C57"/>
    <mergeCell ref="M54:N68"/>
    <mergeCell ref="E59:I59"/>
    <mergeCell ref="B60:I63"/>
    <mergeCell ref="AQ58:AR58"/>
    <mergeCell ref="B67:E67"/>
    <mergeCell ref="F67:I67"/>
    <mergeCell ref="O66:Q67"/>
    <mergeCell ref="O68:Q68"/>
    <mergeCell ref="E55:I55"/>
    <mergeCell ref="B56:C56"/>
    <mergeCell ref="B58:C58"/>
    <mergeCell ref="V71:V72"/>
    <mergeCell ref="W71:W72"/>
    <mergeCell ref="X71:Z71"/>
    <mergeCell ref="M72:N92"/>
    <mergeCell ref="O83:P83"/>
    <mergeCell ref="O84:P84"/>
    <mergeCell ref="U85:U86"/>
    <mergeCell ref="V85:V86"/>
    <mergeCell ref="W85:W86"/>
    <mergeCell ref="X85:AE85"/>
    <mergeCell ref="O86:Q86"/>
    <mergeCell ref="O72:Q72"/>
    <mergeCell ref="O73:Q73"/>
    <mergeCell ref="U73:U82"/>
    <mergeCell ref="O74:P74"/>
    <mergeCell ref="O75:P75"/>
    <mergeCell ref="O76:P76"/>
    <mergeCell ref="O78:Q78"/>
    <mergeCell ref="O80:Q80"/>
    <mergeCell ref="O81:Q81"/>
    <mergeCell ref="O82:P82"/>
    <mergeCell ref="V98:V99"/>
    <mergeCell ref="W98:W99"/>
    <mergeCell ref="X98:AO98"/>
    <mergeCell ref="M99:N99"/>
    <mergeCell ref="U87:U95"/>
    <mergeCell ref="O88:Q88"/>
    <mergeCell ref="O89:Q89"/>
    <mergeCell ref="O90:P90"/>
    <mergeCell ref="O91:P91"/>
    <mergeCell ref="O92:P92"/>
    <mergeCell ref="O94:Q94"/>
    <mergeCell ref="U115:U130"/>
    <mergeCell ref="N158:P158"/>
    <mergeCell ref="N159:P159"/>
    <mergeCell ref="U131:U150"/>
    <mergeCell ref="U151:U159"/>
    <mergeCell ref="U160:U169"/>
    <mergeCell ref="U170:U179"/>
    <mergeCell ref="E56:I56"/>
    <mergeCell ref="E57:I57"/>
    <mergeCell ref="E58:I58"/>
    <mergeCell ref="M100:N100"/>
    <mergeCell ref="M104:N109"/>
    <mergeCell ref="O104:Q104"/>
    <mergeCell ref="O105:Q105"/>
    <mergeCell ref="O106:Q106"/>
    <mergeCell ref="O107:Q107"/>
    <mergeCell ref="O108:Q108"/>
    <mergeCell ref="O109:Q109"/>
    <mergeCell ref="U100:U114"/>
    <mergeCell ref="M98:N98"/>
    <mergeCell ref="U98:U99"/>
    <mergeCell ref="U71:U72"/>
    <mergeCell ref="AT50:AV50"/>
    <mergeCell ref="E41:I41"/>
    <mergeCell ref="E42:I42"/>
    <mergeCell ref="E43:I43"/>
    <mergeCell ref="E44:I44"/>
    <mergeCell ref="E45:I45"/>
    <mergeCell ref="E46:I46"/>
    <mergeCell ref="E47:I47"/>
    <mergeCell ref="AQ54:AQ55"/>
    <mergeCell ref="AS54:AS55"/>
    <mergeCell ref="B54:I54"/>
    <mergeCell ref="B55:C55"/>
    <mergeCell ref="X48:Y48"/>
    <mergeCell ref="X49:Y49"/>
    <mergeCell ref="O50:P50"/>
    <mergeCell ref="O55:Q55"/>
    <mergeCell ref="B47:C47"/>
    <mergeCell ref="M46:N50"/>
    <mergeCell ref="B48:C48"/>
    <mergeCell ref="O47:P47"/>
    <mergeCell ref="X47:Y47"/>
    <mergeCell ref="B49:C49"/>
    <mergeCell ref="B50:I53"/>
    <mergeCell ref="V54:V55"/>
  </mergeCells>
  <dataValidations count="5">
    <dataValidation type="list" allowBlank="1" showInputMessage="1" showErrorMessage="1" sqref="O42:Q42">
      <formula1>$AK$29:$AK$38</formula1>
    </dataValidation>
    <dataValidation type="list" allowBlank="1" showInputMessage="1" showErrorMessage="1" sqref="Q82:Q84 Q90:Q92 Q74:Q76 Q47 Q50">
      <formula1>$AI$29:$AI$40</formula1>
    </dataValidation>
    <dataValidation type="list" allowBlank="1" showInputMessage="1" showErrorMessage="1" sqref="P39:Q39">
      <formula1>$AE$31:$AE$35</formula1>
    </dataValidation>
    <dataValidation type="list" allowBlank="1" showInputMessage="1" showErrorMessage="1" sqref="O68 O176 N159 O174">
      <formula1>$AG$29:$AG$30</formula1>
    </dataValidation>
    <dataValidation type="list" allowBlank="1" showInputMessage="1" showErrorMessage="1" sqref="O105:Q109">
      <formula1>$V$170:$V$179</formula1>
    </dataValidation>
  </dataValidations>
  <hyperlinks>
    <hyperlink ref="M4" location="Apresentação!A1" display="Voltar"/>
    <hyperlink ref="M4:N4" location="Painel!A1" display="Voltar"/>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corretivos'!$C$3:$C$62</xm:f>
          </x14:formula1>
          <xm:sqref>O74:P76 O82:P84 O90:P92</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O38" sqref="O38:Q39"/>
    </sheetView>
  </sheetViews>
  <sheetFormatPr defaultRowHeight="19.5" customHeight="1" outlineLevelCol="1" x14ac:dyDescent="0.25"/>
  <cols>
    <col min="1" max="1" width="5.7109375" style="11" customWidth="1"/>
    <col min="2" max="2" width="37.28515625" style="11" customWidth="1"/>
    <col min="3" max="3" width="29.5703125" style="11" customWidth="1"/>
    <col min="4" max="9" width="16.7109375" style="11" customWidth="1"/>
    <col min="10" max="10" width="5.85546875" style="66" customWidth="1"/>
    <col min="11" max="12" width="0" style="11" hidden="1" customWidth="1"/>
    <col min="13" max="13" width="36.5703125" style="11" customWidth="1"/>
    <col min="14" max="14" width="13.140625" style="11" bestFit="1" customWidth="1"/>
    <col min="15" max="15" width="29.7109375" style="11" customWidth="1"/>
    <col min="16" max="16" width="18.42578125" style="11" customWidth="1"/>
    <col min="17" max="17" width="53.5703125" style="11" customWidth="1"/>
    <col min="18" max="18" width="8"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7.42578125" style="11" hidden="1" customWidth="1" outlineLevel="1"/>
    <col min="25" max="25" width="22.42578125" style="11" hidden="1" customWidth="1" outlineLevel="1"/>
    <col min="26" max="26" width="22"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36.140625" style="11" hidden="1" customWidth="1" outlineLevel="1"/>
    <col min="32" max="32" width="25.5703125" style="11" hidden="1" customWidth="1" outlineLevel="1"/>
    <col min="33" max="33" width="22" style="11" hidden="1" customWidth="1" outlineLevel="1"/>
    <col min="34" max="34" width="21.5703125" style="11" hidden="1" customWidth="1" outlineLevel="1"/>
    <col min="35" max="35" width="24.7109375" style="11" hidden="1" customWidth="1" outlineLevel="1"/>
    <col min="36" max="36" width="14.28515625" style="11" hidden="1" customWidth="1" outlineLevel="1"/>
    <col min="37" max="37" width="32.42578125" style="11" hidden="1" customWidth="1" outlineLevel="1"/>
    <col min="38" max="38" width="13.1406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13.7109375" style="11" hidden="1" customWidth="1" outlineLevel="1"/>
    <col min="47" max="47" width="31.42578125" style="11" hidden="1" customWidth="1" outlineLevel="1"/>
    <col min="48" max="48" width="9.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19.5" customHeight="1" thickBot="1" x14ac:dyDescent="0.3">
      <c r="A1" s="23"/>
    </row>
    <row r="2" spans="1:54" ht="19.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19.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19.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19.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3.85</v>
      </c>
      <c r="AT5" s="55">
        <f>$AC$31</f>
        <v>0.69300000000000006</v>
      </c>
      <c r="AU5" s="55">
        <f>$AC$32</f>
        <v>2.9260000000000002</v>
      </c>
      <c r="AV5" s="509"/>
      <c r="AW5" s="47"/>
      <c r="AX5" s="47"/>
      <c r="AY5" s="47"/>
      <c r="AZ5" s="47"/>
      <c r="BA5" s="47"/>
      <c r="BB5" s="47"/>
    </row>
    <row r="6" spans="1:54" ht="19.5" customHeight="1" x14ac:dyDescent="0.25">
      <c r="M6" s="364"/>
      <c r="N6" s="453"/>
      <c r="O6" s="51" t="s">
        <v>3</v>
      </c>
      <c r="P6" s="56">
        <v>1</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0.69300000000000017</v>
      </c>
      <c r="AU6" s="55">
        <f>IFERROR((VLOOKUP(AQ6,$V$100:$AB$179,7,0)*0.01)*AV6,0)</f>
        <v>0</v>
      </c>
      <c r="AV6" s="55">
        <f>IFERROR($AT$5*Q74/(VLOOKUP(AQ6,$V$100:$AB$179,5,0)/100),0)</f>
        <v>3.9600000000000004</v>
      </c>
      <c r="AW6" s="47"/>
      <c r="AX6" s="47"/>
      <c r="AY6" s="47"/>
      <c r="AZ6" s="47"/>
      <c r="BA6" s="47"/>
      <c r="BB6" s="47"/>
    </row>
    <row r="7" spans="1:54" ht="19.5" customHeight="1" x14ac:dyDescent="0.25">
      <c r="M7" s="364"/>
      <c r="N7" s="453"/>
      <c r="O7" s="51" t="s">
        <v>4</v>
      </c>
      <c r="P7" s="32">
        <v>0.5</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0</v>
      </c>
      <c r="AU7" s="55">
        <f>IFERROR((VLOOKUP(AQ7,$V$100:$AB$179,7,0)*0.01)*AV7,0)</f>
        <v>0</v>
      </c>
      <c r="AV7" s="55">
        <f>IFERROR($AT$5*Q75/(VLOOKUP(AQ7,$V$100:$AB$179,5,0)/100),0)</f>
        <v>0</v>
      </c>
      <c r="AW7" s="47"/>
      <c r="AX7" s="47"/>
      <c r="AY7" s="47"/>
      <c r="AZ7" s="47"/>
      <c r="BA7" s="47"/>
      <c r="BB7" s="47"/>
    </row>
    <row r="8" spans="1:54" ht="19.5" customHeight="1" thickBot="1" x14ac:dyDescent="0.3">
      <c r="M8" s="364"/>
      <c r="N8" s="453"/>
      <c r="O8" s="51" t="s">
        <v>5</v>
      </c>
      <c r="P8" s="56">
        <v>0.3</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19.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7.7000000000000002E-3</v>
      </c>
      <c r="AL9" s="457">
        <f>(AM9*1000)/$E$18</f>
        <v>7.7000000000000002E-3</v>
      </c>
      <c r="AM9" s="456">
        <v>1</v>
      </c>
      <c r="AO9" s="47"/>
      <c r="AP9" s="47"/>
      <c r="AQ9" s="47"/>
      <c r="AR9" s="47"/>
      <c r="AS9" s="59">
        <f>AS5-(SUM(AS6:AS8))</f>
        <v>3.85</v>
      </c>
      <c r="AT9" s="59">
        <f>AT5-(SUM(AT6:AT8))</f>
        <v>0</v>
      </c>
      <c r="AU9" s="59">
        <f>AU5-(SUM(AU6:AU8))</f>
        <v>2.9260000000000002</v>
      </c>
      <c r="AV9" s="59"/>
      <c r="AW9" s="47"/>
      <c r="AX9" s="47"/>
      <c r="AY9" s="47"/>
      <c r="AZ9" s="47"/>
      <c r="BA9" s="47"/>
      <c r="BB9" s="47"/>
    </row>
    <row r="10" spans="1:54" ht="19.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c r="AX10" s="47"/>
      <c r="AY10" s="47"/>
      <c r="AZ10" s="47"/>
      <c r="BA10" s="47"/>
      <c r="BB10" s="47"/>
    </row>
    <row r="11" spans="1:54" ht="19.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3.85</v>
      </c>
      <c r="AT11" s="55">
        <f t="shared" ref="AT11:AU11" si="0">AT9</f>
        <v>0</v>
      </c>
      <c r="AU11" s="55">
        <f t="shared" si="0"/>
        <v>2.9260000000000002</v>
      </c>
      <c r="AV11" s="509"/>
      <c r="AW11" s="47"/>
      <c r="AX11" s="47"/>
      <c r="AY11" s="47"/>
      <c r="AZ11" s="47"/>
      <c r="BA11" s="47"/>
      <c r="BB11" s="47"/>
    </row>
    <row r="12" spans="1:54" ht="19.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3.8500000000000001E-3</v>
      </c>
      <c r="AM12" s="456">
        <v>0.5</v>
      </c>
      <c r="AO12" s="47"/>
      <c r="AP12" s="54">
        <v>7</v>
      </c>
      <c r="AQ12" s="447" t="str">
        <f>O82</f>
        <v>Cloreto de potássio</v>
      </c>
      <c r="AR12" s="447"/>
      <c r="AS12" s="55">
        <f>IFERROR((VLOOKUP(AQ12,$V$100:$AB$179,3,0)*0.01)*AV12,0)</f>
        <v>0</v>
      </c>
      <c r="AT12" s="55">
        <f>IFERROR((VLOOKUP(AQ12,$V$100:$AB$179,5,0)*0.01)*AV12,0)</f>
        <v>0</v>
      </c>
      <c r="AU12" s="55">
        <f>IFERROR((VLOOKUP(AQ12,$V$100:$AB$179,7,0)*0.01)*AV12,0)</f>
        <v>1.4630000000000001</v>
      </c>
      <c r="AV12" s="55">
        <f>IFERROR($AU$11*Q82/(VLOOKUP(AQ12,$V$100:$AB$179,7,0)/100),0)</f>
        <v>2.4383333333333335</v>
      </c>
      <c r="AW12" s="47"/>
      <c r="AX12" s="47"/>
      <c r="AY12" s="47"/>
      <c r="AZ12" s="47"/>
      <c r="BA12" s="47"/>
      <c r="BB12" s="47"/>
    </row>
    <row r="13" spans="1:54" ht="19.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1.4630000000000001</v>
      </c>
      <c r="AV13" s="55">
        <f>IFERROR($AU$11*Q83/(VLOOKUP(AQ13,$V$100:$AB$179,7,0)/100),0)</f>
        <v>18.287500000000001</v>
      </c>
      <c r="AW13" s="47"/>
      <c r="AX13" s="47"/>
      <c r="AY13" s="47"/>
      <c r="AZ13" s="47"/>
      <c r="BA13" s="47"/>
      <c r="BB13" s="47"/>
    </row>
    <row r="14" spans="1:54" ht="19.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19.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7.7000000000000002E-3</v>
      </c>
      <c r="AM15" s="456">
        <v>1</v>
      </c>
      <c r="AO15" s="47"/>
      <c r="AP15" s="47"/>
      <c r="AQ15" s="47"/>
      <c r="AR15" s="47"/>
      <c r="AS15" s="59">
        <f>AS11-(SUM(AS12:AS14))</f>
        <v>3.85</v>
      </c>
      <c r="AT15" s="59">
        <f>AT11-(SUM(AT12:AT14))</f>
        <v>0</v>
      </c>
      <c r="AU15" s="59">
        <f>AU11-(SUM(AU12:AU14))</f>
        <v>0</v>
      </c>
      <c r="AV15" s="47"/>
      <c r="AW15" s="47"/>
      <c r="AX15" s="47"/>
      <c r="AY15" s="47"/>
      <c r="AZ15" s="47"/>
      <c r="BA15" s="47"/>
      <c r="BB15" s="47"/>
    </row>
    <row r="16" spans="1:54" ht="19.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19.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3.85</v>
      </c>
      <c r="AT17" s="55">
        <f t="shared" ref="AT17:AU17" si="1">AT15</f>
        <v>0</v>
      </c>
      <c r="AU17" s="55">
        <f t="shared" si="1"/>
        <v>0</v>
      </c>
      <c r="AV17" s="509"/>
      <c r="AW17" s="47"/>
      <c r="AX17" s="47"/>
      <c r="AY17" s="47"/>
      <c r="AZ17" s="47"/>
      <c r="BA17" s="47"/>
      <c r="BB17" s="47"/>
    </row>
    <row r="18" spans="2:54" ht="19.5" customHeight="1" x14ac:dyDescent="0.25">
      <c r="B18" s="457" t="s">
        <v>134</v>
      </c>
      <c r="C18" s="457"/>
      <c r="D18" s="457"/>
      <c r="E18" s="60">
        <f>IFERROR(IF(ISERR(P35),Q35,IF(ISERR(Q35),P35)),"-")</f>
        <v>129870.12987012987</v>
      </c>
      <c r="F18" s="457" t="s">
        <v>125</v>
      </c>
      <c r="G18" s="457"/>
      <c r="H18" s="457"/>
      <c r="I18" s="51">
        <f>O34</f>
        <v>1</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3.85E-2</v>
      </c>
      <c r="AM18" s="456">
        <v>5</v>
      </c>
      <c r="AO18" s="47"/>
      <c r="AP18" s="54">
        <v>13</v>
      </c>
      <c r="AQ18" s="447" t="str">
        <f>O90</f>
        <v>Nitrato de Amônio</v>
      </c>
      <c r="AR18" s="447"/>
      <c r="AS18" s="55">
        <f>IFERROR((VLOOKUP(AQ18,$V$100:$AB$179,3,0)*0.01)*AV18,0)</f>
        <v>3.85</v>
      </c>
      <c r="AT18" s="55">
        <f>IFERROR((VLOOKUP(AQ18,$V$100:$AB$179,5,0)*0.01)*AV18,0)</f>
        <v>0</v>
      </c>
      <c r="AU18" s="55">
        <f>IFERROR((VLOOKUP(AQ18,$V$100:$AB$179,7,0)*0.01)*AV18,0)</f>
        <v>0</v>
      </c>
      <c r="AV18" s="55">
        <f>IFERROR($AS$17*Q90/(VLOOKUP(AQ18,$V$100:$AB$179,3,0)/100),0)</f>
        <v>13.275862068965518</v>
      </c>
      <c r="AW18" s="47"/>
      <c r="AX18" s="47"/>
      <c r="AY18" s="47"/>
      <c r="AZ18" s="47"/>
      <c r="BA18" s="47"/>
      <c r="BB18" s="47"/>
    </row>
    <row r="19" spans="2:54" ht="19.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19.5" customHeight="1" x14ac:dyDescent="0.25">
      <c r="B20" s="459" t="s">
        <v>183</v>
      </c>
      <c r="C20" s="512"/>
      <c r="D20" s="512"/>
      <c r="E20" s="460"/>
      <c r="F20" s="63" t="s">
        <v>126</v>
      </c>
      <c r="G20" s="63">
        <f>P24</f>
        <v>45.344129554655872</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19.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19.5" customHeight="1" x14ac:dyDescent="0.25">
      <c r="B22" s="64" t="s">
        <v>81</v>
      </c>
      <c r="C22" s="65">
        <f>P6</f>
        <v>1</v>
      </c>
      <c r="D22" s="63" t="s">
        <v>79</v>
      </c>
      <c r="E22" s="63">
        <f>P13</f>
        <v>38.299999999999997</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19.5" customHeight="1" x14ac:dyDescent="0.25">
      <c r="B23" s="64" t="s">
        <v>82</v>
      </c>
      <c r="C23" s="65">
        <f>P7</f>
        <v>0.5</v>
      </c>
      <c r="D23" s="63" t="s">
        <v>129</v>
      </c>
      <c r="E23" s="63">
        <f>P11</f>
        <v>2.7</v>
      </c>
      <c r="F23" s="63" t="s">
        <v>87</v>
      </c>
      <c r="G23" s="63">
        <f>P16</f>
        <v>4</v>
      </c>
      <c r="H23" s="63" t="s">
        <v>83</v>
      </c>
      <c r="I23" s="63">
        <f>P15</f>
        <v>20</v>
      </c>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19.5" customHeight="1" x14ac:dyDescent="0.25">
      <c r="B24" s="64" t="s">
        <v>80</v>
      </c>
      <c r="C24" s="65">
        <f>P8</f>
        <v>0.3</v>
      </c>
      <c r="D24" s="63" t="s">
        <v>130</v>
      </c>
      <c r="E24" s="63">
        <f>P10</f>
        <v>0.1</v>
      </c>
      <c r="F24" s="63" t="s">
        <v>89</v>
      </c>
      <c r="G24" s="63">
        <f>P17</f>
        <v>58.4</v>
      </c>
      <c r="H24" s="63" t="s">
        <v>131</v>
      </c>
      <c r="I24" s="63">
        <f>P25</f>
        <v>4.9400000000000004</v>
      </c>
      <c r="M24" s="364"/>
      <c r="N24" s="453"/>
      <c r="O24" s="51" t="s">
        <v>22</v>
      </c>
      <c r="P24" s="63">
        <f>100*(P6+P7+P8+P9)/P25</f>
        <v>45.344129554655872</v>
      </c>
      <c r="Q24" s="51" t="s">
        <v>23</v>
      </c>
      <c r="R24" s="53"/>
      <c r="AO24" s="47"/>
      <c r="AP24" s="47"/>
      <c r="AQ24" s="47"/>
      <c r="AR24" s="47"/>
      <c r="AS24" s="59">
        <f>AS26-(SUM(AS27:AS36))</f>
        <v>7.6913706896551727E-3</v>
      </c>
      <c r="AT24" s="59">
        <f t="shared" ref="AT24:AV24" si="3">AT26-(SUM(AT27:AT36))</f>
        <v>-8.629310344827585E-6</v>
      </c>
      <c r="AU24" s="59">
        <f t="shared" si="3"/>
        <v>-1.6594827586206898E-5</v>
      </c>
      <c r="AV24" s="59">
        <f t="shared" si="3"/>
        <v>-1.8586206896551726E-6</v>
      </c>
      <c r="AW24" s="47"/>
      <c r="AX24" s="47"/>
      <c r="AY24" s="47"/>
      <c r="AZ24" s="47"/>
      <c r="BA24" s="47"/>
      <c r="BB24" s="47"/>
    </row>
    <row r="25" spans="2:54" ht="19.5" customHeight="1" thickBot="1" x14ac:dyDescent="0.3">
      <c r="M25" s="364"/>
      <c r="N25" s="453"/>
      <c r="O25" s="51" t="s">
        <v>24</v>
      </c>
      <c r="P25" s="67">
        <f>(P6+P7+P8+P9+P11)</f>
        <v>4.9400000000000004</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19.5" customHeight="1" thickBot="1" x14ac:dyDescent="0.3">
      <c r="B26" s="485" t="s">
        <v>272</v>
      </c>
      <c r="C26" s="486"/>
      <c r="D26" s="486"/>
      <c r="E26" s="486"/>
      <c r="F26" s="486"/>
      <c r="G26" s="486"/>
      <c r="H26" s="486"/>
      <c r="I26" s="487"/>
      <c r="M26" s="69"/>
      <c r="N26" s="70"/>
      <c r="O26" s="70"/>
      <c r="P26" s="70"/>
      <c r="Q26" s="70"/>
      <c r="R26" s="71"/>
      <c r="U26" s="459" t="s">
        <v>312</v>
      </c>
      <c r="V26" s="512"/>
      <c r="W26" s="512"/>
      <c r="X26" s="512"/>
      <c r="Y26" s="512"/>
      <c r="Z26" s="460"/>
      <c r="AO26" s="47"/>
      <c r="AP26" s="461"/>
      <c r="AQ26" s="461"/>
      <c r="AR26" s="461"/>
      <c r="AS26" s="72">
        <f>AK9</f>
        <v>7.7000000000000002E-3</v>
      </c>
      <c r="AT26" s="72">
        <f>AK12</f>
        <v>0</v>
      </c>
      <c r="AU26" s="72">
        <f>AK15</f>
        <v>0</v>
      </c>
      <c r="AV26" s="72">
        <f>AK18</f>
        <v>0</v>
      </c>
      <c r="AW26" s="47"/>
      <c r="AX26" s="47"/>
      <c r="AY26" s="47"/>
      <c r="AZ26" s="47"/>
      <c r="BA26" s="47"/>
      <c r="BB26" s="47"/>
    </row>
    <row r="27" spans="2:54" ht="19.5" customHeight="1" thickBot="1" x14ac:dyDescent="0.3">
      <c r="B27" s="488" t="str">
        <f>IF($O$47&gt;0,$O$47,"-")</f>
        <v>ARAGUAIA Dolomítico</v>
      </c>
      <c r="C27" s="488"/>
      <c r="D27" s="73">
        <f>IF(J27&gt;0,J27,"-")</f>
        <v>0.65071340298842817</v>
      </c>
      <c r="E27" s="365" t="str">
        <f>IF(J27&gt;0,"toneladas por hectare ou,","-")</f>
        <v>toneladas por hectare ou,</v>
      </c>
      <c r="F27" s="365"/>
      <c r="G27" s="365"/>
      <c r="H27" s="365"/>
      <c r="I27" s="365"/>
      <c r="J27" s="74">
        <f>V51</f>
        <v>0.65071340298842817</v>
      </c>
      <c r="U27" s="51" t="s">
        <v>300</v>
      </c>
      <c r="V27" s="51" t="s">
        <v>313</v>
      </c>
      <c r="W27" s="51" t="s">
        <v>75</v>
      </c>
      <c r="X27" s="51" t="s">
        <v>71</v>
      </c>
      <c r="Y27" s="51" t="s">
        <v>314</v>
      </c>
      <c r="Z27" s="51" t="s">
        <v>315</v>
      </c>
      <c r="AO27" s="47"/>
      <c r="AP27" s="447" t="s">
        <v>261</v>
      </c>
      <c r="AQ27" s="447" t="str">
        <f>B29</f>
        <v xml:space="preserve">Pó de brita Fmx (62) 3924 8565 </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19.5" customHeight="1" x14ac:dyDescent="0.25">
      <c r="B28" s="488"/>
      <c r="C28" s="488"/>
      <c r="D28" s="73">
        <f>IF(J28&gt;0,J28,"-")</f>
        <v>6.5071340298842817E-2</v>
      </c>
      <c r="E28" s="365" t="str">
        <f>IF(J28&gt;0,"quilos por metro quadrado","-")</f>
        <v>quilos por metro quadrado</v>
      </c>
      <c r="F28" s="365"/>
      <c r="G28" s="365"/>
      <c r="H28" s="365"/>
      <c r="I28" s="365"/>
      <c r="J28" s="74">
        <f>J27/10</f>
        <v>6.5071340298842817E-2</v>
      </c>
      <c r="M28" s="48"/>
      <c r="N28" s="49"/>
      <c r="O28" s="49"/>
      <c r="P28" s="49"/>
      <c r="Q28" s="49"/>
      <c r="R28" s="50"/>
      <c r="U28" s="75" t="s">
        <v>50</v>
      </c>
      <c r="V28" s="75">
        <v>180000</v>
      </c>
      <c r="W28" s="75" t="s">
        <v>68</v>
      </c>
      <c r="X28" s="75" t="str">
        <f>CONCATENATE(U28," - ",W28)</f>
        <v>&lt; 20 - baixo</v>
      </c>
      <c r="Y28" s="75">
        <v>90000</v>
      </c>
      <c r="Z28" s="75">
        <v>230000</v>
      </c>
      <c r="AE28" s="75"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19.5" customHeight="1" x14ac:dyDescent="0.25">
      <c r="B29" s="488" t="str">
        <f>IF($O$50&gt;0,$O$50,"-")</f>
        <v xml:space="preserve">Pó de brita Fmx (62) 3924 8565 </v>
      </c>
      <c r="C29" s="488"/>
      <c r="D29" s="73">
        <f>IF(J29&gt;0,J29,"-")</f>
        <v>0.82411886063155304</v>
      </c>
      <c r="E29" s="365" t="str">
        <f>IF(J29&gt;0,"toneladas por hectare ou,","-")</f>
        <v>toneladas por hectare ou,</v>
      </c>
      <c r="F29" s="365"/>
      <c r="G29" s="365"/>
      <c r="H29" s="365"/>
      <c r="I29" s="365"/>
      <c r="J29" s="74">
        <f>Z49</f>
        <v>0.82411886063155304</v>
      </c>
      <c r="M29" s="364" t="s">
        <v>211</v>
      </c>
      <c r="N29" s="453"/>
      <c r="O29" s="473" t="s">
        <v>197</v>
      </c>
      <c r="P29" s="474"/>
      <c r="Q29" s="475"/>
      <c r="R29" s="53"/>
      <c r="U29" s="75" t="s">
        <v>50</v>
      </c>
      <c r="V29" s="75">
        <v>180000</v>
      </c>
      <c r="W29" s="75" t="s">
        <v>69</v>
      </c>
      <c r="X29" s="75" t="str">
        <f t="shared" ref="X29:X42" si="9">CONCATENATE(U29," - ",W29)</f>
        <v>&lt; 20 - medio</v>
      </c>
      <c r="Y29" s="75">
        <v>70000</v>
      </c>
      <c r="Z29" s="75">
        <v>180000</v>
      </c>
      <c r="AB29" s="458" t="s">
        <v>65</v>
      </c>
      <c r="AC29" s="458"/>
      <c r="AE29" s="75" t="s">
        <v>300</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19.5" customHeight="1" x14ac:dyDescent="0.25">
      <c r="B30" s="488"/>
      <c r="C30" s="488"/>
      <c r="D30" s="73">
        <f>IF(J30&gt;0,J30,"-")</f>
        <v>8.2411886063155304E-2</v>
      </c>
      <c r="E30" s="365" t="str">
        <f>IF(J30&gt;0,"quilos por metro quadrado","-")</f>
        <v>quilos por metro quadrado</v>
      </c>
      <c r="F30" s="365"/>
      <c r="G30" s="365"/>
      <c r="H30" s="365"/>
      <c r="I30" s="365"/>
      <c r="J30" s="74">
        <f>J29/10</f>
        <v>8.2411886063155304E-2</v>
      </c>
      <c r="M30" s="364"/>
      <c r="N30" s="453"/>
      <c r="O30" s="32">
        <v>0.22</v>
      </c>
      <c r="P30" s="77" t="s">
        <v>200</v>
      </c>
      <c r="Q30" s="32">
        <v>0.35</v>
      </c>
      <c r="R30" s="53"/>
      <c r="U30" s="75" t="s">
        <v>50</v>
      </c>
      <c r="V30" s="75">
        <v>180000</v>
      </c>
      <c r="W30" s="75" t="s">
        <v>70</v>
      </c>
      <c r="X30" s="75" t="str">
        <f t="shared" si="9"/>
        <v>&lt; 20 - adequado</v>
      </c>
      <c r="Y30" s="75">
        <v>35000</v>
      </c>
      <c r="Z30" s="75">
        <v>140000</v>
      </c>
      <c r="AB30" s="78" t="s">
        <v>33</v>
      </c>
      <c r="AC30" s="78">
        <f>VLOOKUP($P$39,$U$28:$V$42,2,0)/$E$18</f>
        <v>3.85</v>
      </c>
      <c r="AE30" s="75"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19.5" customHeight="1" x14ac:dyDescent="0.25">
      <c r="B31" s="524" t="s">
        <v>533</v>
      </c>
      <c r="C31" s="524"/>
      <c r="D31" s="524"/>
      <c r="E31" s="524"/>
      <c r="F31" s="524"/>
      <c r="G31" s="524"/>
      <c r="H31" s="524"/>
      <c r="I31" s="524"/>
      <c r="J31" s="74"/>
      <c r="M31" s="364"/>
      <c r="N31" s="453"/>
      <c r="O31" s="473" t="s">
        <v>519</v>
      </c>
      <c r="P31" s="474"/>
      <c r="Q31" s="475"/>
      <c r="R31" s="53"/>
      <c r="U31" s="75" t="s">
        <v>298</v>
      </c>
      <c r="V31" s="75">
        <v>200000</v>
      </c>
      <c r="W31" s="75" t="s">
        <v>68</v>
      </c>
      <c r="X31" s="75" t="str">
        <f t="shared" si="9"/>
        <v>20,1 - 30 - baixo</v>
      </c>
      <c r="Y31" s="75">
        <v>120000</v>
      </c>
      <c r="Z31" s="75">
        <v>290000</v>
      </c>
      <c r="AB31" s="78" t="s">
        <v>66</v>
      </c>
      <c r="AC31" s="78">
        <f>VLOOKUP(AB36,X28:Z42,2,0)/$E$18</f>
        <v>0.69300000000000006</v>
      </c>
      <c r="AE31" s="75" t="s">
        <v>50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19.5" customHeight="1" x14ac:dyDescent="0.25">
      <c r="B32" s="524"/>
      <c r="C32" s="524"/>
      <c r="D32" s="524"/>
      <c r="E32" s="524"/>
      <c r="F32" s="524"/>
      <c r="G32" s="524"/>
      <c r="H32" s="524"/>
      <c r="I32" s="524"/>
      <c r="J32" s="74"/>
      <c r="M32" s="364"/>
      <c r="N32" s="453"/>
      <c r="O32" s="32"/>
      <c r="P32" s="32"/>
      <c r="Q32" s="32"/>
      <c r="R32" s="53"/>
      <c r="U32" s="75" t="s">
        <v>298</v>
      </c>
      <c r="V32" s="75">
        <v>200000</v>
      </c>
      <c r="W32" s="75" t="s">
        <v>69</v>
      </c>
      <c r="X32" s="75" t="str">
        <f t="shared" si="9"/>
        <v>20,1 - 30 - medio</v>
      </c>
      <c r="Y32" s="75">
        <v>90000</v>
      </c>
      <c r="Z32" s="75">
        <v>230000</v>
      </c>
      <c r="AB32" s="78" t="s">
        <v>67</v>
      </c>
      <c r="AC32" s="78">
        <f>VLOOKUP($AB$39,X28:Z42,3,0)/$E$18</f>
        <v>2.9260000000000002</v>
      </c>
      <c r="AE32" s="75" t="s">
        <v>298</v>
      </c>
      <c r="AI32" s="76">
        <v>0.2</v>
      </c>
      <c r="AK32" s="51" t="s">
        <v>292</v>
      </c>
      <c r="AO32" s="47"/>
      <c r="AP32" s="447"/>
      <c r="AQ32" s="447" t="str">
        <f t="shared" si="8"/>
        <v>EkoSil</v>
      </c>
      <c r="AR32" s="447"/>
      <c r="AS32" s="55">
        <f t="shared" si="4"/>
        <v>8.629310344827585E-6</v>
      </c>
      <c r="AT32" s="55">
        <f t="shared" si="5"/>
        <v>8.629310344827585E-6</v>
      </c>
      <c r="AU32" s="55">
        <f t="shared" si="6"/>
        <v>1.6594827586206898E-5</v>
      </c>
      <c r="AV32" s="55">
        <f t="shared" si="7"/>
        <v>1.8586206896551726E-6</v>
      </c>
      <c r="AW32" s="47"/>
      <c r="AX32" s="47"/>
      <c r="AY32" s="47"/>
      <c r="AZ32" s="47"/>
      <c r="BA32" s="47"/>
      <c r="BB32" s="47"/>
    </row>
    <row r="33" spans="2:57" ht="19.5" customHeight="1" thickBot="1" x14ac:dyDescent="0.3">
      <c r="B33" s="525"/>
      <c r="C33" s="525"/>
      <c r="D33" s="525"/>
      <c r="E33" s="525"/>
      <c r="F33" s="525"/>
      <c r="G33" s="525"/>
      <c r="H33" s="525"/>
      <c r="I33" s="525"/>
      <c r="J33" s="74"/>
      <c r="M33" s="364"/>
      <c r="N33" s="453"/>
      <c r="O33" s="473" t="s">
        <v>282</v>
      </c>
      <c r="P33" s="474"/>
      <c r="Q33" s="475"/>
      <c r="R33" s="53"/>
      <c r="U33" s="75" t="s">
        <v>298</v>
      </c>
      <c r="V33" s="75">
        <v>200000</v>
      </c>
      <c r="W33" s="75" t="s">
        <v>70</v>
      </c>
      <c r="X33" s="75" t="str">
        <f t="shared" si="9"/>
        <v>20,1 - 30 - adequado</v>
      </c>
      <c r="Y33" s="75">
        <v>45000</v>
      </c>
      <c r="Z33" s="75">
        <v>170000</v>
      </c>
      <c r="AE33" s="75" t="s">
        <v>318</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19.5" customHeight="1" thickBot="1" x14ac:dyDescent="0.3">
      <c r="B34" s="485" t="s">
        <v>184</v>
      </c>
      <c r="C34" s="486"/>
      <c r="D34" s="486"/>
      <c r="E34" s="486"/>
      <c r="F34" s="486"/>
      <c r="G34" s="486"/>
      <c r="H34" s="486"/>
      <c r="I34" s="487"/>
      <c r="J34" s="81">
        <f>IF(O68="Sim",P21*7.5,0)</f>
        <v>356.25</v>
      </c>
      <c r="M34" s="364"/>
      <c r="N34" s="453"/>
      <c r="O34" s="448">
        <v>1</v>
      </c>
      <c r="P34" s="448"/>
      <c r="Q34" s="448"/>
      <c r="R34" s="53"/>
      <c r="U34" s="75" t="s">
        <v>318</v>
      </c>
      <c r="V34" s="75">
        <v>300000</v>
      </c>
      <c r="W34" s="75" t="s">
        <v>68</v>
      </c>
      <c r="X34" s="75" t="str">
        <f t="shared" si="9"/>
        <v>30,1 - 40 - baixo</v>
      </c>
      <c r="Y34" s="75">
        <v>160000</v>
      </c>
      <c r="Z34" s="75">
        <v>400000</v>
      </c>
      <c r="AE34" s="75" t="s">
        <v>320</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19.5" customHeight="1" thickBot="1" x14ac:dyDescent="0.3">
      <c r="B35" s="488" t="str">
        <f>IF($O$55&gt;0,$O$55,"-")</f>
        <v>Siligesso Agronelli</v>
      </c>
      <c r="C35" s="488"/>
      <c r="D35" s="82">
        <f>IF(J34&gt;0,J34,"-")</f>
        <v>356.25</v>
      </c>
      <c r="E35" s="365" t="str">
        <f>IF(J34&gt;0,"quilos por hectare ou,","-")</f>
        <v>quilos por hectare ou,</v>
      </c>
      <c r="F35" s="365"/>
      <c r="G35" s="365"/>
      <c r="H35" s="365"/>
      <c r="I35" s="365"/>
      <c r="J35" s="81">
        <f>J34/10</f>
        <v>35.625</v>
      </c>
      <c r="M35" s="69"/>
      <c r="N35" s="70"/>
      <c r="O35" s="70"/>
      <c r="P35" s="83">
        <f>10000/($O$30*$Q$30)</f>
        <v>129870.12987012987</v>
      </c>
      <c r="Q35" s="83" t="e">
        <f>10000/(((P32+Q32)/2)*O32)</f>
        <v>#DIV/0!</v>
      </c>
      <c r="R35" s="71"/>
      <c r="U35" s="75" t="s">
        <v>318</v>
      </c>
      <c r="V35" s="75">
        <v>300000</v>
      </c>
      <c r="W35" s="75" t="s">
        <v>69</v>
      </c>
      <c r="X35" s="75" t="str">
        <f t="shared" si="9"/>
        <v>30,1 - 40 - medio</v>
      </c>
      <c r="Y35" s="75">
        <v>120000</v>
      </c>
      <c r="Z35" s="75">
        <v>320000</v>
      </c>
      <c r="AB35" s="457" t="s">
        <v>72</v>
      </c>
      <c r="AC35" s="457"/>
      <c r="AE35" s="75" t="s">
        <v>321</v>
      </c>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19.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t="s">
        <v>318</v>
      </c>
      <c r="V36" s="75">
        <v>300000</v>
      </c>
      <c r="W36" s="75" t="s">
        <v>70</v>
      </c>
      <c r="X36" s="75" t="str">
        <f t="shared" si="9"/>
        <v>30,1 - 40 - adequado</v>
      </c>
      <c r="Y36" s="75">
        <v>60000</v>
      </c>
      <c r="Z36" s="75">
        <v>240000</v>
      </c>
      <c r="AB36" s="457" t="str">
        <f>CONCATENATE($P$39," - ",$AD$8)</f>
        <v>&gt; 50,1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19.5" customHeight="1" x14ac:dyDescent="0.25">
      <c r="B37" s="523" t="s">
        <v>534</v>
      </c>
      <c r="C37" s="523"/>
      <c r="D37" s="523"/>
      <c r="E37" s="523"/>
      <c r="F37" s="523"/>
      <c r="G37" s="523"/>
      <c r="H37" s="523"/>
      <c r="I37" s="523"/>
      <c r="J37" s="81"/>
      <c r="M37" s="48"/>
      <c r="N37" s="49"/>
      <c r="O37" s="49"/>
      <c r="P37" s="49"/>
      <c r="Q37" s="49"/>
      <c r="R37" s="50"/>
      <c r="U37" s="75" t="s">
        <v>320</v>
      </c>
      <c r="V37" s="75">
        <v>400000</v>
      </c>
      <c r="W37" s="75" t="s">
        <v>68</v>
      </c>
      <c r="X37" s="75" t="str">
        <f t="shared" si="9"/>
        <v>40,1 - 50 - baixo</v>
      </c>
      <c r="Y37" s="75">
        <v>200000</v>
      </c>
      <c r="Z37" s="75">
        <v>510000</v>
      </c>
      <c r="AI37" s="76">
        <v>0.7</v>
      </c>
      <c r="AK37" s="51" t="s">
        <v>290</v>
      </c>
      <c r="AO37" s="85"/>
      <c r="AP37" s="85"/>
      <c r="AQ37" s="85"/>
      <c r="AR37" s="85"/>
      <c r="AS37" s="59">
        <f>IF(AS24&gt;0,AS24,0)</f>
        <v>7.6913706896551727E-3</v>
      </c>
      <c r="AT37" s="59">
        <f>IF(AT24&gt;0,AT24,0)</f>
        <v>0</v>
      </c>
      <c r="AU37" s="59">
        <f>IF(AU24&gt;0,AU24,0)</f>
        <v>0</v>
      </c>
      <c r="AV37" s="59">
        <f>IF(AV24&gt;0,AV24,0)</f>
        <v>0</v>
      </c>
      <c r="AW37" s="47"/>
      <c r="AX37" s="47"/>
      <c r="AY37" s="47"/>
      <c r="AZ37" s="47"/>
      <c r="BA37" s="47"/>
      <c r="BB37" s="47"/>
    </row>
    <row r="38" spans="2:57" ht="19.5" customHeight="1" thickBot="1" x14ac:dyDescent="0.3">
      <c r="B38" s="523"/>
      <c r="C38" s="523"/>
      <c r="D38" s="523"/>
      <c r="E38" s="523"/>
      <c r="F38" s="523"/>
      <c r="G38" s="523"/>
      <c r="H38" s="523"/>
      <c r="I38" s="523"/>
      <c r="J38" s="81"/>
      <c r="M38" s="364" t="s">
        <v>212</v>
      </c>
      <c r="N38" s="365"/>
      <c r="O38" s="489" t="s">
        <v>301</v>
      </c>
      <c r="P38" s="489"/>
      <c r="Q38" s="489"/>
      <c r="R38" s="53"/>
      <c r="U38" s="75" t="s">
        <v>320</v>
      </c>
      <c r="V38" s="75">
        <v>400000</v>
      </c>
      <c r="W38" s="75" t="s">
        <v>69</v>
      </c>
      <c r="X38" s="75" t="str">
        <f t="shared" si="9"/>
        <v>40,1 - 50 - medio</v>
      </c>
      <c r="Y38" s="75">
        <v>150000</v>
      </c>
      <c r="Z38" s="75">
        <v>410000</v>
      </c>
      <c r="AB38" s="457" t="s">
        <v>73</v>
      </c>
      <c r="AC38" s="457"/>
      <c r="AI38" s="76">
        <v>0.8</v>
      </c>
      <c r="AK38" s="51"/>
      <c r="AO38" s="47"/>
      <c r="AP38" s="47"/>
      <c r="AQ38" s="47"/>
      <c r="AR38" s="47"/>
      <c r="AS38" s="47"/>
      <c r="AT38" s="47"/>
      <c r="AU38" s="47"/>
      <c r="AV38" s="47"/>
      <c r="AW38" s="47"/>
      <c r="AX38" s="47"/>
      <c r="AY38" s="47"/>
      <c r="AZ38" s="47"/>
      <c r="BA38" s="47"/>
      <c r="BB38" s="47"/>
    </row>
    <row r="39" spans="2:57" ht="19.5" customHeight="1" thickBot="1" x14ac:dyDescent="0.3">
      <c r="B39" s="355" t="s">
        <v>267</v>
      </c>
      <c r="C39" s="356"/>
      <c r="D39" s="356"/>
      <c r="E39" s="356"/>
      <c r="F39" s="356"/>
      <c r="G39" s="356"/>
      <c r="H39" s="356"/>
      <c r="I39" s="357"/>
      <c r="J39" s="81">
        <f>AV6</f>
        <v>3.9600000000000004</v>
      </c>
      <c r="M39" s="364"/>
      <c r="N39" s="365"/>
      <c r="O39" s="51" t="s">
        <v>303</v>
      </c>
      <c r="P39" s="448" t="s">
        <v>321</v>
      </c>
      <c r="Q39" s="448"/>
      <c r="R39" s="53"/>
      <c r="U39" s="75" t="s">
        <v>320</v>
      </c>
      <c r="V39" s="75">
        <v>400000</v>
      </c>
      <c r="W39" s="75" t="s">
        <v>70</v>
      </c>
      <c r="X39" s="75" t="str">
        <f t="shared" si="9"/>
        <v>40,1 - 50 - adequado</v>
      </c>
      <c r="Y39" s="75">
        <v>75000</v>
      </c>
      <c r="Z39" s="75">
        <v>310000</v>
      </c>
      <c r="AB39" s="457" t="str">
        <f>CONCATENATE($P$39," - ",$AD$22)</f>
        <v>&gt; 50,1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19.5" customHeight="1" x14ac:dyDescent="0.25">
      <c r="B40" s="449" t="str">
        <f>IF(O42&gt;0,O42,"-")</f>
        <v>Esterco de galinha</v>
      </c>
      <c r="C40" s="449"/>
      <c r="D40" s="109">
        <f>IF(AQ58&gt;0,AQ58,"-")</f>
        <v>6</v>
      </c>
      <c r="E40" s="362" t="str">
        <f>IF(AQ58&gt;0,"quilos por cova ou planta","-")</f>
        <v>quilos por cova ou planta</v>
      </c>
      <c r="F40" s="362"/>
      <c r="G40" s="362"/>
      <c r="H40" s="362"/>
      <c r="I40" s="362"/>
      <c r="J40" s="81">
        <f>AV7</f>
        <v>0</v>
      </c>
      <c r="M40" s="364"/>
      <c r="N40" s="365"/>
      <c r="O40" s="25"/>
      <c r="P40" s="25"/>
      <c r="Q40" s="25"/>
      <c r="R40" s="53"/>
      <c r="U40" s="75" t="s">
        <v>321</v>
      </c>
      <c r="V40" s="75">
        <v>500000</v>
      </c>
      <c r="W40" s="75" t="s">
        <v>68</v>
      </c>
      <c r="X40" s="75" t="str">
        <f t="shared" si="9"/>
        <v>&gt; 50,1  - baixo</v>
      </c>
      <c r="Y40" s="75">
        <v>240000</v>
      </c>
      <c r="Z40" s="75">
        <v>620000</v>
      </c>
      <c r="AI40" s="76">
        <v>1</v>
      </c>
      <c r="AO40" s="47"/>
      <c r="AP40" s="447" t="str">
        <f>O105</f>
        <v>Ácido Bórico</v>
      </c>
      <c r="AQ40" s="447"/>
      <c r="AR40" s="55">
        <f>IFERROR($AS$37/((VLOOKUP(AP40,$V$100:$AO$179,11,0)*0.01)),0)</f>
        <v>4.395068965517241E-2</v>
      </c>
      <c r="AS40" s="55">
        <f>IFERROR($AT$37/((VLOOKUP(AP40,$V$100:$AO$179,14,0)*0.01)),0)</f>
        <v>0</v>
      </c>
      <c r="AT40" s="55">
        <f>IFERROR($AU$37/((VLOOKUP(AP40,$V$100:$AO$179,12,0)*0.01)),0)</f>
        <v>0</v>
      </c>
      <c r="AU40" s="55">
        <f>IFERROR($AV$37/((VLOOKUP(AP40,$V$100:$AO$179,13,0)*0.01)),0)</f>
        <v>0</v>
      </c>
      <c r="AV40" s="55">
        <f>MAX(AR40:AU40)</f>
        <v>4.395068965517241E-2</v>
      </c>
      <c r="AW40" s="55">
        <f>IFERROR(AV40*(VLOOKUP(AP40,$V$100:$AO$179,11,0)*0.01),0)</f>
        <v>7.6913706896551727E-3</v>
      </c>
      <c r="AX40" s="55">
        <f>IFERROR(AV40*(VLOOKUP(AP40,$V$100:$AO$179,14,0)*0.01),0)</f>
        <v>0</v>
      </c>
      <c r="AY40" s="55">
        <f>IFERROR(AV40*(VLOOKUP(AP40,$V$100:$AO$179,12,0)*0.01),0)</f>
        <v>0</v>
      </c>
      <c r="AZ40" s="55">
        <f>IFERROR(AV40*(VLOOKUP(AP40,$V$100:$AO$179,13,0)*0.01),0)</f>
        <v>0</v>
      </c>
      <c r="BA40" s="47"/>
      <c r="BB40" s="47"/>
    </row>
    <row r="41" spans="2:57" ht="19.5" customHeight="1" x14ac:dyDescent="0.25">
      <c r="B41" s="449" t="str">
        <f>IF(AQ6&gt;0,AQ6,"-")</f>
        <v>Termofosfato YOORIN</v>
      </c>
      <c r="C41" s="449"/>
      <c r="D41" s="87">
        <f>IF(J39&gt;0,J39,"-")</f>
        <v>3.9600000000000004</v>
      </c>
      <c r="E41" s="365" t="str">
        <f>IF(J39&gt;0,"gramas por cova ou planta","-")</f>
        <v>gramas por cova ou planta</v>
      </c>
      <c r="F41" s="365"/>
      <c r="G41" s="365"/>
      <c r="H41" s="365"/>
      <c r="I41" s="365"/>
      <c r="J41" s="81">
        <f>AV8</f>
        <v>0</v>
      </c>
      <c r="M41" s="364"/>
      <c r="N41" s="365"/>
      <c r="O41" s="489" t="s">
        <v>308</v>
      </c>
      <c r="P41" s="489"/>
      <c r="Q41" s="489"/>
      <c r="R41" s="53"/>
      <c r="U41" s="75" t="s">
        <v>321</v>
      </c>
      <c r="V41" s="75">
        <v>500000</v>
      </c>
      <c r="W41" s="75" t="s">
        <v>69</v>
      </c>
      <c r="X41" s="75" t="str">
        <f t="shared" si="9"/>
        <v>&gt; 50,1  - medio</v>
      </c>
      <c r="Y41" s="75">
        <v>180000</v>
      </c>
      <c r="Z41" s="75">
        <v>500000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0">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19.5" customHeight="1" x14ac:dyDescent="0.25">
      <c r="B42" s="449" t="str">
        <f>IF(AQ7&gt;0,AQ7,"-")</f>
        <v>Superfosfato simples</v>
      </c>
      <c r="C42" s="449"/>
      <c r="D42" s="87" t="str">
        <f t="shared" ref="D42:D49" si="11">IF(J40&gt;0,J40,"-")</f>
        <v>-</v>
      </c>
      <c r="E42" s="365" t="str">
        <f t="shared" ref="E42:E49" si="12">IF(J40&gt;0,"gramas por planta","-")</f>
        <v>-</v>
      </c>
      <c r="F42" s="365"/>
      <c r="G42" s="365"/>
      <c r="H42" s="365"/>
      <c r="I42" s="365"/>
      <c r="J42" s="81">
        <f>AV12</f>
        <v>2.4383333333333335</v>
      </c>
      <c r="M42" s="364"/>
      <c r="N42" s="365"/>
      <c r="O42" s="483" t="s">
        <v>158</v>
      </c>
      <c r="P42" s="513"/>
      <c r="Q42" s="484"/>
      <c r="R42" s="53"/>
      <c r="U42" s="75" t="s">
        <v>321</v>
      </c>
      <c r="V42" s="75">
        <v>500000</v>
      </c>
      <c r="W42" s="75" t="s">
        <v>70</v>
      </c>
      <c r="X42" s="75" t="str">
        <f t="shared" si="9"/>
        <v>&gt; 50,1  - adequado</v>
      </c>
      <c r="Y42" s="75">
        <v>90000</v>
      </c>
      <c r="Z42" s="75">
        <v>380000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0"/>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19.5" customHeight="1" thickBot="1" x14ac:dyDescent="0.3">
      <c r="B43" s="449" t="str">
        <f>IF(AQ8&gt;0,AQ8,"-")</f>
        <v>-</v>
      </c>
      <c r="C43" s="449"/>
      <c r="D43" s="87" t="str">
        <f t="shared" si="11"/>
        <v>-</v>
      </c>
      <c r="E43" s="365" t="str">
        <f t="shared" si="12"/>
        <v>-</v>
      </c>
      <c r="F43" s="365"/>
      <c r="G43" s="365"/>
      <c r="H43" s="365"/>
      <c r="I43" s="365"/>
      <c r="J43" s="81">
        <f>AV13</f>
        <v>18.287500000000001</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0"/>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19.5" customHeight="1" thickBot="1" x14ac:dyDescent="0.3">
      <c r="B44" s="449" t="str">
        <f>IF(AQ12&gt;0,AQ12,"-")</f>
        <v>Cloreto de potássio</v>
      </c>
      <c r="C44" s="449"/>
      <c r="D44" s="87">
        <f t="shared" si="11"/>
        <v>2.4383333333333335</v>
      </c>
      <c r="E44" s="365" t="str">
        <f t="shared" si="12"/>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19.5" customHeight="1" x14ac:dyDescent="0.25">
      <c r="B45" s="449" t="str">
        <f>IF(AQ13&gt;0,AQ13,"-")</f>
        <v>EkoSil</v>
      </c>
      <c r="C45" s="449"/>
      <c r="D45" s="87">
        <f t="shared" si="11"/>
        <v>18.287500000000001</v>
      </c>
      <c r="E45" s="365" t="str">
        <f t="shared" si="12"/>
        <v>gramas por planta</v>
      </c>
      <c r="F45" s="365"/>
      <c r="G45" s="365"/>
      <c r="H45" s="365"/>
      <c r="I45" s="365"/>
      <c r="J45" s="81">
        <f>AV18</f>
        <v>13.275862068965518</v>
      </c>
      <c r="M45" s="48"/>
      <c r="N45" s="49"/>
      <c r="O45" s="500" t="s">
        <v>305</v>
      </c>
      <c r="P45" s="500"/>
      <c r="Q45" s="500"/>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19.5" customHeight="1" x14ac:dyDescent="0.25">
      <c r="B46" s="449" t="str">
        <f>IF(AQ14&gt;0,AQ14,"-")</f>
        <v>-</v>
      </c>
      <c r="C46" s="449"/>
      <c r="D46" s="87" t="str">
        <f t="shared" si="11"/>
        <v>-</v>
      </c>
      <c r="E46" s="365" t="str">
        <f t="shared" si="12"/>
        <v>-</v>
      </c>
      <c r="F46" s="365"/>
      <c r="G46" s="365"/>
      <c r="H46" s="365"/>
      <c r="I46" s="365"/>
      <c r="J46" s="81">
        <f>AV19</f>
        <v>0</v>
      </c>
      <c r="M46" s="364" t="s">
        <v>213</v>
      </c>
      <c r="N46" s="365"/>
      <c r="O46" s="503"/>
      <c r="P46" s="503"/>
      <c r="Q46" s="503"/>
      <c r="R46" s="53"/>
      <c r="U46" s="75" t="s">
        <v>109</v>
      </c>
      <c r="V46" s="89">
        <v>60</v>
      </c>
      <c r="X46" s="455" t="s">
        <v>268</v>
      </c>
      <c r="Y46" s="455"/>
      <c r="Z46" s="63">
        <f>IFERROR(VLOOKUP(O50,$V$87:$AE$95,10,0),0)</f>
        <v>9.1197279464721319</v>
      </c>
      <c r="AO46" s="47"/>
      <c r="AP46" s="47"/>
      <c r="AQ46" s="47"/>
      <c r="AR46" s="47"/>
      <c r="AS46" s="47"/>
      <c r="AT46" s="47"/>
      <c r="AU46" s="47"/>
      <c r="AV46" s="47"/>
      <c r="AW46" s="47"/>
      <c r="AX46" s="47"/>
      <c r="AY46" s="47"/>
      <c r="AZ46" s="47"/>
      <c r="BA46" s="47"/>
      <c r="BB46" s="47"/>
    </row>
    <row r="47" spans="2:57" ht="19.5" customHeight="1" x14ac:dyDescent="0.25">
      <c r="B47" s="449" t="str">
        <f>IF(AQ18&gt;0,AQ18,"-")</f>
        <v>Nitrato de Amônio</v>
      </c>
      <c r="C47" s="449"/>
      <c r="D47" s="87">
        <f t="shared" si="11"/>
        <v>13.275862068965518</v>
      </c>
      <c r="E47" s="365" t="str">
        <f t="shared" si="12"/>
        <v>gramas por planta</v>
      </c>
      <c r="F47" s="365"/>
      <c r="G47" s="365"/>
      <c r="H47" s="365"/>
      <c r="I47" s="365"/>
      <c r="J47" s="81">
        <f>AV20</f>
        <v>0</v>
      </c>
      <c r="M47" s="364"/>
      <c r="N47" s="365"/>
      <c r="O47" s="483" t="s">
        <v>138</v>
      </c>
      <c r="P47" s="484"/>
      <c r="Q47" s="92">
        <v>0.8</v>
      </c>
      <c r="R47" s="53"/>
      <c r="U47" s="51" t="s">
        <v>111</v>
      </c>
      <c r="V47" s="63">
        <f>IFERROR((((V46-P24)*P25)/V49),0)</f>
        <v>0.81339175373553518</v>
      </c>
      <c r="X47" s="455" t="s">
        <v>203</v>
      </c>
      <c r="Y47" s="455"/>
      <c r="Z47" s="63">
        <f>IFERROR((($V$50/$Z$46)*$V$47),0)</f>
        <v>4.1205943031577652</v>
      </c>
      <c r="AO47" s="47"/>
      <c r="BA47" s="47"/>
      <c r="BB47" s="47"/>
    </row>
    <row r="48" spans="2:57" ht="19.5" customHeight="1" x14ac:dyDescent="0.25">
      <c r="B48" s="449" t="str">
        <f>IF(AQ19&gt;0,AQ19,"-")</f>
        <v>-</v>
      </c>
      <c r="C48" s="449"/>
      <c r="D48" s="87" t="str">
        <f t="shared" si="11"/>
        <v>-</v>
      </c>
      <c r="E48" s="365" t="str">
        <f t="shared" si="12"/>
        <v>-</v>
      </c>
      <c r="F48" s="365"/>
      <c r="G48" s="365"/>
      <c r="H48" s="365"/>
      <c r="I48" s="365"/>
      <c r="J48" s="91"/>
      <c r="M48" s="364"/>
      <c r="N48" s="365"/>
      <c r="O48" s="506" t="s">
        <v>306</v>
      </c>
      <c r="P48" s="506"/>
      <c r="Q48" s="506"/>
      <c r="R48" s="53"/>
      <c r="U48" s="51" t="s">
        <v>201</v>
      </c>
      <c r="V48" s="63">
        <f>IF(V47&lt;0,(0),IF(V47&gt;=0,(V47)))</f>
        <v>0.81339175373553518</v>
      </c>
      <c r="X48" s="455" t="s">
        <v>201</v>
      </c>
      <c r="Y48" s="455"/>
      <c r="Z48" s="63">
        <f>IFERROR(IF(Z47&lt;0,(0),IF(Z47&gt;=0,(Z47))),0)</f>
        <v>4.1205943031577652</v>
      </c>
    </row>
    <row r="49" spans="2:50" ht="19.5" customHeight="1" x14ac:dyDescent="0.25">
      <c r="B49" s="449" t="str">
        <f>IF(AQ20&gt;0,AQ20,"-")</f>
        <v>-</v>
      </c>
      <c r="C49" s="449"/>
      <c r="D49" s="87" t="str">
        <f t="shared" si="11"/>
        <v>-</v>
      </c>
      <c r="E49" s="365" t="str">
        <f t="shared" si="12"/>
        <v>-</v>
      </c>
      <c r="F49" s="365"/>
      <c r="G49" s="365"/>
      <c r="H49" s="365"/>
      <c r="I49" s="365"/>
      <c r="M49" s="364"/>
      <c r="N49" s="365"/>
      <c r="O49" s="503"/>
      <c r="P49" s="503"/>
      <c r="Q49" s="503"/>
      <c r="R49" s="53"/>
      <c r="U49" s="51" t="s">
        <v>110</v>
      </c>
      <c r="V49" s="63">
        <f>IFERROR(VLOOKUP($O$47,$V$56:$AA$68,5,0),0)</f>
        <v>89.01</v>
      </c>
      <c r="X49" s="455" t="s">
        <v>273</v>
      </c>
      <c r="Y49" s="455"/>
      <c r="Z49" s="63">
        <f>Z48*$Q$50</f>
        <v>0.82411886063155304</v>
      </c>
    </row>
    <row r="50" spans="2:50" ht="19.5" customHeight="1" x14ac:dyDescent="0.25">
      <c r="B50" s="476" t="s">
        <v>535</v>
      </c>
      <c r="C50" s="476"/>
      <c r="D50" s="476"/>
      <c r="E50" s="476"/>
      <c r="F50" s="476"/>
      <c r="G50" s="476"/>
      <c r="H50" s="476"/>
      <c r="I50" s="476"/>
      <c r="M50" s="364"/>
      <c r="N50" s="365"/>
      <c r="O50" s="483" t="s">
        <v>157</v>
      </c>
      <c r="P50" s="484"/>
      <c r="Q50" s="92">
        <v>0.2</v>
      </c>
      <c r="R50" s="53"/>
      <c r="U50" s="51" t="s">
        <v>193</v>
      </c>
      <c r="V50" s="63">
        <f>IFERROR(VLOOKUP($O$47,$V$56:$AA$68,6,0),0)</f>
        <v>46.2</v>
      </c>
      <c r="AT50" s="457" t="s">
        <v>280</v>
      </c>
      <c r="AU50" s="457"/>
      <c r="AV50" s="457"/>
    </row>
    <row r="51" spans="2:50" ht="19.5" customHeight="1" thickBot="1" x14ac:dyDescent="0.3">
      <c r="B51" s="476"/>
      <c r="C51" s="476"/>
      <c r="D51" s="476"/>
      <c r="E51" s="476"/>
      <c r="F51" s="476"/>
      <c r="G51" s="476"/>
      <c r="H51" s="476"/>
      <c r="I51" s="476"/>
      <c r="M51" s="69"/>
      <c r="N51" s="70"/>
      <c r="O51" s="70"/>
      <c r="P51" s="70"/>
      <c r="Q51" s="70"/>
      <c r="R51" s="71"/>
      <c r="U51" s="51" t="s">
        <v>273</v>
      </c>
      <c r="V51" s="63">
        <f>V48*$Q$47</f>
        <v>0.65071340298842817</v>
      </c>
      <c r="AT51" s="110" t="s">
        <v>291</v>
      </c>
      <c r="AU51" s="111" t="s">
        <v>286</v>
      </c>
      <c r="AV51" s="110">
        <v>15</v>
      </c>
    </row>
    <row r="52" spans="2:50" ht="19.5" customHeight="1" thickBot="1" x14ac:dyDescent="0.3">
      <c r="B52" s="476"/>
      <c r="C52" s="476"/>
      <c r="D52" s="476"/>
      <c r="E52" s="476"/>
      <c r="F52" s="476"/>
      <c r="G52" s="476"/>
      <c r="H52" s="476"/>
      <c r="I52" s="476"/>
      <c r="AT52" s="110" t="s">
        <v>291</v>
      </c>
      <c r="AU52" s="111" t="s">
        <v>293</v>
      </c>
      <c r="AV52" s="110">
        <v>4</v>
      </c>
    </row>
    <row r="53" spans="2:50" ht="19.5" customHeight="1" thickBot="1" x14ac:dyDescent="0.3">
      <c r="B53" s="477"/>
      <c r="C53" s="477"/>
      <c r="D53" s="477"/>
      <c r="E53" s="477"/>
      <c r="F53" s="477"/>
      <c r="G53" s="477"/>
      <c r="H53" s="477"/>
      <c r="I53" s="477"/>
      <c r="M53" s="48"/>
      <c r="N53" s="49"/>
      <c r="O53" s="49"/>
      <c r="P53" s="49"/>
      <c r="Q53" s="49"/>
      <c r="R53" s="50"/>
      <c r="AP53" s="108"/>
      <c r="AQ53" s="108"/>
      <c r="AS53" s="108"/>
      <c r="AT53" s="110" t="s">
        <v>291</v>
      </c>
      <c r="AU53" s="111" t="s">
        <v>158</v>
      </c>
      <c r="AV53" s="110">
        <v>6</v>
      </c>
    </row>
    <row r="54" spans="2:50" ht="19.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110" t="s">
        <v>291</v>
      </c>
      <c r="AU54" s="111" t="s">
        <v>292</v>
      </c>
      <c r="AV54" s="110">
        <v>12</v>
      </c>
    </row>
    <row r="55" spans="2:50" ht="19.5" customHeight="1" x14ac:dyDescent="0.25">
      <c r="B55" s="449" t="str">
        <f>IF(AP40&gt;0,AP40,"-")</f>
        <v>Ácido Bórico</v>
      </c>
      <c r="C55" s="449"/>
      <c r="D55" s="87">
        <f>IF(AV40&gt;0,AV40,"-")</f>
        <v>4.395068965517241E-2</v>
      </c>
      <c r="E55" s="365" t="str">
        <f>IF(AV40&gt;0,"gramas por planta","-")</f>
        <v>gramas por planta</v>
      </c>
      <c r="F55" s="365"/>
      <c r="G55" s="365"/>
      <c r="H55" s="365"/>
      <c r="I55" s="365"/>
      <c r="M55" s="364"/>
      <c r="N55" s="365"/>
      <c r="O55" s="448" t="s">
        <v>153</v>
      </c>
      <c r="P55" s="448"/>
      <c r="Q55" s="448"/>
      <c r="R55" s="53"/>
      <c r="U55" s="344"/>
      <c r="V55" s="344"/>
      <c r="W55" s="344"/>
      <c r="X55" s="95" t="s">
        <v>105</v>
      </c>
      <c r="Y55" s="95" t="s">
        <v>106</v>
      </c>
      <c r="Z55" s="95" t="s">
        <v>107</v>
      </c>
      <c r="AA55" s="95" t="s">
        <v>195</v>
      </c>
      <c r="AP55" s="465"/>
      <c r="AQ55" s="465"/>
      <c r="AS55" s="465"/>
      <c r="AT55" s="110" t="s">
        <v>291</v>
      </c>
      <c r="AU55" s="111" t="s">
        <v>285</v>
      </c>
      <c r="AV55" s="110">
        <v>14</v>
      </c>
    </row>
    <row r="56" spans="2:50" ht="19.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110" t="s">
        <v>291</v>
      </c>
      <c r="AU56" s="111" t="s">
        <v>287</v>
      </c>
      <c r="AV56" s="110">
        <v>10</v>
      </c>
    </row>
    <row r="57" spans="2:50" ht="19.5" customHeight="1" x14ac:dyDescent="0.25">
      <c r="B57" s="449" t="str">
        <f>IF(AP42&gt;0,AP42,"-")</f>
        <v>Sulfato de zinco</v>
      </c>
      <c r="C57" s="449"/>
      <c r="D57" s="87" t="str">
        <f>IF(AV42&gt;0,AV42,"-")</f>
        <v>-</v>
      </c>
      <c r="E57" s="365" t="str">
        <f t="shared" ref="E57:E59" si="13">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302</v>
      </c>
      <c r="AR57" s="463"/>
      <c r="AS57" s="25"/>
      <c r="AT57" s="110" t="s">
        <v>291</v>
      </c>
      <c r="AU57" s="111" t="s">
        <v>288</v>
      </c>
      <c r="AV57" s="110">
        <v>14</v>
      </c>
    </row>
    <row r="58" spans="2:50" ht="19.5" customHeight="1" x14ac:dyDescent="0.25">
      <c r="B58" s="449" t="str">
        <f>IF(AP43&gt;0,AP43,"-")</f>
        <v>Sulfato de manganês</v>
      </c>
      <c r="C58" s="449"/>
      <c r="D58" s="87" t="str">
        <f>IF(AV43&gt;0,AV43,"-")</f>
        <v>-</v>
      </c>
      <c r="E58" s="365" t="str">
        <f t="shared" si="13"/>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f>IFERROR(VLOOKUP($O$42,AU51:AV59,2,0),0)</f>
        <v>6</v>
      </c>
      <c r="AR58" s="463"/>
      <c r="AS58" s="25"/>
      <c r="AT58" s="110" t="s">
        <v>291</v>
      </c>
      <c r="AU58" s="111" t="s">
        <v>289</v>
      </c>
      <c r="AV58" s="110">
        <v>15</v>
      </c>
    </row>
    <row r="59" spans="2:50" ht="19.5" customHeight="1" x14ac:dyDescent="0.25">
      <c r="B59" s="449" t="str">
        <f>IF(AP44&gt;0,AP44,"-")</f>
        <v>-</v>
      </c>
      <c r="C59" s="449"/>
      <c r="D59" s="87" t="str">
        <f>IF(AV44&gt;0,AV44,"-")</f>
        <v>-</v>
      </c>
      <c r="E59" s="365" t="str">
        <f t="shared" si="13"/>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S59" s="25"/>
      <c r="AT59" s="110" t="s">
        <v>291</v>
      </c>
      <c r="AU59" s="111" t="s">
        <v>290</v>
      </c>
      <c r="AV59" s="110">
        <v>6</v>
      </c>
    </row>
    <row r="60" spans="2:50" ht="19.5" customHeight="1" x14ac:dyDescent="0.25">
      <c r="B60" s="521" t="s">
        <v>536</v>
      </c>
      <c r="C60" s="521"/>
      <c r="D60" s="521"/>
      <c r="E60" s="521"/>
      <c r="F60" s="521"/>
      <c r="G60" s="521"/>
      <c r="H60" s="521"/>
      <c r="I60" s="521"/>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25"/>
      <c r="AU60" s="25"/>
      <c r="AV60" s="25"/>
      <c r="AW60" s="25"/>
      <c r="AX60" s="25"/>
    </row>
    <row r="61" spans="2:50" ht="19.5" customHeight="1" x14ac:dyDescent="0.25">
      <c r="B61" s="521"/>
      <c r="C61" s="521"/>
      <c r="D61" s="521"/>
      <c r="E61" s="521"/>
      <c r="F61" s="521"/>
      <c r="G61" s="521"/>
      <c r="H61" s="521"/>
      <c r="I61" s="521"/>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25"/>
      <c r="AU61" s="25"/>
      <c r="AV61" s="25"/>
      <c r="AW61" s="25"/>
      <c r="AX61" s="25"/>
    </row>
    <row r="62" spans="2:50" ht="19.5" customHeight="1" x14ac:dyDescent="0.25">
      <c r="B62" s="521"/>
      <c r="C62" s="521"/>
      <c r="D62" s="521"/>
      <c r="E62" s="521"/>
      <c r="F62" s="521"/>
      <c r="G62" s="521"/>
      <c r="H62" s="521"/>
      <c r="I62" s="521"/>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S62" s="25"/>
      <c r="AT62" s="25"/>
      <c r="AU62" s="25"/>
      <c r="AV62" s="25"/>
      <c r="AW62" s="25"/>
      <c r="AX62" s="25"/>
    </row>
    <row r="63" spans="2:50" ht="19.5" customHeight="1" thickBot="1" x14ac:dyDescent="0.3">
      <c r="B63" s="522"/>
      <c r="C63" s="522"/>
      <c r="D63" s="522"/>
      <c r="E63" s="522"/>
      <c r="F63" s="522"/>
      <c r="G63" s="522"/>
      <c r="H63" s="522"/>
      <c r="I63" s="522"/>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S63" s="25"/>
      <c r="AT63" s="25"/>
      <c r="AU63" s="25"/>
      <c r="AV63" s="25"/>
      <c r="AW63" s="25"/>
      <c r="AX63" s="25"/>
    </row>
    <row r="64" spans="2:50" ht="19.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S64" s="25"/>
      <c r="AT64" s="25"/>
      <c r="AU64" s="25"/>
      <c r="AV64" s="25"/>
      <c r="AW64" s="25"/>
      <c r="AX64" s="25"/>
    </row>
    <row r="65" spans="2:50" ht="19.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S65" s="25"/>
      <c r="AT65" s="25"/>
      <c r="AU65" s="25"/>
      <c r="AV65" s="25"/>
      <c r="AW65" s="25"/>
      <c r="AX65" s="25"/>
    </row>
    <row r="66" spans="2:50" ht="19.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S66" s="25"/>
      <c r="AT66" s="25"/>
      <c r="AU66" s="25"/>
      <c r="AV66" s="25"/>
      <c r="AW66" s="25"/>
      <c r="AX66" s="25"/>
    </row>
    <row r="67" spans="2:50" ht="19.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S67" s="25"/>
      <c r="AT67" s="25"/>
      <c r="AU67" s="25"/>
      <c r="AV67" s="25"/>
      <c r="AW67" s="25"/>
      <c r="AX67" s="25"/>
    </row>
    <row r="68" spans="2:50" ht="19.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S68" s="25"/>
      <c r="AT68" s="25"/>
      <c r="AU68" s="25"/>
      <c r="AV68" s="25"/>
      <c r="AW68" s="25"/>
      <c r="AX68" s="25"/>
    </row>
    <row r="69" spans="2:50" ht="19.5" customHeight="1" thickBot="1" x14ac:dyDescent="0.3">
      <c r="M69" s="69"/>
      <c r="N69" s="70"/>
      <c r="O69" s="70"/>
      <c r="P69" s="70"/>
      <c r="Q69" s="70"/>
      <c r="R69" s="71"/>
      <c r="AS69" s="25"/>
      <c r="AT69" s="25"/>
      <c r="AU69" s="25"/>
      <c r="AV69" s="25"/>
      <c r="AW69" s="25"/>
      <c r="AX69" s="25"/>
    </row>
    <row r="70" spans="2:50" ht="19.5" customHeight="1" thickBot="1" x14ac:dyDescent="0.3">
      <c r="AS70" s="25"/>
      <c r="AT70" s="25"/>
      <c r="AU70" s="25"/>
      <c r="AV70" s="25"/>
      <c r="AW70" s="25"/>
      <c r="AX70" s="25"/>
    </row>
    <row r="71" spans="2:50" ht="19.5" customHeight="1" x14ac:dyDescent="0.25">
      <c r="M71" s="48"/>
      <c r="N71" s="49"/>
      <c r="O71" s="49"/>
      <c r="P71" s="49"/>
      <c r="Q71" s="49"/>
      <c r="R71" s="50"/>
      <c r="U71" s="347" t="s">
        <v>136</v>
      </c>
      <c r="V71" s="347" t="s">
        <v>76</v>
      </c>
      <c r="W71" s="347" t="s">
        <v>77</v>
      </c>
      <c r="X71" s="347" t="s">
        <v>284</v>
      </c>
      <c r="Y71" s="347"/>
      <c r="Z71" s="347"/>
      <c r="AS71" s="25"/>
      <c r="AT71" s="25"/>
      <c r="AU71" s="25"/>
      <c r="AV71" s="25"/>
      <c r="AW71" s="25"/>
      <c r="AX71" s="25"/>
    </row>
    <row r="72" spans="2:50" ht="19.5" customHeight="1" x14ac:dyDescent="0.25">
      <c r="M72" s="364" t="s">
        <v>215</v>
      </c>
      <c r="N72" s="365"/>
      <c r="O72" s="450" t="s">
        <v>252</v>
      </c>
      <c r="P72" s="451"/>
      <c r="Q72" s="452"/>
      <c r="R72" s="53"/>
      <c r="U72" s="347"/>
      <c r="V72" s="347"/>
      <c r="W72" s="347"/>
      <c r="X72" s="13" t="s">
        <v>81</v>
      </c>
      <c r="Y72" s="13" t="s">
        <v>82</v>
      </c>
      <c r="Z72" s="13" t="s">
        <v>83</v>
      </c>
      <c r="AS72" s="25"/>
      <c r="AT72" s="25"/>
      <c r="AU72" s="25"/>
      <c r="AV72" s="25"/>
      <c r="AW72" s="25"/>
      <c r="AX72" s="25"/>
    </row>
    <row r="73" spans="2:50" ht="19.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S73" s="25"/>
      <c r="AT73" s="25"/>
      <c r="AU73" s="25"/>
      <c r="AV73" s="25"/>
      <c r="AW73" s="25"/>
      <c r="AX73" s="25"/>
    </row>
    <row r="74" spans="2:50" ht="19.5" customHeight="1" x14ac:dyDescent="0.25">
      <c r="M74" s="364"/>
      <c r="N74" s="365"/>
      <c r="O74" s="448" t="s">
        <v>229</v>
      </c>
      <c r="P74" s="448"/>
      <c r="Q74" s="92">
        <v>1</v>
      </c>
      <c r="R74" s="53"/>
      <c r="U74" s="340"/>
      <c r="V74" s="14" t="str">
        <f>'Adubos e corretivos'!C105</f>
        <v>Gesso Votorantim</v>
      </c>
      <c r="W74" s="14">
        <f>'Adubos e corretivos'!D105</f>
        <v>0</v>
      </c>
      <c r="X74" s="14">
        <f>'Adubos e corretivos'!E105</f>
        <v>16</v>
      </c>
      <c r="Y74" s="14">
        <f>'Adubos e corretivos'!F105</f>
        <v>0</v>
      </c>
      <c r="Z74" s="14">
        <f>'Adubos e corretivos'!G105</f>
        <v>20</v>
      </c>
      <c r="AS74" s="25"/>
      <c r="AT74" s="25"/>
      <c r="AU74" s="25"/>
      <c r="AV74" s="25"/>
      <c r="AW74" s="25"/>
      <c r="AX74" s="25"/>
    </row>
    <row r="75" spans="2:50" ht="19.5" customHeight="1" x14ac:dyDescent="0.25">
      <c r="M75" s="364"/>
      <c r="N75" s="365"/>
      <c r="O75" s="448" t="s">
        <v>216</v>
      </c>
      <c r="P75" s="448"/>
      <c r="Q75" s="92"/>
      <c r="R75" s="53"/>
      <c r="U75" s="340"/>
      <c r="V75" s="14" t="str">
        <f>'Adubos e corretivos'!C106</f>
        <v>Gesso Agronelli</v>
      </c>
      <c r="W75" s="14">
        <f>'Adubos e corretivos'!D106</f>
        <v>0</v>
      </c>
      <c r="X75" s="14">
        <f>'Adubos e corretivos'!E106</f>
        <v>14</v>
      </c>
      <c r="Y75" s="14">
        <f>'Adubos e corretivos'!F106</f>
        <v>0</v>
      </c>
      <c r="Z75" s="14">
        <f>'Adubos e corretivos'!G106</f>
        <v>17</v>
      </c>
      <c r="AS75" s="25"/>
      <c r="AT75" s="25"/>
      <c r="AU75" s="25"/>
      <c r="AV75" s="25"/>
      <c r="AW75" s="25"/>
      <c r="AX75" s="25"/>
    </row>
    <row r="76" spans="2:50" ht="19.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S76" s="25"/>
      <c r="AT76" s="25"/>
      <c r="AU76" s="25"/>
      <c r="AV76" s="25"/>
      <c r="AW76" s="25"/>
      <c r="AX76" s="25"/>
    </row>
    <row r="77" spans="2:50" ht="19.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S77" s="25"/>
      <c r="AT77" s="25"/>
      <c r="AU77" s="25"/>
      <c r="AV77" s="25"/>
      <c r="AW77" s="25"/>
      <c r="AX77" s="25"/>
    </row>
    <row r="78" spans="2:50" ht="19.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S78" s="25"/>
      <c r="AT78" s="25"/>
      <c r="AU78" s="25"/>
      <c r="AV78" s="25"/>
      <c r="AW78" s="25"/>
      <c r="AX78" s="25"/>
    </row>
    <row r="79" spans="2:50" ht="19.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S79" s="25"/>
      <c r="AT79" s="25"/>
      <c r="AU79" s="25"/>
      <c r="AV79" s="25"/>
      <c r="AW79" s="25"/>
      <c r="AX79" s="25"/>
    </row>
    <row r="80" spans="2:50" ht="19.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S80" s="25"/>
      <c r="AT80" s="25"/>
      <c r="AU80" s="25"/>
      <c r="AV80" s="25"/>
      <c r="AW80" s="25"/>
      <c r="AX80" s="25"/>
    </row>
    <row r="81" spans="13:50" ht="19.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S81" s="25"/>
      <c r="AT81" s="25"/>
      <c r="AU81" s="25"/>
      <c r="AV81" s="25"/>
      <c r="AW81" s="25"/>
      <c r="AX81" s="25"/>
    </row>
    <row r="82" spans="13:50" ht="19.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S82" s="25"/>
      <c r="AT82" s="25"/>
      <c r="AU82" s="25"/>
      <c r="AV82" s="25"/>
      <c r="AW82" s="25"/>
      <c r="AX82" s="25"/>
    </row>
    <row r="83" spans="13:50" ht="19.5" customHeight="1" x14ac:dyDescent="0.25">
      <c r="M83" s="364"/>
      <c r="N83" s="365"/>
      <c r="O83" s="448" t="s">
        <v>116</v>
      </c>
      <c r="P83" s="448"/>
      <c r="Q83" s="92">
        <v>0.5</v>
      </c>
      <c r="R83" s="53"/>
      <c r="AS83" s="25"/>
      <c r="AT83" s="25"/>
      <c r="AU83" s="25"/>
      <c r="AV83" s="25"/>
      <c r="AW83" s="25"/>
      <c r="AX83" s="25"/>
    </row>
    <row r="84" spans="13:50" ht="19.5" customHeight="1" x14ac:dyDescent="0.25">
      <c r="M84" s="364"/>
      <c r="N84" s="365"/>
      <c r="O84" s="448"/>
      <c r="P84" s="448"/>
      <c r="Q84" s="92"/>
      <c r="R84" s="53"/>
      <c r="AS84" s="25"/>
      <c r="AT84" s="25"/>
      <c r="AU84" s="25"/>
      <c r="AV84" s="25"/>
      <c r="AW84" s="25"/>
      <c r="AX84" s="25"/>
    </row>
    <row r="85" spans="13:50" ht="19.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S85" s="25"/>
      <c r="AT85" s="25"/>
      <c r="AU85" s="25"/>
      <c r="AV85" s="25"/>
      <c r="AW85" s="25"/>
      <c r="AX85" s="25"/>
    </row>
    <row r="86" spans="13:50" ht="19.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S86" s="25"/>
      <c r="AT86" s="25"/>
      <c r="AU86" s="25"/>
      <c r="AV86" s="25"/>
      <c r="AW86" s="25"/>
      <c r="AX86" s="25"/>
    </row>
    <row r="87" spans="13:50" ht="19.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4">Y160</f>
        <v>8.7999999999999995E-2</v>
      </c>
      <c r="Z87" s="99">
        <f t="shared" si="14"/>
        <v>0.2</v>
      </c>
      <c r="AA87" s="99">
        <f t="shared" si="14"/>
        <v>2.83</v>
      </c>
      <c r="AB87" s="99">
        <f t="shared" si="14"/>
        <v>3.4</v>
      </c>
      <c r="AC87" s="100">
        <f>AC160*0.602</f>
        <v>1.5155244755244754</v>
      </c>
      <c r="AD87" s="100">
        <f>AD160*0.715</f>
        <v>5.4634551495016606</v>
      </c>
      <c r="AE87" s="100">
        <f t="shared" ref="AE87:AE95" si="15">AB87+AC87+AD87</f>
        <v>10.378979625026137</v>
      </c>
      <c r="AS87" s="25"/>
      <c r="AT87" s="25"/>
      <c r="AU87" s="25"/>
      <c r="AV87" s="25"/>
      <c r="AW87" s="25"/>
      <c r="AX87" s="25"/>
    </row>
    <row r="88" spans="13:50" ht="19.5" customHeight="1" x14ac:dyDescent="0.25">
      <c r="M88" s="364"/>
      <c r="N88" s="365"/>
      <c r="O88" s="450" t="s">
        <v>254</v>
      </c>
      <c r="P88" s="451"/>
      <c r="Q88" s="452"/>
      <c r="R88" s="53"/>
      <c r="U88" s="466"/>
      <c r="V88" s="99" t="str">
        <f t="shared" ref="V88:W95" si="16">V161</f>
        <v>Kamafugito</v>
      </c>
      <c r="W88" s="99">
        <f t="shared" si="16"/>
        <v>0</v>
      </c>
      <c r="X88" s="99">
        <f t="shared" ref="X88:X95" si="17">AL161</f>
        <v>0</v>
      </c>
      <c r="Y88" s="99">
        <f t="shared" si="14"/>
        <v>1.5069999999999999</v>
      </c>
      <c r="Z88" s="99">
        <f t="shared" si="14"/>
        <v>3.5</v>
      </c>
      <c r="AA88" s="99">
        <f t="shared" si="14"/>
        <v>3.3250000000000002</v>
      </c>
      <c r="AB88" s="99">
        <f t="shared" si="14"/>
        <v>4</v>
      </c>
      <c r="AC88" s="100">
        <f t="shared" ref="AC88:AC95" si="18">AC161*0.602</f>
        <v>1.7217199999999999</v>
      </c>
      <c r="AD88" s="100">
        <f t="shared" ref="AD88:AD95" si="19">AD161*0.715</f>
        <v>0</v>
      </c>
      <c r="AE88" s="100">
        <f t="shared" si="15"/>
        <v>5.7217199999999995</v>
      </c>
      <c r="AS88" s="25"/>
      <c r="AT88" s="25"/>
      <c r="AU88" s="25"/>
      <c r="AV88" s="25"/>
      <c r="AW88" s="25"/>
      <c r="AX88" s="25"/>
    </row>
    <row r="89" spans="13:50" ht="19.5" customHeight="1" x14ac:dyDescent="0.25">
      <c r="M89" s="364"/>
      <c r="N89" s="365"/>
      <c r="O89" s="450" t="s">
        <v>251</v>
      </c>
      <c r="P89" s="451"/>
      <c r="Q89" s="452"/>
      <c r="R89" s="53"/>
      <c r="U89" s="466"/>
      <c r="V89" s="99" t="str">
        <f t="shared" si="16"/>
        <v>Micaxisto (61) 3233-9368</v>
      </c>
      <c r="W89" s="99">
        <f t="shared" si="16"/>
        <v>0</v>
      </c>
      <c r="X89" s="99">
        <f t="shared" si="17"/>
        <v>0</v>
      </c>
      <c r="Y89" s="99">
        <f t="shared" si="14"/>
        <v>4.4999999999999998E-2</v>
      </c>
      <c r="Z89" s="99">
        <f t="shared" si="14"/>
        <v>0.1</v>
      </c>
      <c r="AA89" s="99">
        <f t="shared" si="14"/>
        <v>4.32</v>
      </c>
      <c r="AB89" s="99">
        <f t="shared" si="14"/>
        <v>5.2</v>
      </c>
      <c r="AC89" s="100">
        <f t="shared" si="18"/>
        <v>0.75776223776223772</v>
      </c>
      <c r="AD89" s="100">
        <f t="shared" si="19"/>
        <v>0.83139534883720934</v>
      </c>
      <c r="AE89" s="100">
        <f t="shared" si="15"/>
        <v>6.7891575865994476</v>
      </c>
      <c r="AS89" s="25"/>
      <c r="AT89" s="25"/>
      <c r="AU89" s="25"/>
      <c r="AV89" s="25"/>
      <c r="AW89" s="25"/>
      <c r="AX89" s="25"/>
    </row>
    <row r="90" spans="13:50" ht="19.5" customHeight="1" x14ac:dyDescent="0.25">
      <c r="M90" s="364"/>
      <c r="N90" s="365"/>
      <c r="O90" s="448" t="s">
        <v>93</v>
      </c>
      <c r="P90" s="448"/>
      <c r="Q90" s="92">
        <v>1</v>
      </c>
      <c r="R90" s="53"/>
      <c r="U90" s="466"/>
      <c r="V90" s="99" t="str">
        <f t="shared" si="16"/>
        <v xml:space="preserve">Pó de brita Fmx (62) 3924 8565 </v>
      </c>
      <c r="W90" s="99">
        <f t="shared" si="16"/>
        <v>0</v>
      </c>
      <c r="X90" s="99">
        <f t="shared" si="17"/>
        <v>0</v>
      </c>
      <c r="Y90" s="99">
        <f t="shared" si="14"/>
        <v>0</v>
      </c>
      <c r="Z90" s="99">
        <f t="shared" si="14"/>
        <v>0</v>
      </c>
      <c r="AA90" s="99">
        <f t="shared" si="14"/>
        <v>4.99</v>
      </c>
      <c r="AB90" s="99">
        <f t="shared" si="14"/>
        <v>6</v>
      </c>
      <c r="AC90" s="100">
        <f t="shared" si="18"/>
        <v>2.5258741258741257</v>
      </c>
      <c r="AD90" s="100">
        <f t="shared" si="19"/>
        <v>0.59385382059800662</v>
      </c>
      <c r="AE90" s="100">
        <f t="shared" si="15"/>
        <v>9.1197279464721319</v>
      </c>
      <c r="AS90" s="25"/>
      <c r="AT90" s="25"/>
      <c r="AU90" s="25"/>
      <c r="AV90" s="25"/>
      <c r="AW90" s="25"/>
      <c r="AX90" s="25"/>
    </row>
    <row r="91" spans="13:50" ht="19.5" customHeight="1" x14ac:dyDescent="0.25">
      <c r="M91" s="364"/>
      <c r="N91" s="365"/>
      <c r="O91" s="448"/>
      <c r="P91" s="448"/>
      <c r="Q91" s="92"/>
      <c r="R91" s="53"/>
      <c r="U91" s="466"/>
      <c r="V91" s="99" t="str">
        <f t="shared" si="16"/>
        <v>Remax Mistel (61) 99414-1975</v>
      </c>
      <c r="W91" s="99">
        <f t="shared" si="16"/>
        <v>0</v>
      </c>
      <c r="X91" s="99">
        <f t="shared" si="17"/>
        <v>43.8</v>
      </c>
      <c r="Y91" s="99">
        <f t="shared" si="14"/>
        <v>4.4999999999999998E-2</v>
      </c>
      <c r="Z91" s="99">
        <f t="shared" si="14"/>
        <v>0.1</v>
      </c>
      <c r="AA91" s="99">
        <f t="shared" si="14"/>
        <v>2.1949999999999998</v>
      </c>
      <c r="AB91" s="99">
        <f t="shared" si="14"/>
        <v>2.6</v>
      </c>
      <c r="AC91" s="100">
        <f t="shared" si="18"/>
        <v>11.282237762237763</v>
      </c>
      <c r="AD91" s="100">
        <f t="shared" si="19"/>
        <v>8.8959302325581397</v>
      </c>
      <c r="AE91" s="100">
        <f t="shared" si="15"/>
        <v>22.778167994795901</v>
      </c>
      <c r="AS91" s="25"/>
      <c r="AT91" s="25"/>
      <c r="AU91" s="25"/>
      <c r="AV91" s="25"/>
      <c r="AW91" s="25"/>
      <c r="AX91" s="25"/>
    </row>
    <row r="92" spans="13:50" ht="19.5" customHeight="1" x14ac:dyDescent="0.25">
      <c r="M92" s="364"/>
      <c r="N92" s="365"/>
      <c r="O92" s="448"/>
      <c r="P92" s="448"/>
      <c r="Q92" s="92"/>
      <c r="R92" s="53"/>
      <c r="U92" s="466"/>
      <c r="V92" s="99">
        <f t="shared" si="16"/>
        <v>0</v>
      </c>
      <c r="W92" s="99">
        <f t="shared" si="16"/>
        <v>0</v>
      </c>
      <c r="X92" s="99">
        <f t="shared" si="17"/>
        <v>0</v>
      </c>
      <c r="Y92" s="99">
        <f t="shared" si="14"/>
        <v>0</v>
      </c>
      <c r="Z92" s="99">
        <f t="shared" si="14"/>
        <v>0</v>
      </c>
      <c r="AA92" s="99">
        <f t="shared" si="14"/>
        <v>0</v>
      </c>
      <c r="AB92" s="99">
        <f t="shared" si="14"/>
        <v>0</v>
      </c>
      <c r="AC92" s="100">
        <f t="shared" si="18"/>
        <v>0</v>
      </c>
      <c r="AD92" s="100">
        <f t="shared" si="19"/>
        <v>0</v>
      </c>
      <c r="AE92" s="100">
        <f t="shared" si="15"/>
        <v>0</v>
      </c>
      <c r="AS92" s="25"/>
      <c r="AT92" s="25"/>
      <c r="AU92" s="25"/>
      <c r="AV92" s="25"/>
      <c r="AW92" s="25"/>
      <c r="AX92" s="25"/>
    </row>
    <row r="93" spans="13:50" ht="19.5" customHeight="1" x14ac:dyDescent="0.25">
      <c r="M93" s="101"/>
      <c r="N93" s="25"/>
      <c r="O93" s="25"/>
      <c r="P93" s="25"/>
      <c r="Q93" s="25"/>
      <c r="R93" s="53"/>
      <c r="U93" s="466"/>
      <c r="V93" s="99">
        <f t="shared" si="16"/>
        <v>0</v>
      </c>
      <c r="W93" s="99">
        <f t="shared" si="16"/>
        <v>0</v>
      </c>
      <c r="X93" s="99">
        <f t="shared" si="17"/>
        <v>0</v>
      </c>
      <c r="Y93" s="99">
        <f t="shared" si="14"/>
        <v>0</v>
      </c>
      <c r="Z93" s="99">
        <f t="shared" si="14"/>
        <v>0</v>
      </c>
      <c r="AA93" s="99">
        <f t="shared" si="14"/>
        <v>0</v>
      </c>
      <c r="AB93" s="99">
        <f t="shared" si="14"/>
        <v>0</v>
      </c>
      <c r="AC93" s="100">
        <f t="shared" si="18"/>
        <v>0</v>
      </c>
      <c r="AD93" s="100">
        <f t="shared" si="19"/>
        <v>0</v>
      </c>
      <c r="AE93" s="100">
        <f t="shared" si="15"/>
        <v>0</v>
      </c>
      <c r="AS93" s="25"/>
      <c r="AT93" s="25"/>
      <c r="AU93" s="25"/>
      <c r="AV93" s="25"/>
      <c r="AW93" s="25"/>
      <c r="AX93" s="25"/>
    </row>
    <row r="94" spans="13:50" ht="19.5" customHeight="1" x14ac:dyDescent="0.25">
      <c r="M94" s="101"/>
      <c r="N94" s="25"/>
      <c r="O94" s="365" t="s">
        <v>264</v>
      </c>
      <c r="P94" s="365"/>
      <c r="Q94" s="365"/>
      <c r="R94" s="53"/>
      <c r="U94" s="466"/>
      <c r="V94" s="99">
        <f t="shared" si="16"/>
        <v>0</v>
      </c>
      <c r="W94" s="99">
        <f t="shared" si="16"/>
        <v>0</v>
      </c>
      <c r="X94" s="99">
        <f t="shared" si="17"/>
        <v>0</v>
      </c>
      <c r="Y94" s="99">
        <f t="shared" si="14"/>
        <v>0</v>
      </c>
      <c r="Z94" s="99">
        <f t="shared" si="14"/>
        <v>0</v>
      </c>
      <c r="AA94" s="99">
        <f t="shared" si="14"/>
        <v>0</v>
      </c>
      <c r="AB94" s="99">
        <f t="shared" si="14"/>
        <v>0</v>
      </c>
      <c r="AC94" s="100">
        <f t="shared" si="18"/>
        <v>0</v>
      </c>
      <c r="AD94" s="100">
        <f t="shared" si="19"/>
        <v>0</v>
      </c>
      <c r="AE94" s="100">
        <f t="shared" si="15"/>
        <v>0</v>
      </c>
      <c r="AS94" s="25"/>
      <c r="AT94" s="25"/>
      <c r="AU94" s="25"/>
      <c r="AV94" s="25"/>
      <c r="AW94" s="25"/>
      <c r="AX94" s="25"/>
    </row>
    <row r="95" spans="13:50" ht="19.5" customHeight="1" thickBot="1" x14ac:dyDescent="0.3">
      <c r="M95" s="69"/>
      <c r="N95" s="70"/>
      <c r="O95" s="70"/>
      <c r="P95" s="70"/>
      <c r="Q95" s="70"/>
      <c r="R95" s="71"/>
      <c r="U95" s="466"/>
      <c r="V95" s="99">
        <f t="shared" si="16"/>
        <v>0</v>
      </c>
      <c r="W95" s="99">
        <f t="shared" si="16"/>
        <v>0</v>
      </c>
      <c r="X95" s="99">
        <f t="shared" si="17"/>
        <v>0</v>
      </c>
      <c r="Y95" s="99">
        <f t="shared" si="14"/>
        <v>0</v>
      </c>
      <c r="Z95" s="99">
        <f t="shared" si="14"/>
        <v>0</v>
      </c>
      <c r="AA95" s="99">
        <f t="shared" si="14"/>
        <v>0</v>
      </c>
      <c r="AB95" s="99">
        <f t="shared" si="14"/>
        <v>0</v>
      </c>
      <c r="AC95" s="100">
        <f t="shared" si="18"/>
        <v>0</v>
      </c>
      <c r="AD95" s="100">
        <f t="shared" si="19"/>
        <v>0</v>
      </c>
      <c r="AE95" s="100">
        <f t="shared" si="15"/>
        <v>0</v>
      </c>
      <c r="AS95" s="25"/>
      <c r="AT95" s="25"/>
      <c r="AU95" s="25"/>
      <c r="AV95" s="25"/>
      <c r="AW95" s="25"/>
      <c r="AX95" s="25"/>
    </row>
    <row r="96" spans="13:50" ht="19.5" customHeight="1" thickBot="1" x14ac:dyDescent="0.3">
      <c r="AS96" s="25"/>
      <c r="AT96" s="25"/>
      <c r="AU96" s="25"/>
      <c r="AV96" s="25"/>
      <c r="AW96" s="25"/>
      <c r="AX96" s="25"/>
    </row>
    <row r="97" spans="1:50" ht="19.5" customHeight="1" x14ac:dyDescent="0.25">
      <c r="A97" s="26"/>
      <c r="M97" s="48"/>
      <c r="N97" s="49"/>
      <c r="O97" s="49"/>
      <c r="P97" s="49"/>
      <c r="Q97" s="49"/>
      <c r="R97" s="50"/>
      <c r="AS97" s="25"/>
      <c r="AT97" s="25"/>
      <c r="AU97" s="25"/>
      <c r="AV97" s="25"/>
      <c r="AW97" s="25"/>
      <c r="AX97" s="25"/>
    </row>
    <row r="98" spans="1:50" ht="19.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c r="AS98" s="25"/>
      <c r="AT98" s="25"/>
      <c r="AU98" s="25"/>
      <c r="AV98" s="25"/>
      <c r="AW98" s="25"/>
      <c r="AX98" s="25"/>
    </row>
    <row r="99" spans="1:50" ht="19.5" customHeight="1" x14ac:dyDescent="0.25">
      <c r="A99" s="94"/>
      <c r="M99" s="364" t="s">
        <v>262</v>
      </c>
      <c r="N99" s="453"/>
      <c r="O99" s="103">
        <f>$AC$30</f>
        <v>3.85</v>
      </c>
      <c r="P99" s="103">
        <f>$AC$31</f>
        <v>0.69300000000000006</v>
      </c>
      <c r="Q99" s="103">
        <f>$AC$32</f>
        <v>2.9260000000000002</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c r="AS99" s="25"/>
      <c r="AT99" s="25"/>
      <c r="AU99" s="25"/>
      <c r="AV99" s="25"/>
      <c r="AW99" s="25"/>
      <c r="AX99" s="25"/>
    </row>
    <row r="100" spans="1:50" ht="19.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c r="AS100" s="25"/>
      <c r="AT100" s="25"/>
      <c r="AU100" s="25"/>
      <c r="AV100" s="25"/>
      <c r="AW100" s="25"/>
      <c r="AX100" s="25"/>
    </row>
    <row r="101" spans="1:50" ht="19.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c r="AS101" s="25"/>
      <c r="AT101" s="25"/>
      <c r="AU101" s="25"/>
      <c r="AV101" s="25"/>
      <c r="AW101" s="25"/>
      <c r="AX101" s="25"/>
    </row>
    <row r="102" spans="1:50" ht="19.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c r="AS102" s="25"/>
      <c r="AT102" s="25"/>
      <c r="AU102" s="25"/>
      <c r="AV102" s="25"/>
      <c r="AW102" s="25"/>
      <c r="AX102" s="25"/>
    </row>
    <row r="103" spans="1:50" ht="19.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c r="AS103" s="25"/>
      <c r="AT103" s="25"/>
      <c r="AU103" s="25"/>
      <c r="AV103" s="25"/>
      <c r="AW103" s="25"/>
      <c r="AX103" s="25"/>
    </row>
    <row r="104" spans="1:50" ht="19.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c r="AS104" s="25"/>
      <c r="AT104" s="25"/>
      <c r="AU104" s="25"/>
      <c r="AV104" s="25"/>
      <c r="AW104" s="25"/>
      <c r="AX104" s="25"/>
    </row>
    <row r="105" spans="1:50" ht="19.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c r="AS105" s="25"/>
      <c r="AT105" s="25"/>
      <c r="AU105" s="25"/>
      <c r="AV105" s="25"/>
      <c r="AW105" s="25"/>
      <c r="AX105" s="25"/>
    </row>
    <row r="106" spans="1:50" ht="19.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50" ht="19.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50" ht="19.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50" ht="19.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50" ht="19.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50" ht="19.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50" ht="19.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19.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19.5" customHeight="1" x14ac:dyDescent="0.25">
      <c r="M114" s="101" t="s">
        <v>262</v>
      </c>
      <c r="N114" s="103">
        <f>AS26</f>
        <v>7.7000000000000002E-3</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19.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19.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19.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19.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19.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19.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19.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19.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19.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19.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19.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19.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19.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19.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19.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19.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19.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19.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19.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19.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19.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19.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19.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19.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19.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19.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19.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19.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19.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19.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19.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19.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19.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19.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19.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19.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19.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19.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19.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19.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19.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19.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19.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19.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19.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19.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19.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19.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19.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19.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19.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19.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19.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19.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19.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19.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19.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19.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19.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19.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19.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19.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19.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19.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19.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O31:Q31"/>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dataValidations count="5">
    <dataValidation type="list" allowBlank="1" showInputMessage="1" showErrorMessage="1" sqref="O105:Q109">
      <formula1>$V$170:$V$179</formula1>
    </dataValidation>
    <dataValidation type="list" allowBlank="1" showInputMessage="1" showErrorMessage="1" sqref="O68 O176 N159 O174">
      <formula1>$AG$29:$AG$30</formula1>
    </dataValidation>
    <dataValidation type="list" allowBlank="1" showInputMessage="1" showErrorMessage="1" sqref="P39:Q39">
      <formula1>$AE$31:$AE$35</formula1>
    </dataValidation>
    <dataValidation type="list" allowBlank="1" showInputMessage="1" showErrorMessage="1" sqref="Q82:Q84 Q90:Q92 Q74:Q76 Q47 Q50">
      <formula1>$AI$29:$AI$40</formula1>
    </dataValidation>
    <dataValidation type="list" allowBlank="1" showInputMessage="1" showErrorMessage="1" sqref="O42:Q42">
      <formula1>$AK$29:$AK$38</formula1>
    </dataValidation>
  </dataValidations>
  <hyperlinks>
    <hyperlink ref="M4" location="Apresentação!A1" display="Voltar"/>
    <hyperlink ref="M4:N4" location="Painel!A1" display="Voltar"/>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corretivos'!$C$3:$C$62</xm:f>
          </x14:formula1>
          <xm:sqref>O74:P76 O82:P84 O90:P92</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corretivos'!$C$104:$C$113</xm:f>
          </x14:formula1>
          <xm:sqref>O55:Q55</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E43" sqref="E43:I43"/>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18.7109375" style="11" customWidth="1"/>
    <col min="17" max="17" width="49.28515625" style="11" customWidth="1"/>
    <col min="18" max="18" width="8.7109375"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0.28515625" style="11" hidden="1" customWidth="1" outlineLevel="1"/>
    <col min="25" max="25" width="22.42578125" style="11" hidden="1" customWidth="1" outlineLevel="1"/>
    <col min="26" max="26" width="18.85546875"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25.42578125" style="11" hidden="1" customWidth="1" outlineLevel="1"/>
    <col min="32" max="32" width="25.5703125" style="11" hidden="1" customWidth="1" outlineLevel="1"/>
    <col min="33" max="33" width="21.42578125" style="11" hidden="1" customWidth="1" outlineLevel="1"/>
    <col min="34" max="34" width="21.5703125" style="11" hidden="1" customWidth="1" outlineLevel="1"/>
    <col min="35" max="36" width="14.28515625" style="11" hidden="1" customWidth="1" outlineLevel="1"/>
    <col min="37" max="37" width="31.42578125" style="11" hidden="1" customWidth="1" outlineLevel="1"/>
    <col min="38" max="38" width="11.425781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29.28515625" style="11" hidden="1" customWidth="1" outlineLevel="1"/>
    <col min="47" max="48" width="23.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200</v>
      </c>
      <c r="AT5" s="55">
        <f>$AC$31</f>
        <v>60</v>
      </c>
      <c r="AU5" s="55">
        <f>$AC$32</f>
        <v>60</v>
      </c>
      <c r="AV5" s="509"/>
      <c r="AW5" s="47"/>
      <c r="AX5" s="47"/>
      <c r="AY5" s="47"/>
      <c r="AZ5" s="47"/>
      <c r="BA5" s="47"/>
      <c r="BB5" s="47"/>
    </row>
    <row r="6" spans="1:54" ht="20.25" customHeight="1" x14ac:dyDescent="0.25">
      <c r="M6" s="364"/>
      <c r="N6" s="453"/>
      <c r="O6" s="51" t="s">
        <v>3</v>
      </c>
      <c r="P6" s="56">
        <v>2</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30.000000000000007</v>
      </c>
      <c r="AU6" s="55">
        <f>IFERROR((VLOOKUP(AQ6,$V$100:$AB$179,7,0)*0.01)*AV6,0)</f>
        <v>0</v>
      </c>
      <c r="AV6" s="55">
        <f>IFERROR($AT$5*Q74/(VLOOKUP(AQ6,$V$100:$AB$179,5,0)/100),0)</f>
        <v>171.42857142857144</v>
      </c>
      <c r="AW6" s="47"/>
      <c r="AX6" s="47"/>
      <c r="AY6" s="47"/>
      <c r="AZ6" s="47"/>
      <c r="BA6" s="47"/>
      <c r="BB6" s="47"/>
    </row>
    <row r="7" spans="1:54" ht="20.25" customHeight="1" x14ac:dyDescent="0.25">
      <c r="M7" s="364"/>
      <c r="N7" s="453"/>
      <c r="O7" s="51" t="s">
        <v>4</v>
      </c>
      <c r="P7" s="32">
        <v>1</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30.000000000000004</v>
      </c>
      <c r="AU7" s="55">
        <f>IFERROR((VLOOKUP(AQ7,$V$100:$AB$179,7,0)*0.01)*AV7,0)</f>
        <v>0</v>
      </c>
      <c r="AV7" s="55">
        <f>IFERROR($AT$5*Q75/(VLOOKUP(AQ7,$V$100:$AB$179,5,0)/100),0)</f>
        <v>166.66666666666669</v>
      </c>
      <c r="AW7" s="47"/>
      <c r="AX7" s="47"/>
      <c r="AY7" s="47"/>
      <c r="AZ7" s="47"/>
      <c r="BA7" s="47"/>
      <c r="BB7" s="47"/>
    </row>
    <row r="8" spans="1:54" ht="20.25" customHeight="1" thickBot="1" x14ac:dyDescent="0.3">
      <c r="M8" s="364"/>
      <c r="N8" s="453"/>
      <c r="O8" s="51" t="s">
        <v>5</v>
      </c>
      <c r="P8" s="56">
        <v>0.5</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8</v>
      </c>
      <c r="AL9" s="457">
        <f>(AM9*1000)/$E$18</f>
        <v>8</v>
      </c>
      <c r="AM9" s="456">
        <v>2</v>
      </c>
      <c r="AO9" s="47"/>
      <c r="AP9" s="47"/>
      <c r="AQ9" s="47"/>
      <c r="AR9" s="47"/>
      <c r="AS9" s="59">
        <f>AS5-(SUM(AS6:AS8))</f>
        <v>200</v>
      </c>
      <c r="AT9" s="59">
        <f>AT5-(SUM(AT6:AT8))</f>
        <v>0</v>
      </c>
      <c r="AU9" s="59">
        <f>AU5-(SUM(AU6:AU8))</f>
        <v>60</v>
      </c>
      <c r="AV9" s="59"/>
      <c r="AW9" s="47"/>
      <c r="AX9" s="47"/>
      <c r="AY9" s="47"/>
      <c r="AZ9" s="47"/>
      <c r="BA9" s="47"/>
      <c r="BB9" s="47"/>
    </row>
    <row r="10" spans="1:54" ht="20.2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200</v>
      </c>
      <c r="AT11" s="55">
        <f t="shared" ref="AT11:AU11" si="0">AT9</f>
        <v>0</v>
      </c>
      <c r="AU11" s="55">
        <f t="shared" si="0"/>
        <v>60</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8</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30</v>
      </c>
      <c r="AV12" s="55">
        <f>IFERROR($AU$11*Q82/(VLOOKUP(AQ12,$V$100:$AB$179,7,0)/100),0)</f>
        <v>50</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30</v>
      </c>
      <c r="AV13" s="55">
        <f>IFERROR($AU$11*Q83/(VLOOKUP(AQ13,$V$100:$AB$179,7,0)/100),0)</f>
        <v>375</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24</v>
      </c>
      <c r="AM15" s="456">
        <v>6</v>
      </c>
      <c r="AO15" s="47"/>
      <c r="AP15" s="47"/>
      <c r="AQ15" s="47"/>
      <c r="AR15" s="47"/>
      <c r="AS15" s="59">
        <f>AS11-(SUM(AS12:AS14))</f>
        <v>200</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200</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250</v>
      </c>
      <c r="F18" s="457" t="s">
        <v>125</v>
      </c>
      <c r="G18" s="457"/>
      <c r="H18" s="457"/>
      <c r="I18" s="51">
        <f>O34</f>
        <v>1</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24</v>
      </c>
      <c r="AM18" s="456">
        <v>6</v>
      </c>
      <c r="AO18" s="47"/>
      <c r="AP18" s="54">
        <v>13</v>
      </c>
      <c r="AQ18" s="447" t="str">
        <f>O90</f>
        <v>Nitrato de Amônio</v>
      </c>
      <c r="AR18" s="447"/>
      <c r="AS18" s="55">
        <f>IFERROR((VLOOKUP(AQ18,$V$100:$AB$179,3,0)*0.01)*AV18,0)</f>
        <v>200</v>
      </c>
      <c r="AT18" s="55">
        <f>IFERROR((VLOOKUP(AQ18,$V$100:$AB$179,5,0)*0.01)*AV18,0)</f>
        <v>0</v>
      </c>
      <c r="AU18" s="55">
        <f>IFERROR((VLOOKUP(AQ18,$V$100:$AB$179,7,0)*0.01)*AV18,0)</f>
        <v>0</v>
      </c>
      <c r="AV18" s="55">
        <f>IFERROR($AS$17*Q90/(VLOOKUP(AQ18,$V$100:$AB$179,3,0)/100),0)</f>
        <v>689.65517241379314</v>
      </c>
      <c r="AW18" s="47"/>
      <c r="AX18" s="47"/>
      <c r="AY18" s="47"/>
      <c r="AZ18" s="47"/>
      <c r="BA18" s="47"/>
      <c r="BB18" s="47"/>
    </row>
    <row r="19" spans="2:54" ht="20.2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59.337349397590359</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2</v>
      </c>
      <c r="D22" s="63" t="s">
        <v>79</v>
      </c>
      <c r="E22" s="63">
        <f>P13</f>
        <v>38.299999999999997</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20.25" customHeight="1" x14ac:dyDescent="0.25">
      <c r="B23" s="64" t="s">
        <v>82</v>
      </c>
      <c r="C23" s="65">
        <f>P7</f>
        <v>1</v>
      </c>
      <c r="D23" s="63" t="s">
        <v>129</v>
      </c>
      <c r="E23" s="63">
        <f>P11</f>
        <v>2.7</v>
      </c>
      <c r="F23" s="63" t="s">
        <v>87</v>
      </c>
      <c r="G23" s="63">
        <f>P16</f>
        <v>4</v>
      </c>
      <c r="H23" s="63" t="s">
        <v>83</v>
      </c>
      <c r="I23" s="63">
        <f>P15</f>
        <v>20</v>
      </c>
      <c r="J23" s="66"/>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20.25" customHeight="1" x14ac:dyDescent="0.25">
      <c r="B24" s="64" t="s">
        <v>80</v>
      </c>
      <c r="C24" s="65">
        <f>P8</f>
        <v>0.5</v>
      </c>
      <c r="D24" s="63" t="s">
        <v>130</v>
      </c>
      <c r="E24" s="63">
        <f>P10</f>
        <v>0.1</v>
      </c>
      <c r="F24" s="63" t="s">
        <v>89</v>
      </c>
      <c r="G24" s="63">
        <f>P17</f>
        <v>58.4</v>
      </c>
      <c r="H24" s="63" t="s">
        <v>131</v>
      </c>
      <c r="I24" s="63">
        <f>P25</f>
        <v>6.6400000000000006</v>
      </c>
      <c r="J24" s="66"/>
      <c r="M24" s="364"/>
      <c r="N24" s="453"/>
      <c r="O24" s="51" t="s">
        <v>22</v>
      </c>
      <c r="P24" s="63">
        <f>100*(P6+P7+P8+P9)/P25</f>
        <v>59.337349397590359</v>
      </c>
      <c r="Q24" s="51" t="s">
        <v>23</v>
      </c>
      <c r="R24" s="53"/>
      <c r="AO24" s="47"/>
      <c r="AP24" s="47"/>
      <c r="AQ24" s="47"/>
      <c r="AR24" s="47"/>
      <c r="AS24" s="59">
        <f>AS26-(SUM(AS27:AS36))</f>
        <v>7.9995517241379313</v>
      </c>
      <c r="AT24" s="59">
        <f t="shared" ref="AT24:AV24" si="3">AT26-(SUM(AT27:AT36))</f>
        <v>-4.4827586206896546E-4</v>
      </c>
      <c r="AU24" s="59">
        <f t="shared" si="3"/>
        <v>-8.6206896551724148E-4</v>
      </c>
      <c r="AV24" s="59">
        <f t="shared" si="3"/>
        <v>-9.6551724137931047E-5</v>
      </c>
      <c r="AW24" s="47"/>
      <c r="AX24" s="47"/>
      <c r="AY24" s="47"/>
      <c r="AZ24" s="47"/>
      <c r="BA24" s="47"/>
      <c r="BB24" s="47"/>
    </row>
    <row r="25" spans="2:54" ht="20.25" customHeight="1" thickBot="1" x14ac:dyDescent="0.3">
      <c r="J25" s="66"/>
      <c r="M25" s="364"/>
      <c r="N25" s="453"/>
      <c r="O25" s="51" t="s">
        <v>24</v>
      </c>
      <c r="P25" s="67">
        <f>(P6+P7+P8+P9+P11)</f>
        <v>6.6400000000000006</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459" t="s">
        <v>118</v>
      </c>
      <c r="V26" s="512"/>
      <c r="W26" s="512"/>
      <c r="X26" s="512"/>
      <c r="Y26" s="512"/>
      <c r="Z26" s="460"/>
      <c r="AO26" s="47"/>
      <c r="AP26" s="461"/>
      <c r="AQ26" s="461"/>
      <c r="AR26" s="461"/>
      <c r="AS26" s="72">
        <f>AK9</f>
        <v>8</v>
      </c>
      <c r="AT26" s="72">
        <f>AK12</f>
        <v>0</v>
      </c>
      <c r="AU26" s="72">
        <f>AK15</f>
        <v>0</v>
      </c>
      <c r="AV26" s="72">
        <f>AK18</f>
        <v>0</v>
      </c>
      <c r="AW26" s="47"/>
      <c r="AX26" s="47"/>
      <c r="AY26" s="47"/>
      <c r="AZ26" s="47"/>
      <c r="BA26" s="47"/>
      <c r="BB26" s="47"/>
    </row>
    <row r="27" spans="2:54" ht="20.25" customHeight="1" thickBot="1" x14ac:dyDescent="0.3">
      <c r="B27" s="488" t="str">
        <f>IF($O$47&gt;0,$O$47,"-")</f>
        <v>BRITACAL Dolomítico</v>
      </c>
      <c r="C27" s="488"/>
      <c r="D27" s="73">
        <f>IF(J27&gt;0,J27,"-")</f>
        <v>0.44250000000000017</v>
      </c>
      <c r="E27" s="365" t="str">
        <f>IF(J27&gt;0,"toneladas por hectare ou,","-")</f>
        <v>toneladas por hectare ou,</v>
      </c>
      <c r="F27" s="365"/>
      <c r="G27" s="365"/>
      <c r="H27" s="365"/>
      <c r="I27" s="365"/>
      <c r="J27" s="74">
        <f>V51</f>
        <v>0.44250000000000017</v>
      </c>
      <c r="U27" s="51" t="s">
        <v>32</v>
      </c>
      <c r="V27" s="51" t="s">
        <v>64</v>
      </c>
      <c r="W27" s="51" t="s">
        <v>75</v>
      </c>
      <c r="X27" s="51" t="s">
        <v>71</v>
      </c>
      <c r="Y27" s="51" t="s">
        <v>36</v>
      </c>
      <c r="Z27" s="51" t="s">
        <v>35</v>
      </c>
      <c r="AO27" s="47"/>
      <c r="AP27" s="447" t="s">
        <v>261</v>
      </c>
      <c r="AQ27" s="447" t="str">
        <f>B29</f>
        <v>Remax Mistel (61) 99414-1975</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20.25" customHeight="1" x14ac:dyDescent="0.25">
      <c r="B28" s="488"/>
      <c r="C28" s="488"/>
      <c r="D28" s="73">
        <f>IF(J28&gt;0,J28,"-")</f>
        <v>4.4250000000000018E-2</v>
      </c>
      <c r="E28" s="365" t="str">
        <f>IF(J28&gt;0,"quilos por metro quadrado","-")</f>
        <v>quilos por metro quadrado</v>
      </c>
      <c r="F28" s="365"/>
      <c r="G28" s="365"/>
      <c r="H28" s="365"/>
      <c r="I28" s="365"/>
      <c r="J28" s="74">
        <f>J27/10</f>
        <v>4.4250000000000018E-2</v>
      </c>
      <c r="M28" s="48"/>
      <c r="N28" s="49"/>
      <c r="O28" s="49"/>
      <c r="P28" s="49"/>
      <c r="Q28" s="49"/>
      <c r="R28" s="50"/>
      <c r="U28" s="75">
        <v>0</v>
      </c>
      <c r="V28" s="75">
        <v>50</v>
      </c>
      <c r="W28" s="75" t="s">
        <v>68</v>
      </c>
      <c r="X28" s="75" t="str">
        <f>CONCATENATE(U28," - ",W28)</f>
        <v>0 - baixo</v>
      </c>
      <c r="Y28" s="75">
        <v>10</v>
      </c>
      <c r="Z28" s="75">
        <v>10</v>
      </c>
      <c r="AE28" s="51"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20.25" customHeight="1" x14ac:dyDescent="0.25">
      <c r="B29" s="488" t="str">
        <f>IF($O$50&gt;0,$O$50,"-")</f>
        <v>Remax Mistel (61) 99414-1975</v>
      </c>
      <c r="C29" s="488"/>
      <c r="D29" s="73">
        <f>IF(J29&gt;0,J29,"-")</f>
        <v>0.83533934793821851</v>
      </c>
      <c r="E29" s="365" t="str">
        <f>IF(J29&gt;0,"toneladas por hectare ou,","-")</f>
        <v>toneladas por hectare ou,</v>
      </c>
      <c r="F29" s="365"/>
      <c r="G29" s="365"/>
      <c r="H29" s="365"/>
      <c r="I29" s="365"/>
      <c r="J29" s="74">
        <f>Z49</f>
        <v>0.83533934793821851</v>
      </c>
      <c r="M29" s="364" t="s">
        <v>211</v>
      </c>
      <c r="N29" s="453"/>
      <c r="O29" s="489" t="s">
        <v>197</v>
      </c>
      <c r="P29" s="489"/>
      <c r="Q29" s="489"/>
      <c r="R29" s="53"/>
      <c r="U29" s="75">
        <v>0</v>
      </c>
      <c r="V29" s="75">
        <v>50</v>
      </c>
      <c r="W29" s="75" t="s">
        <v>69</v>
      </c>
      <c r="X29" s="75" t="str">
        <f t="shared" ref="X29:X39" si="9">CONCATENATE(U29," - ",W29)</f>
        <v>0 - medio</v>
      </c>
      <c r="Y29" s="75">
        <v>10</v>
      </c>
      <c r="Z29" s="75">
        <v>10</v>
      </c>
      <c r="AB29" s="458" t="s">
        <v>65</v>
      </c>
      <c r="AC29" s="458"/>
      <c r="AE29" s="51" t="s">
        <v>32</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20.25" customHeight="1" x14ac:dyDescent="0.25">
      <c r="B30" s="488"/>
      <c r="C30" s="488"/>
      <c r="D30" s="73">
        <f>IF(J30&gt;0,J30,"-")</f>
        <v>8.3533934793821846E-2</v>
      </c>
      <c r="E30" s="365" t="str">
        <f>IF(J30&gt;0,"quilos por metro quadrado","-")</f>
        <v>quilos por metro quadrado</v>
      </c>
      <c r="F30" s="365"/>
      <c r="G30" s="365"/>
      <c r="H30" s="365"/>
      <c r="I30" s="365"/>
      <c r="J30" s="74">
        <f>J29/10</f>
        <v>8.3533934793821846E-2</v>
      </c>
      <c r="M30" s="364"/>
      <c r="N30" s="453"/>
      <c r="O30" s="32">
        <v>8</v>
      </c>
      <c r="P30" s="77" t="s">
        <v>200</v>
      </c>
      <c r="Q30" s="32">
        <v>5</v>
      </c>
      <c r="R30" s="53"/>
      <c r="U30" s="75">
        <v>0</v>
      </c>
      <c r="V30" s="75">
        <v>50</v>
      </c>
      <c r="W30" s="75" t="s">
        <v>70</v>
      </c>
      <c r="X30" s="75" t="str">
        <f t="shared" si="9"/>
        <v>0 - adequado</v>
      </c>
      <c r="Y30" s="75">
        <v>10</v>
      </c>
      <c r="Z30" s="75">
        <v>10</v>
      </c>
      <c r="AB30" s="78" t="s">
        <v>33</v>
      </c>
      <c r="AC30" s="78">
        <f>VLOOKUP($P$39,$U$28:$V$39,2,0)</f>
        <v>200</v>
      </c>
      <c r="AE30" s="51"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20.25" customHeight="1" x14ac:dyDescent="0.25">
      <c r="B31" s="514" t="s">
        <v>533</v>
      </c>
      <c r="C31" s="514"/>
      <c r="D31" s="514"/>
      <c r="E31" s="514"/>
      <c r="F31" s="514"/>
      <c r="G31" s="514"/>
      <c r="H31" s="514"/>
      <c r="I31" s="514"/>
      <c r="J31" s="74"/>
      <c r="M31" s="364"/>
      <c r="N31" s="365"/>
      <c r="O31" s="105"/>
      <c r="P31" s="105"/>
      <c r="Q31" s="105"/>
      <c r="R31" s="53"/>
      <c r="U31" s="75">
        <v>1</v>
      </c>
      <c r="V31" s="75">
        <v>50</v>
      </c>
      <c r="W31" s="75" t="s">
        <v>68</v>
      </c>
      <c r="X31" s="75" t="str">
        <f t="shared" si="9"/>
        <v>1 - baixo</v>
      </c>
      <c r="Y31" s="75">
        <v>100</v>
      </c>
      <c r="Z31" s="75">
        <v>100</v>
      </c>
      <c r="AB31" s="78" t="s">
        <v>66</v>
      </c>
      <c r="AC31" s="78">
        <f>VLOOKUP(AB36,X28:Z39,2,0)</f>
        <v>60</v>
      </c>
      <c r="AE31" s="51">
        <v>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20.25" customHeight="1" x14ac:dyDescent="0.25">
      <c r="B32" s="514"/>
      <c r="C32" s="514"/>
      <c r="D32" s="514"/>
      <c r="E32" s="514"/>
      <c r="F32" s="514"/>
      <c r="G32" s="514"/>
      <c r="H32" s="514"/>
      <c r="I32" s="514"/>
      <c r="J32" s="74"/>
      <c r="M32" s="364"/>
      <c r="N32" s="365"/>
      <c r="O32" s="80"/>
      <c r="P32" s="80"/>
      <c r="Q32" s="80"/>
      <c r="R32" s="53"/>
      <c r="U32" s="75">
        <v>1</v>
      </c>
      <c r="V32" s="75">
        <v>50</v>
      </c>
      <c r="W32" s="75" t="s">
        <v>69</v>
      </c>
      <c r="X32" s="75" t="str">
        <f t="shared" si="9"/>
        <v>1 - medio</v>
      </c>
      <c r="Y32" s="75">
        <v>60</v>
      </c>
      <c r="Z32" s="75">
        <v>60</v>
      </c>
      <c r="AB32" s="78" t="s">
        <v>67</v>
      </c>
      <c r="AC32" s="78">
        <f>VLOOKUP($AB$39,X28:Z39,3,0)</f>
        <v>60</v>
      </c>
      <c r="AE32" s="51">
        <v>1</v>
      </c>
      <c r="AI32" s="76">
        <v>0.2</v>
      </c>
      <c r="AK32" s="51" t="s">
        <v>292</v>
      </c>
      <c r="AO32" s="47"/>
      <c r="AP32" s="447"/>
      <c r="AQ32" s="447" t="str">
        <f t="shared" si="8"/>
        <v>EkoSil</v>
      </c>
      <c r="AR32" s="447"/>
      <c r="AS32" s="55">
        <f t="shared" si="4"/>
        <v>4.4827586206896546E-4</v>
      </c>
      <c r="AT32" s="55">
        <f t="shared" si="5"/>
        <v>4.4827586206896546E-4</v>
      </c>
      <c r="AU32" s="55">
        <f t="shared" si="6"/>
        <v>8.6206896551724148E-4</v>
      </c>
      <c r="AV32" s="55">
        <f t="shared" si="7"/>
        <v>9.6551724137931047E-5</v>
      </c>
      <c r="AW32" s="47"/>
      <c r="AX32" s="47"/>
      <c r="AY32" s="47"/>
      <c r="AZ32" s="47"/>
      <c r="BA32" s="47"/>
      <c r="BB32" s="47"/>
    </row>
    <row r="33" spans="2:57" ht="20.25" customHeight="1" thickBot="1" x14ac:dyDescent="0.3">
      <c r="B33" s="515"/>
      <c r="C33" s="515"/>
      <c r="D33" s="515"/>
      <c r="E33" s="515"/>
      <c r="F33" s="515"/>
      <c r="G33" s="515"/>
      <c r="H33" s="515"/>
      <c r="I33" s="515"/>
      <c r="J33" s="74"/>
      <c r="M33" s="364"/>
      <c r="N33" s="453"/>
      <c r="O33" s="489" t="s">
        <v>282</v>
      </c>
      <c r="P33" s="489"/>
      <c r="Q33" s="489"/>
      <c r="R33" s="53"/>
      <c r="U33" s="75">
        <v>1</v>
      </c>
      <c r="V33" s="75">
        <v>50</v>
      </c>
      <c r="W33" s="75" t="s">
        <v>70</v>
      </c>
      <c r="X33" s="75" t="str">
        <f t="shared" si="9"/>
        <v>1 - adequado</v>
      </c>
      <c r="Y33" s="75">
        <v>0</v>
      </c>
      <c r="Z33" s="75">
        <v>30</v>
      </c>
      <c r="AE33" s="51">
        <v>2</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364"/>
      <c r="N34" s="453"/>
      <c r="O34" s="448">
        <v>1</v>
      </c>
      <c r="P34" s="448"/>
      <c r="Q34" s="448"/>
      <c r="R34" s="53"/>
      <c r="U34" s="75">
        <v>2</v>
      </c>
      <c r="V34" s="75">
        <v>140</v>
      </c>
      <c r="W34" s="75" t="s">
        <v>68</v>
      </c>
      <c r="X34" s="75" t="str">
        <f t="shared" si="9"/>
        <v>2 - baixo</v>
      </c>
      <c r="Y34" s="75">
        <v>150</v>
      </c>
      <c r="Z34" s="75">
        <v>150</v>
      </c>
      <c r="AE34" s="51">
        <v>3</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20.25" customHeight="1" thickBot="1" x14ac:dyDescent="0.3">
      <c r="B35" s="488" t="str">
        <f>IF($O$55&gt;0,$O$55,"-")</f>
        <v>Siligesso Agronelli</v>
      </c>
      <c r="C35" s="488"/>
      <c r="D35" s="73">
        <f>IF(J34&gt;0,J34,"-")</f>
        <v>356.25</v>
      </c>
      <c r="E35" s="365" t="str">
        <f>IF(J34&gt;0,"quilos por hectare ou,","-")</f>
        <v>quilos por hectare ou,</v>
      </c>
      <c r="F35" s="365"/>
      <c r="G35" s="365"/>
      <c r="H35" s="365"/>
      <c r="I35" s="365"/>
      <c r="J35" s="81">
        <f>J34/10</f>
        <v>35.625</v>
      </c>
      <c r="M35" s="69"/>
      <c r="N35" s="70"/>
      <c r="O35" s="70"/>
      <c r="P35" s="83">
        <f>10000/($O$30*$Q$30)</f>
        <v>250</v>
      </c>
      <c r="Q35" s="83" t="e">
        <f>10000/((($O$32/2)+($P$32/2))*$Q$32)</f>
        <v>#DIV/0!</v>
      </c>
      <c r="R35" s="71"/>
      <c r="U35" s="75">
        <v>2</v>
      </c>
      <c r="V35" s="75">
        <v>140</v>
      </c>
      <c r="W35" s="75" t="s">
        <v>69</v>
      </c>
      <c r="X35" s="75" t="str">
        <f t="shared" si="9"/>
        <v>2 - medio</v>
      </c>
      <c r="Y35" s="75">
        <v>100</v>
      </c>
      <c r="Z35" s="75">
        <v>100</v>
      </c>
      <c r="AB35" s="457" t="s">
        <v>72</v>
      </c>
      <c r="AC35" s="457"/>
      <c r="AE35" s="51"/>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v>2</v>
      </c>
      <c r="V36" s="75">
        <v>140</v>
      </c>
      <c r="W36" s="75" t="s">
        <v>70</v>
      </c>
      <c r="X36" s="75" t="str">
        <f t="shared" si="9"/>
        <v>2 - adequado</v>
      </c>
      <c r="Y36" s="75">
        <v>50</v>
      </c>
      <c r="Z36" s="75">
        <v>50</v>
      </c>
      <c r="AB36" s="457" t="str">
        <f>CONCATENATE($P$39," - ",$AD$8)</f>
        <v>3 -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U37" s="75">
        <v>3</v>
      </c>
      <c r="V37" s="75">
        <v>200</v>
      </c>
      <c r="W37" s="75" t="s">
        <v>68</v>
      </c>
      <c r="X37" s="75" t="str">
        <f t="shared" si="9"/>
        <v>3 - baixo</v>
      </c>
      <c r="Y37" s="75">
        <v>190</v>
      </c>
      <c r="Z37" s="75">
        <v>190</v>
      </c>
      <c r="AI37" s="76">
        <v>0.7</v>
      </c>
      <c r="AK37" s="51" t="s">
        <v>290</v>
      </c>
      <c r="AO37" s="85"/>
      <c r="AP37" s="85"/>
      <c r="AQ37" s="85"/>
      <c r="AR37" s="85"/>
      <c r="AS37" s="59">
        <f>IF(AS24&gt;0,AS24,0)</f>
        <v>7.9995517241379313</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198</v>
      </c>
      <c r="P38" s="489"/>
      <c r="Q38" s="489"/>
      <c r="R38" s="53"/>
      <c r="U38" s="75">
        <v>3</v>
      </c>
      <c r="V38" s="75">
        <v>200</v>
      </c>
      <c r="W38" s="75" t="s">
        <v>69</v>
      </c>
      <c r="X38" s="75" t="str">
        <f t="shared" si="9"/>
        <v>3 - medio</v>
      </c>
      <c r="Y38" s="75">
        <v>130</v>
      </c>
      <c r="Z38" s="75">
        <v>130</v>
      </c>
      <c r="AB38" s="457" t="s">
        <v>73</v>
      </c>
      <c r="AC38" s="457"/>
      <c r="AI38" s="76">
        <v>0.8</v>
      </c>
      <c r="AK38" s="51"/>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171.42857142857144</v>
      </c>
      <c r="M39" s="364"/>
      <c r="N39" s="365"/>
      <c r="O39" s="51" t="s">
        <v>182</v>
      </c>
      <c r="P39" s="448">
        <v>3</v>
      </c>
      <c r="Q39" s="448"/>
      <c r="R39" s="53"/>
      <c r="U39" s="75">
        <v>3</v>
      </c>
      <c r="V39" s="75">
        <v>200</v>
      </c>
      <c r="W39" s="75" t="s">
        <v>70</v>
      </c>
      <c r="X39" s="75" t="str">
        <f t="shared" si="9"/>
        <v>3 - adequado</v>
      </c>
      <c r="Y39" s="75">
        <v>60</v>
      </c>
      <c r="Z39" s="75">
        <v>60</v>
      </c>
      <c r="AB39" s="457" t="str">
        <f>CONCATENATE($P$39," - ",$AD$22)</f>
        <v>3 -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f>IF(AQ59&gt;0,AQ59,"-")</f>
        <v>12</v>
      </c>
      <c r="E40" s="362" t="str">
        <f>IF(AQ59&gt;0,"quilos por cova ou planta","-")</f>
        <v>quilos por cova ou planta</v>
      </c>
      <c r="F40" s="362"/>
      <c r="G40" s="362"/>
      <c r="H40" s="362"/>
      <c r="I40" s="362"/>
      <c r="J40" s="81">
        <f>AV7</f>
        <v>166.66666666666669</v>
      </c>
      <c r="M40" s="364"/>
      <c r="N40" s="365"/>
      <c r="O40" s="25"/>
      <c r="P40" s="25"/>
      <c r="Q40" s="25"/>
      <c r="R40" s="53"/>
      <c r="AI40" s="76">
        <v>1</v>
      </c>
      <c r="AO40" s="47"/>
      <c r="AP40" s="447" t="str">
        <f>O105</f>
        <v>Ácido Bórico</v>
      </c>
      <c r="AQ40" s="447"/>
      <c r="AR40" s="55">
        <f>IFERROR($AS$37/((VLOOKUP(AP40,$V$100:$AO$179,11,0)*0.01)),0)</f>
        <v>45.711724137931029</v>
      </c>
      <c r="AS40" s="55">
        <f>IFERROR($AT$37/((VLOOKUP(AP40,$V$100:$AO$179,14,0)*0.01)),0)</f>
        <v>0</v>
      </c>
      <c r="AT40" s="55">
        <f>IFERROR($AU$37/((VLOOKUP(AP40,$V$100:$AO$179,12,0)*0.01)),0)</f>
        <v>0</v>
      </c>
      <c r="AU40" s="55">
        <f>IFERROR($AV$37/((VLOOKUP(AP40,$V$100:$AO$179,13,0)*0.01)),0)</f>
        <v>0</v>
      </c>
      <c r="AV40" s="55">
        <f>MAX(AR40:AU40)</f>
        <v>45.711724137931029</v>
      </c>
      <c r="AW40" s="55">
        <f>IFERROR(AV40*(VLOOKUP(AP40,$V$100:$AO$179,11,0)*0.01),0)</f>
        <v>7.9995517241379304</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f t="shared" ref="D41:D49" si="10">IF(J39&gt;0,J39,"-")</f>
        <v>171.42857142857144</v>
      </c>
      <c r="E41" s="365" t="str">
        <f t="shared" ref="E41:E49" si="11">IF(J39&gt;0,"gramas por planta","-")</f>
        <v>gramas por planta</v>
      </c>
      <c r="F41" s="365"/>
      <c r="G41" s="365"/>
      <c r="H41" s="365"/>
      <c r="I41" s="365"/>
      <c r="J41" s="81">
        <f>AV8</f>
        <v>0</v>
      </c>
      <c r="M41" s="364"/>
      <c r="N41" s="365"/>
      <c r="O41" s="489" t="s">
        <v>308</v>
      </c>
      <c r="P41" s="489"/>
      <c r="Q41" s="489"/>
      <c r="R41" s="53"/>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2">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f t="shared" si="10"/>
        <v>166.66666666666669</v>
      </c>
      <c r="E42" s="365" t="str">
        <f t="shared" si="11"/>
        <v>gramas por planta</v>
      </c>
      <c r="F42" s="365"/>
      <c r="G42" s="365"/>
      <c r="H42" s="365"/>
      <c r="I42" s="365"/>
      <c r="J42" s="81">
        <f>AV12</f>
        <v>50</v>
      </c>
      <c r="M42" s="364"/>
      <c r="N42" s="365"/>
      <c r="O42" s="483" t="s">
        <v>292</v>
      </c>
      <c r="P42" s="513"/>
      <c r="Q42" s="484"/>
      <c r="R42" s="53"/>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2"/>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0"/>
        <v>-</v>
      </c>
      <c r="E43" s="365" t="str">
        <f t="shared" si="11"/>
        <v>-</v>
      </c>
      <c r="F43" s="365"/>
      <c r="G43" s="365"/>
      <c r="H43" s="365"/>
      <c r="I43" s="365"/>
      <c r="J43" s="81">
        <f>AV13</f>
        <v>375</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2"/>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0"/>
        <v>50</v>
      </c>
      <c r="E44" s="365" t="str">
        <f t="shared" si="11"/>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0"/>
        <v>375</v>
      </c>
      <c r="E45" s="365" t="str">
        <f t="shared" si="11"/>
        <v>gramas por planta</v>
      </c>
      <c r="F45" s="365"/>
      <c r="G45" s="365"/>
      <c r="H45" s="365"/>
      <c r="I45" s="365"/>
      <c r="J45" s="81">
        <f>AV18</f>
        <v>689.65517241379314</v>
      </c>
      <c r="M45" s="48"/>
      <c r="N45" s="49"/>
      <c r="O45" s="499" t="s">
        <v>305</v>
      </c>
      <c r="P45" s="500"/>
      <c r="Q45" s="501"/>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0"/>
        <v>-</v>
      </c>
      <c r="E46" s="365" t="str">
        <f t="shared" si="11"/>
        <v>-</v>
      </c>
      <c r="F46" s="365"/>
      <c r="G46" s="365"/>
      <c r="H46" s="365"/>
      <c r="I46" s="365"/>
      <c r="J46" s="81">
        <f>AV19</f>
        <v>0</v>
      </c>
      <c r="M46" s="364" t="s">
        <v>213</v>
      </c>
      <c r="N46" s="365"/>
      <c r="O46" s="502"/>
      <c r="P46" s="503"/>
      <c r="Q46" s="504"/>
      <c r="R46" s="53"/>
      <c r="U46" s="75" t="s">
        <v>109</v>
      </c>
      <c r="V46" s="89">
        <v>70</v>
      </c>
      <c r="X46" s="455" t="s">
        <v>268</v>
      </c>
      <c r="Y46" s="455"/>
      <c r="Z46" s="63">
        <f>IFERROR(VLOOKUP(O50,$V$87:$AE$95,10,0),0)</f>
        <v>22.778167994795901</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0"/>
        <v>689.65517241379314</v>
      </c>
      <c r="E47" s="365" t="str">
        <f t="shared" si="11"/>
        <v>gramas por planta</v>
      </c>
      <c r="F47" s="365"/>
      <c r="G47" s="365"/>
      <c r="H47" s="365"/>
      <c r="I47" s="365"/>
      <c r="J47" s="81">
        <f>AV20</f>
        <v>0</v>
      </c>
      <c r="M47" s="364"/>
      <c r="N47" s="365"/>
      <c r="O47" s="481" t="s">
        <v>140</v>
      </c>
      <c r="P47" s="482"/>
      <c r="Q47" s="90">
        <v>0.5</v>
      </c>
      <c r="R47" s="53"/>
      <c r="U47" s="51" t="s">
        <v>111</v>
      </c>
      <c r="V47" s="63">
        <f>IFERROR((((V46-P24)*P25)/V49),0)</f>
        <v>0.88500000000000034</v>
      </c>
      <c r="X47" s="455" t="s">
        <v>203</v>
      </c>
      <c r="Y47" s="455"/>
      <c r="Z47" s="63">
        <f>IFERROR((($V$50/$Z$46)*$V$47),0)</f>
        <v>1.670678695876437</v>
      </c>
      <c r="AO47" s="47"/>
      <c r="BA47" s="47"/>
      <c r="BB47" s="47"/>
    </row>
    <row r="48" spans="2:57" ht="20.25" customHeight="1" x14ac:dyDescent="0.25">
      <c r="B48" s="449" t="str">
        <f>IF(AQ19&gt;0,AQ19,"-")</f>
        <v>-</v>
      </c>
      <c r="C48" s="449"/>
      <c r="D48" s="87" t="str">
        <f t="shared" si="10"/>
        <v>-</v>
      </c>
      <c r="E48" s="365" t="str">
        <f t="shared" si="11"/>
        <v>-</v>
      </c>
      <c r="F48" s="365"/>
      <c r="G48" s="365"/>
      <c r="H48" s="365"/>
      <c r="I48" s="365"/>
      <c r="J48" s="91"/>
      <c r="M48" s="364"/>
      <c r="N48" s="365"/>
      <c r="O48" s="505" t="s">
        <v>306</v>
      </c>
      <c r="P48" s="506"/>
      <c r="Q48" s="507"/>
      <c r="R48" s="53"/>
      <c r="U48" s="51" t="s">
        <v>201</v>
      </c>
      <c r="V48" s="63">
        <f>IF(V47&lt;0,(0),IF(V47&gt;=0,(V47)))</f>
        <v>0.88500000000000034</v>
      </c>
      <c r="X48" s="455" t="s">
        <v>201</v>
      </c>
      <c r="Y48" s="455"/>
      <c r="Z48" s="63">
        <f>IFERROR(IF(Z47&lt;0,(0),IF(Z47&gt;=0,(Z47))),0)</f>
        <v>1.670678695876437</v>
      </c>
    </row>
    <row r="49" spans="2:50" ht="20.25" customHeight="1" x14ac:dyDescent="0.25">
      <c r="B49" s="449" t="str">
        <f>IF(AQ20&gt;0,AQ20,"-")</f>
        <v>-</v>
      </c>
      <c r="C49" s="449"/>
      <c r="D49" s="87" t="str">
        <f t="shared" si="10"/>
        <v>-</v>
      </c>
      <c r="E49" s="365" t="str">
        <f t="shared" si="11"/>
        <v>-</v>
      </c>
      <c r="F49" s="365"/>
      <c r="G49" s="365"/>
      <c r="H49" s="365"/>
      <c r="I49" s="365"/>
      <c r="M49" s="364"/>
      <c r="N49" s="365"/>
      <c r="O49" s="502"/>
      <c r="P49" s="503"/>
      <c r="Q49" s="504"/>
      <c r="R49" s="53"/>
      <c r="U49" s="51" t="s">
        <v>110</v>
      </c>
      <c r="V49" s="63">
        <f>IFERROR(VLOOKUP($O$47,$V$56:$AA$68,5,0),0)</f>
        <v>80</v>
      </c>
      <c r="X49" s="455" t="s">
        <v>273</v>
      </c>
      <c r="Y49" s="455"/>
      <c r="Z49" s="63">
        <f>Z48*$Q$50</f>
        <v>0.83533934793821851</v>
      </c>
    </row>
    <row r="50" spans="2:50" ht="20.25" customHeight="1" x14ac:dyDescent="0.25">
      <c r="B50" s="476" t="s">
        <v>535</v>
      </c>
      <c r="C50" s="476"/>
      <c r="D50" s="476"/>
      <c r="E50" s="476"/>
      <c r="F50" s="476"/>
      <c r="G50" s="476"/>
      <c r="H50" s="476"/>
      <c r="I50" s="476"/>
      <c r="M50" s="364"/>
      <c r="N50" s="365"/>
      <c r="O50" s="483" t="s">
        <v>493</v>
      </c>
      <c r="P50" s="484"/>
      <c r="Q50" s="92">
        <v>0.5</v>
      </c>
      <c r="R50" s="53"/>
      <c r="U50" s="51" t="s">
        <v>193</v>
      </c>
      <c r="V50" s="63">
        <f>IFERROR(VLOOKUP($O$47,$V$56:$AA$68,6,0),0)</f>
        <v>43</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0.44250000000000017</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3">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3"/>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526" t="s">
        <v>78</v>
      </c>
      <c r="Y54" s="527"/>
      <c r="Z54" s="527"/>
      <c r="AA54" s="528"/>
      <c r="AP54" s="465"/>
      <c r="AQ54" s="465"/>
      <c r="AS54" s="465"/>
      <c r="AT54" s="51">
        <v>3</v>
      </c>
      <c r="AU54" s="93" t="s">
        <v>286</v>
      </c>
      <c r="AV54" s="93" t="str">
        <f t="shared" si="13"/>
        <v>3 - Composto de lixo (COL)</v>
      </c>
      <c r="AW54" s="51">
        <v>15</v>
      </c>
    </row>
    <row r="55" spans="2:50" ht="20.25" customHeight="1" x14ac:dyDescent="0.25">
      <c r="B55" s="449" t="str">
        <f>IF(AP40&gt;0,AP40,"-")</f>
        <v>Ácido Bórico</v>
      </c>
      <c r="C55" s="449"/>
      <c r="D55" s="87">
        <f>IF(AV40&gt;0,AV40,"-")</f>
        <v>45.711724137931029</v>
      </c>
      <c r="E55" s="365" t="str">
        <f>IF(AV40&gt;0,"gramas por planta","-")</f>
        <v>gramas por planta</v>
      </c>
      <c r="F55" s="365"/>
      <c r="G55" s="365"/>
      <c r="H55" s="365"/>
      <c r="I55" s="365"/>
      <c r="M55" s="364"/>
      <c r="N55" s="365"/>
      <c r="O55" s="448" t="s">
        <v>153</v>
      </c>
      <c r="P55" s="448"/>
      <c r="Q55" s="448"/>
      <c r="R55" s="53"/>
      <c r="U55" s="344"/>
      <c r="V55" s="344"/>
      <c r="W55" s="344"/>
      <c r="X55" s="95" t="s">
        <v>105</v>
      </c>
      <c r="Y55" s="95" t="s">
        <v>106</v>
      </c>
      <c r="Z55" s="95" t="s">
        <v>107</v>
      </c>
      <c r="AA55" s="95" t="s">
        <v>195</v>
      </c>
      <c r="AP55" s="465"/>
      <c r="AQ55" s="465"/>
      <c r="AS55" s="465"/>
      <c r="AT55" s="51">
        <v>4</v>
      </c>
      <c r="AU55" s="93" t="s">
        <v>286</v>
      </c>
      <c r="AV55" s="93" t="str">
        <f t="shared" si="13"/>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3"/>
        <v>0 - Cama de frango corte</v>
      </c>
      <c r="AW56" s="75">
        <v>4</v>
      </c>
      <c r="AX56" s="25"/>
    </row>
    <row r="57" spans="2:50" ht="20.25" customHeight="1" x14ac:dyDescent="0.25">
      <c r="B57" s="449" t="str">
        <f>IF(AP42&gt;0,AP42,"-")</f>
        <v>Sulfato de zinco</v>
      </c>
      <c r="C57" s="449"/>
      <c r="D57" s="87" t="str">
        <f>IF(AV42&gt;0,AV42,"-")</f>
        <v>-</v>
      </c>
      <c r="E57" s="365" t="str">
        <f t="shared" ref="E57:E59" si="14">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3"/>
        <v>1 - Cama de frango corte</v>
      </c>
      <c r="AW57" s="75">
        <v>1</v>
      </c>
    </row>
    <row r="58" spans="2:50" ht="20.25" customHeight="1" x14ac:dyDescent="0.25">
      <c r="B58" s="449" t="str">
        <f>IF(AP43&gt;0,AP43,"-")</f>
        <v>Sulfato de manganês</v>
      </c>
      <c r="C58" s="449"/>
      <c r="D58" s="87" t="str">
        <f>IF(AV43&gt;0,AV43,"-")</f>
        <v>-</v>
      </c>
      <c r="E58" s="365" t="str">
        <f t="shared" si="14"/>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3 - Esterco Bovino curtido</v>
      </c>
      <c r="AR58" s="463"/>
      <c r="AS58" s="25"/>
      <c r="AT58" s="75">
        <v>2</v>
      </c>
      <c r="AU58" s="97" t="s">
        <v>293</v>
      </c>
      <c r="AV58" s="97" t="str">
        <f t="shared" si="13"/>
        <v>2 - Cama de frango corte</v>
      </c>
      <c r="AW58" s="75">
        <v>3</v>
      </c>
    </row>
    <row r="59" spans="2:50" ht="20.25" customHeight="1" x14ac:dyDescent="0.25">
      <c r="B59" s="449" t="str">
        <f>IF(AP44&gt;0,AP44,"-")</f>
        <v>-</v>
      </c>
      <c r="C59" s="449"/>
      <c r="D59" s="87" t="str">
        <f>IF(AV44&gt;0,AV44,"-")</f>
        <v>-</v>
      </c>
      <c r="E59" s="365" t="str">
        <f t="shared" si="14"/>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12</v>
      </c>
      <c r="AR59" s="456"/>
      <c r="AS59" s="25"/>
      <c r="AT59" s="75">
        <v>3</v>
      </c>
      <c r="AU59" s="97" t="s">
        <v>293</v>
      </c>
      <c r="AV59" s="97" t="str">
        <f t="shared" si="13"/>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3"/>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3"/>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3"/>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3"/>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3"/>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3"/>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3"/>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3"/>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3"/>
        <v>2 - Esterco Bovino curtido</v>
      </c>
      <c r="AW68" s="75">
        <v>7</v>
      </c>
    </row>
    <row r="69" spans="2:49" ht="20.25" customHeight="1" thickBot="1" x14ac:dyDescent="0.3">
      <c r="M69" s="69"/>
      <c r="N69" s="70"/>
      <c r="O69" s="70"/>
      <c r="P69" s="70"/>
      <c r="Q69" s="70"/>
      <c r="R69" s="71"/>
      <c r="AT69" s="75">
        <v>3</v>
      </c>
      <c r="AU69" s="97" t="s">
        <v>292</v>
      </c>
      <c r="AV69" s="97" t="str">
        <f t="shared" si="13"/>
        <v>3 - Esterco Bovino curtido</v>
      </c>
      <c r="AW69" s="75">
        <v>12</v>
      </c>
    </row>
    <row r="70" spans="2:49" ht="20.25" customHeight="1" thickBot="1" x14ac:dyDescent="0.3">
      <c r="AT70" s="75">
        <v>4</v>
      </c>
      <c r="AU70" s="97" t="s">
        <v>292</v>
      </c>
      <c r="AV70" s="97" t="str">
        <f t="shared" si="13"/>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3"/>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3"/>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3"/>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3"/>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3"/>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3"/>
        <v>0 - Esterco de suínos</v>
      </c>
      <c r="AW76" s="75">
        <v>10</v>
      </c>
    </row>
    <row r="77" spans="2:49" ht="20.2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3"/>
        <v>1 - Esterco de suínos</v>
      </c>
      <c r="AW77" s="75">
        <v>4</v>
      </c>
    </row>
    <row r="78" spans="2:49" ht="20.2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3"/>
        <v>2 - Esterco de suínos</v>
      </c>
      <c r="AW78" s="75">
        <v>6</v>
      </c>
    </row>
    <row r="79" spans="2:49" ht="20.2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3"/>
        <v>3 - Esterco de suínos</v>
      </c>
      <c r="AW79" s="75">
        <v>10</v>
      </c>
    </row>
    <row r="80" spans="2:49" ht="20.2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3"/>
        <v>4 - Esterco de suínos</v>
      </c>
      <c r="AW80" s="75">
        <v>4</v>
      </c>
    </row>
    <row r="81" spans="13:49" ht="20.2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3"/>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3"/>
        <v>1 - Esterco de ovinos</v>
      </c>
      <c r="AW82" s="51">
        <v>4</v>
      </c>
    </row>
    <row r="83" spans="13:49" ht="20.25" customHeight="1" x14ac:dyDescent="0.25">
      <c r="M83" s="364"/>
      <c r="N83" s="365"/>
      <c r="O83" s="448" t="s">
        <v>116</v>
      </c>
      <c r="P83" s="448"/>
      <c r="Q83" s="92">
        <v>0.5</v>
      </c>
      <c r="R83" s="53"/>
      <c r="AT83" s="51">
        <v>2</v>
      </c>
      <c r="AU83" s="93" t="s">
        <v>288</v>
      </c>
      <c r="AV83" s="93" t="str">
        <f t="shared" si="13"/>
        <v>2 - Esterco de ovinos</v>
      </c>
      <c r="AW83" s="51">
        <v>6</v>
      </c>
    </row>
    <row r="84" spans="13:49" ht="20.25" customHeight="1" x14ac:dyDescent="0.25">
      <c r="M84" s="364"/>
      <c r="N84" s="365"/>
      <c r="O84" s="448"/>
      <c r="P84" s="448"/>
      <c r="Q84" s="92"/>
      <c r="R84" s="53"/>
      <c r="AT84" s="51">
        <v>3</v>
      </c>
      <c r="AU84" s="93" t="s">
        <v>288</v>
      </c>
      <c r="AV84" s="93" t="str">
        <f t="shared" si="13"/>
        <v>3 - Esterco de ovinos</v>
      </c>
      <c r="AW84" s="51">
        <v>10</v>
      </c>
    </row>
    <row r="85" spans="13:49" ht="20.25" customHeight="1" x14ac:dyDescent="0.25">
      <c r="M85" s="364"/>
      <c r="N85" s="365"/>
      <c r="O85" s="25"/>
      <c r="P85" s="25"/>
      <c r="Q85" s="25"/>
      <c r="R85" s="53"/>
      <c r="U85" s="464" t="s">
        <v>136</v>
      </c>
      <c r="V85" s="464" t="s">
        <v>76</v>
      </c>
      <c r="W85" s="464" t="s">
        <v>77</v>
      </c>
      <c r="X85" s="532" t="s">
        <v>78</v>
      </c>
      <c r="Y85" s="533"/>
      <c r="Z85" s="533"/>
      <c r="AA85" s="533"/>
      <c r="AB85" s="533"/>
      <c r="AC85" s="533"/>
      <c r="AD85" s="533"/>
      <c r="AE85" s="534"/>
      <c r="AT85" s="51">
        <v>4</v>
      </c>
      <c r="AU85" s="93" t="s">
        <v>288</v>
      </c>
      <c r="AV85" s="93" t="str">
        <f t="shared" si="13"/>
        <v>4 - Esterco de ovinos</v>
      </c>
      <c r="AW85" s="51">
        <v>4</v>
      </c>
    </row>
    <row r="86" spans="13:49" ht="20.2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3"/>
        <v>0 - Lodo de esgosto</v>
      </c>
      <c r="AW86" s="75">
        <v>15</v>
      </c>
    </row>
    <row r="87" spans="13:49" ht="20.2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5">Y160</f>
        <v>8.7999999999999995E-2</v>
      </c>
      <c r="Z87" s="99">
        <f t="shared" si="15"/>
        <v>0.2</v>
      </c>
      <c r="AA87" s="99">
        <f t="shared" si="15"/>
        <v>2.83</v>
      </c>
      <c r="AB87" s="99">
        <f t="shared" si="15"/>
        <v>3.4</v>
      </c>
      <c r="AC87" s="100">
        <f>AC160*0.602</f>
        <v>1.5155244755244754</v>
      </c>
      <c r="AD87" s="100">
        <f>AD160*0.715</f>
        <v>5.4634551495016606</v>
      </c>
      <c r="AE87" s="100">
        <f t="shared" ref="AE87:AE95" si="16">AB87+AC87+AD87</f>
        <v>10.378979625026137</v>
      </c>
      <c r="AT87" s="75">
        <v>1</v>
      </c>
      <c r="AU87" s="97" t="s">
        <v>289</v>
      </c>
      <c r="AV87" s="97" t="str">
        <f t="shared" si="13"/>
        <v>1 - Lodo de esgosto</v>
      </c>
      <c r="AW87" s="75">
        <v>10</v>
      </c>
    </row>
    <row r="88" spans="13:49" ht="20.25" customHeight="1" x14ac:dyDescent="0.25">
      <c r="M88" s="364"/>
      <c r="N88" s="365"/>
      <c r="O88" s="450" t="s">
        <v>254</v>
      </c>
      <c r="P88" s="451"/>
      <c r="Q88" s="452"/>
      <c r="R88" s="53"/>
      <c r="U88" s="466"/>
      <c r="V88" s="99" t="str">
        <f t="shared" ref="V88:W95" si="17">V161</f>
        <v>Kamafugito</v>
      </c>
      <c r="W88" s="99">
        <f t="shared" si="17"/>
        <v>0</v>
      </c>
      <c r="X88" s="99">
        <f t="shared" ref="X88:X95" si="18">AL161</f>
        <v>0</v>
      </c>
      <c r="Y88" s="99">
        <f t="shared" si="15"/>
        <v>1.5069999999999999</v>
      </c>
      <c r="Z88" s="99">
        <f t="shared" si="15"/>
        <v>3.5</v>
      </c>
      <c r="AA88" s="99">
        <f t="shared" si="15"/>
        <v>3.3250000000000002</v>
      </c>
      <c r="AB88" s="99">
        <f t="shared" si="15"/>
        <v>4</v>
      </c>
      <c r="AC88" s="100">
        <f t="shared" ref="AC88:AC95" si="19">AC161*0.602</f>
        <v>1.7217199999999999</v>
      </c>
      <c r="AD88" s="100">
        <f t="shared" ref="AD88:AD95" si="20">AD161*0.715</f>
        <v>0</v>
      </c>
      <c r="AE88" s="100">
        <f t="shared" si="16"/>
        <v>5.7217199999999995</v>
      </c>
      <c r="AT88" s="75">
        <v>2</v>
      </c>
      <c r="AU88" s="97" t="s">
        <v>289</v>
      </c>
      <c r="AV88" s="97" t="str">
        <f t="shared" si="13"/>
        <v>2 - Lodo de esgosto</v>
      </c>
      <c r="AW88" s="75">
        <v>5</v>
      </c>
    </row>
    <row r="89" spans="13:49" ht="20.25" customHeight="1" x14ac:dyDescent="0.25">
      <c r="M89" s="364"/>
      <c r="N89" s="365"/>
      <c r="O89" s="450" t="s">
        <v>251</v>
      </c>
      <c r="P89" s="451"/>
      <c r="Q89" s="452"/>
      <c r="R89" s="53"/>
      <c r="U89" s="466"/>
      <c r="V89" s="99" t="str">
        <f t="shared" si="17"/>
        <v>Micaxisto (61) 3233-9368</v>
      </c>
      <c r="W89" s="99">
        <f t="shared" si="17"/>
        <v>0</v>
      </c>
      <c r="X89" s="99">
        <f t="shared" si="18"/>
        <v>0</v>
      </c>
      <c r="Y89" s="99">
        <f t="shared" si="15"/>
        <v>4.4999999999999998E-2</v>
      </c>
      <c r="Z89" s="99">
        <f t="shared" si="15"/>
        <v>0.1</v>
      </c>
      <c r="AA89" s="99">
        <f t="shared" si="15"/>
        <v>4.32</v>
      </c>
      <c r="AB89" s="99">
        <f t="shared" si="15"/>
        <v>5.2</v>
      </c>
      <c r="AC89" s="100">
        <f t="shared" si="19"/>
        <v>0.75776223776223772</v>
      </c>
      <c r="AD89" s="100">
        <f t="shared" si="20"/>
        <v>0.83139534883720934</v>
      </c>
      <c r="AE89" s="100">
        <f t="shared" si="16"/>
        <v>6.7891575865994476</v>
      </c>
      <c r="AT89" s="75">
        <v>3</v>
      </c>
      <c r="AU89" s="97" t="s">
        <v>289</v>
      </c>
      <c r="AV89" s="97" t="str">
        <f t="shared" si="13"/>
        <v>3 - Lodo de esgosto</v>
      </c>
      <c r="AW89" s="75">
        <v>15</v>
      </c>
    </row>
    <row r="90" spans="13:49" ht="20.25" customHeight="1" x14ac:dyDescent="0.25">
      <c r="M90" s="364"/>
      <c r="N90" s="365"/>
      <c r="O90" s="448" t="s">
        <v>93</v>
      </c>
      <c r="P90" s="448"/>
      <c r="Q90" s="92">
        <v>1</v>
      </c>
      <c r="R90" s="53"/>
      <c r="U90" s="466"/>
      <c r="V90" s="99" t="str">
        <f t="shared" si="17"/>
        <v xml:space="preserve">Pó de brita Fmx (62) 3924 8565 </v>
      </c>
      <c r="W90" s="99">
        <f t="shared" si="17"/>
        <v>0</v>
      </c>
      <c r="X90" s="99">
        <f t="shared" si="18"/>
        <v>0</v>
      </c>
      <c r="Y90" s="99">
        <f t="shared" si="15"/>
        <v>0</v>
      </c>
      <c r="Z90" s="99">
        <f t="shared" si="15"/>
        <v>0</v>
      </c>
      <c r="AA90" s="99">
        <f t="shared" si="15"/>
        <v>4.99</v>
      </c>
      <c r="AB90" s="99">
        <f t="shared" si="15"/>
        <v>6</v>
      </c>
      <c r="AC90" s="100">
        <f t="shared" si="19"/>
        <v>2.5258741258741257</v>
      </c>
      <c r="AD90" s="100">
        <f t="shared" si="20"/>
        <v>0.59385382059800662</v>
      </c>
      <c r="AE90" s="100">
        <f t="shared" si="16"/>
        <v>9.1197279464721319</v>
      </c>
      <c r="AT90" s="75">
        <v>4</v>
      </c>
      <c r="AU90" s="97" t="s">
        <v>289</v>
      </c>
      <c r="AV90" s="97" t="str">
        <f t="shared" si="13"/>
        <v>4 - Lodo de esgosto</v>
      </c>
      <c r="AW90" s="75">
        <v>10</v>
      </c>
    </row>
    <row r="91" spans="13:49" ht="20.25" customHeight="1" x14ac:dyDescent="0.25">
      <c r="M91" s="364"/>
      <c r="N91" s="365"/>
      <c r="O91" s="448"/>
      <c r="P91" s="448"/>
      <c r="Q91" s="92"/>
      <c r="R91" s="53"/>
      <c r="U91" s="466"/>
      <c r="V91" s="99" t="str">
        <f t="shared" si="17"/>
        <v>Remax Mistel (61) 99414-1975</v>
      </c>
      <c r="W91" s="99">
        <f t="shared" si="17"/>
        <v>0</v>
      </c>
      <c r="X91" s="99">
        <f t="shared" si="18"/>
        <v>43.8</v>
      </c>
      <c r="Y91" s="99">
        <f t="shared" si="15"/>
        <v>4.4999999999999998E-2</v>
      </c>
      <c r="Z91" s="99">
        <f t="shared" si="15"/>
        <v>0.1</v>
      </c>
      <c r="AA91" s="99">
        <f t="shared" si="15"/>
        <v>2.1949999999999998</v>
      </c>
      <c r="AB91" s="99">
        <f t="shared" si="15"/>
        <v>2.6</v>
      </c>
      <c r="AC91" s="100">
        <f t="shared" si="19"/>
        <v>11.282237762237763</v>
      </c>
      <c r="AD91" s="100">
        <f t="shared" si="20"/>
        <v>8.8959302325581397</v>
      </c>
      <c r="AE91" s="100">
        <f t="shared" si="16"/>
        <v>22.778167994795901</v>
      </c>
      <c r="AT91" s="51">
        <v>0</v>
      </c>
      <c r="AU91" s="93" t="s">
        <v>290</v>
      </c>
      <c r="AV91" s="93" t="str">
        <f t="shared" si="13"/>
        <v>0 - Compostos orgânicos</v>
      </c>
      <c r="AW91" s="51">
        <v>6</v>
      </c>
    </row>
    <row r="92" spans="13:49" ht="20.25" customHeight="1" x14ac:dyDescent="0.25">
      <c r="M92" s="364"/>
      <c r="N92" s="365"/>
      <c r="O92" s="448"/>
      <c r="P92" s="448"/>
      <c r="Q92" s="92"/>
      <c r="R92" s="53"/>
      <c r="U92" s="466"/>
      <c r="V92" s="99">
        <f t="shared" si="17"/>
        <v>0</v>
      </c>
      <c r="W92" s="99">
        <f t="shared" si="17"/>
        <v>0</v>
      </c>
      <c r="X92" s="99">
        <f t="shared" si="18"/>
        <v>0</v>
      </c>
      <c r="Y92" s="99">
        <f t="shared" si="15"/>
        <v>0</v>
      </c>
      <c r="Z92" s="99">
        <f t="shared" si="15"/>
        <v>0</v>
      </c>
      <c r="AA92" s="99">
        <f t="shared" si="15"/>
        <v>0</v>
      </c>
      <c r="AB92" s="99">
        <f t="shared" si="15"/>
        <v>0</v>
      </c>
      <c r="AC92" s="100">
        <f t="shared" si="19"/>
        <v>0</v>
      </c>
      <c r="AD92" s="100">
        <f t="shared" si="20"/>
        <v>0</v>
      </c>
      <c r="AE92" s="100">
        <f t="shared" si="16"/>
        <v>0</v>
      </c>
      <c r="AT92" s="51">
        <v>1</v>
      </c>
      <c r="AU92" s="93" t="s">
        <v>290</v>
      </c>
      <c r="AV92" s="93" t="str">
        <f t="shared" si="13"/>
        <v>1 - Compostos orgânicos</v>
      </c>
      <c r="AW92" s="51">
        <v>2</v>
      </c>
    </row>
    <row r="93" spans="13:49" ht="20.25" customHeight="1" x14ac:dyDescent="0.25">
      <c r="M93" s="101"/>
      <c r="N93" s="25"/>
      <c r="O93" s="25"/>
      <c r="P93" s="25"/>
      <c r="Q93" s="25"/>
      <c r="R93" s="53"/>
      <c r="U93" s="466"/>
      <c r="V93" s="99">
        <f t="shared" si="17"/>
        <v>0</v>
      </c>
      <c r="W93" s="99">
        <f t="shared" si="17"/>
        <v>0</v>
      </c>
      <c r="X93" s="99">
        <f t="shared" si="18"/>
        <v>0</v>
      </c>
      <c r="Y93" s="99">
        <f t="shared" si="15"/>
        <v>0</v>
      </c>
      <c r="Z93" s="99">
        <f t="shared" si="15"/>
        <v>0</v>
      </c>
      <c r="AA93" s="99">
        <f t="shared" si="15"/>
        <v>0</v>
      </c>
      <c r="AB93" s="99">
        <f t="shared" si="15"/>
        <v>0</v>
      </c>
      <c r="AC93" s="100">
        <f t="shared" si="19"/>
        <v>0</v>
      </c>
      <c r="AD93" s="100">
        <f t="shared" si="20"/>
        <v>0</v>
      </c>
      <c r="AE93" s="100">
        <f t="shared" si="16"/>
        <v>0</v>
      </c>
      <c r="AT93" s="51">
        <v>2</v>
      </c>
      <c r="AU93" s="93" t="s">
        <v>290</v>
      </c>
      <c r="AV93" s="93" t="str">
        <f t="shared" si="13"/>
        <v>2 - Compostos orgânicos</v>
      </c>
      <c r="AW93" s="51">
        <v>4</v>
      </c>
    </row>
    <row r="94" spans="13:49" ht="20.25" customHeight="1" x14ac:dyDescent="0.25">
      <c r="M94" s="101"/>
      <c r="N94" s="25"/>
      <c r="O94" s="365" t="s">
        <v>264</v>
      </c>
      <c r="P94" s="365"/>
      <c r="Q94" s="365"/>
      <c r="R94" s="53"/>
      <c r="U94" s="466"/>
      <c r="V94" s="99">
        <f t="shared" si="17"/>
        <v>0</v>
      </c>
      <c r="W94" s="99">
        <f t="shared" si="17"/>
        <v>0</v>
      </c>
      <c r="X94" s="99">
        <f t="shared" si="18"/>
        <v>0</v>
      </c>
      <c r="Y94" s="99">
        <f t="shared" si="15"/>
        <v>0</v>
      </c>
      <c r="Z94" s="99">
        <f t="shared" si="15"/>
        <v>0</v>
      </c>
      <c r="AA94" s="99">
        <f t="shared" si="15"/>
        <v>0</v>
      </c>
      <c r="AB94" s="99">
        <f t="shared" si="15"/>
        <v>0</v>
      </c>
      <c r="AC94" s="100">
        <f t="shared" si="19"/>
        <v>0</v>
      </c>
      <c r="AD94" s="100">
        <f t="shared" si="20"/>
        <v>0</v>
      </c>
      <c r="AE94" s="100">
        <f t="shared" si="16"/>
        <v>0</v>
      </c>
      <c r="AT94" s="51">
        <v>3</v>
      </c>
      <c r="AU94" s="93" t="s">
        <v>290</v>
      </c>
      <c r="AV94" s="93" t="str">
        <f t="shared" si="13"/>
        <v>3 - Compostos orgânicos</v>
      </c>
      <c r="AW94" s="51">
        <v>6</v>
      </c>
    </row>
    <row r="95" spans="13:49" ht="20.25" customHeight="1" thickBot="1" x14ac:dyDescent="0.3">
      <c r="M95" s="69"/>
      <c r="N95" s="70"/>
      <c r="O95" s="70"/>
      <c r="P95" s="70"/>
      <c r="Q95" s="70"/>
      <c r="R95" s="71"/>
      <c r="U95" s="466"/>
      <c r="V95" s="99">
        <f t="shared" si="17"/>
        <v>0</v>
      </c>
      <c r="W95" s="99">
        <f t="shared" si="17"/>
        <v>0</v>
      </c>
      <c r="X95" s="99">
        <f t="shared" si="18"/>
        <v>0</v>
      </c>
      <c r="Y95" s="99">
        <f t="shared" si="15"/>
        <v>0</v>
      </c>
      <c r="Z95" s="99">
        <f t="shared" si="15"/>
        <v>0</v>
      </c>
      <c r="AA95" s="99">
        <f t="shared" si="15"/>
        <v>0</v>
      </c>
      <c r="AB95" s="99">
        <f t="shared" si="15"/>
        <v>0</v>
      </c>
      <c r="AC95" s="100">
        <f t="shared" si="19"/>
        <v>0</v>
      </c>
      <c r="AD95" s="100">
        <f t="shared" si="20"/>
        <v>0</v>
      </c>
      <c r="AE95" s="100">
        <f t="shared" si="16"/>
        <v>0</v>
      </c>
      <c r="AT95" s="51">
        <v>4</v>
      </c>
      <c r="AU95" s="93" t="s">
        <v>290</v>
      </c>
      <c r="AV95" s="93" t="str">
        <f t="shared" si="13"/>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529" t="s">
        <v>78</v>
      </c>
      <c r="Y98" s="530"/>
      <c r="Z98" s="530"/>
      <c r="AA98" s="530"/>
      <c r="AB98" s="530"/>
      <c r="AC98" s="530"/>
      <c r="AD98" s="530"/>
      <c r="AE98" s="530"/>
      <c r="AF98" s="530"/>
      <c r="AG98" s="530"/>
      <c r="AH98" s="530"/>
      <c r="AI98" s="530"/>
      <c r="AJ98" s="530"/>
      <c r="AK98" s="530"/>
      <c r="AL98" s="530"/>
      <c r="AM98" s="530"/>
      <c r="AN98" s="530"/>
      <c r="AO98" s="531"/>
    </row>
    <row r="99" spans="1:41" ht="20.25" customHeight="1" x14ac:dyDescent="0.25">
      <c r="A99" s="94"/>
      <c r="M99" s="364" t="s">
        <v>262</v>
      </c>
      <c r="N99" s="453"/>
      <c r="O99" s="103">
        <f>$AC$30</f>
        <v>200</v>
      </c>
      <c r="P99" s="103">
        <f>$AC$31</f>
        <v>60</v>
      </c>
      <c r="Q99" s="103">
        <f>$AC$32</f>
        <v>60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8</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1">
    <mergeCell ref="U170:U179"/>
    <mergeCell ref="X98:AO98"/>
    <mergeCell ref="X85:AE85"/>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M99:N99"/>
    <mergeCell ref="U87:U95"/>
    <mergeCell ref="O94:Q94"/>
    <mergeCell ref="O68:Q68"/>
    <mergeCell ref="U71:U72"/>
    <mergeCell ref="V71:V72"/>
    <mergeCell ref="W71:W72"/>
    <mergeCell ref="X71:Z71"/>
    <mergeCell ref="M72:N92"/>
    <mergeCell ref="O72:Q72"/>
    <mergeCell ref="O73:Q73"/>
    <mergeCell ref="U73:U82"/>
    <mergeCell ref="O74:P74"/>
    <mergeCell ref="V85:V86"/>
    <mergeCell ref="W85:W86"/>
    <mergeCell ref="O86:Q86"/>
    <mergeCell ref="O75:P75"/>
    <mergeCell ref="O76:P76"/>
    <mergeCell ref="O78:Q78"/>
    <mergeCell ref="O80:Q80"/>
    <mergeCell ref="O81:Q81"/>
    <mergeCell ref="O82:P82"/>
    <mergeCell ref="O88:Q88"/>
    <mergeCell ref="O89:Q89"/>
    <mergeCell ref="O90:P90"/>
    <mergeCell ref="O91:P91"/>
    <mergeCell ref="O92:P92"/>
    <mergeCell ref="B67:E67"/>
    <mergeCell ref="F67:I67"/>
    <mergeCell ref="AQ57:AR57"/>
    <mergeCell ref="B58:C58"/>
    <mergeCell ref="E58:I58"/>
    <mergeCell ref="AQ58:AR58"/>
    <mergeCell ref="B59:C59"/>
    <mergeCell ref="E59:I59"/>
    <mergeCell ref="AQ59:AR59"/>
    <mergeCell ref="O83:P83"/>
    <mergeCell ref="O84:P84"/>
    <mergeCell ref="U85:U86"/>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105:Q109">
      <formula1>$V$170:$V$179</formula1>
    </dataValidation>
    <dataValidation type="list" allowBlank="1" showInputMessage="1" showErrorMessage="1" sqref="O42:Q42">
      <formula1>$AK$29:$AK$38</formula1>
    </dataValidation>
    <dataValidation type="list" allowBlank="1" showInputMessage="1" showErrorMessage="1" sqref="Q82:Q84 Q90:Q92 Q74:Q76 Q47 Q50">
      <formula1>$AI$29:$AI$40</formula1>
    </dataValidation>
    <dataValidation type="list" allowBlank="1" showInputMessage="1" showErrorMessage="1" sqref="P39:Q39">
      <formula1>$AE$31:$AE$34</formula1>
    </dataValidation>
    <dataValidation type="list" allowBlank="1" showInputMessage="1" showErrorMessage="1" sqref="O68 O176 N159 O174">
      <formula1>$AG$29:$AG$30</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corretivos'!$C$3:$C$62</xm:f>
          </x14:formula1>
          <xm:sqref>O74:P76 O82:P84 O90:P92</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corretivos'!$C$87:$C$99</xm:f>
          </x14:formula1>
          <xm:sqref>O47:P47</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E46" sqref="E46:I46"/>
    </sheetView>
  </sheetViews>
  <sheetFormatPr defaultRowHeight="19.5" customHeight="1" outlineLevelCol="1" x14ac:dyDescent="0.25"/>
  <cols>
    <col min="1" max="1" width="5.7109375" style="11" customWidth="1"/>
    <col min="2" max="2" width="37.28515625" style="11" customWidth="1"/>
    <col min="3" max="3" width="29.5703125" style="11" customWidth="1"/>
    <col min="4" max="9" width="16.7109375" style="11" customWidth="1"/>
    <col min="10" max="10" width="5.85546875" style="66" customWidth="1"/>
    <col min="11" max="12" width="0" style="11" hidden="1" customWidth="1"/>
    <col min="13" max="13" width="36.5703125" style="11" customWidth="1"/>
    <col min="14" max="14" width="13.140625" style="11" bestFit="1" customWidth="1"/>
    <col min="15" max="15" width="29.7109375" style="11" customWidth="1"/>
    <col min="16" max="16" width="18.42578125" style="11" customWidth="1"/>
    <col min="17" max="17" width="49.140625" style="11" customWidth="1"/>
    <col min="18" max="18" width="8"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7.42578125" style="11" hidden="1" customWidth="1" outlineLevel="1"/>
    <col min="25" max="25" width="22.42578125" style="11" hidden="1" customWidth="1" outlineLevel="1"/>
    <col min="26" max="26" width="22"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36.140625" style="11" hidden="1" customWidth="1" outlineLevel="1"/>
    <col min="32" max="32" width="25.5703125" style="11" hidden="1" customWidth="1" outlineLevel="1"/>
    <col min="33" max="33" width="22" style="11" hidden="1" customWidth="1" outlineLevel="1"/>
    <col min="34" max="34" width="21.5703125" style="11" hidden="1" customWidth="1" outlineLevel="1"/>
    <col min="35" max="35" width="24.7109375" style="11" hidden="1" customWidth="1" outlineLevel="1"/>
    <col min="36" max="36" width="14.28515625" style="11" hidden="1" customWidth="1" outlineLevel="1"/>
    <col min="37" max="37" width="32.42578125" style="11" hidden="1" customWidth="1" outlineLevel="1"/>
    <col min="38" max="38" width="13.1406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13.7109375" style="11" hidden="1" customWidth="1" outlineLevel="1"/>
    <col min="47" max="47" width="31.42578125" style="11" hidden="1" customWidth="1" outlineLevel="1"/>
    <col min="48" max="48" width="9.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19.5" customHeight="1" thickBot="1" x14ac:dyDescent="0.3">
      <c r="A1" s="23"/>
    </row>
    <row r="2" spans="1:54" ht="19.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19.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19.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19.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420</v>
      </c>
      <c r="AT5" s="55">
        <f>$AC$31</f>
        <v>90</v>
      </c>
      <c r="AU5" s="55">
        <f>$AC$32</f>
        <v>420</v>
      </c>
      <c r="AV5" s="509"/>
      <c r="AW5" s="47"/>
      <c r="AX5" s="47"/>
      <c r="AY5" s="47"/>
      <c r="AZ5" s="47"/>
      <c r="BA5" s="47"/>
      <c r="BB5" s="47"/>
    </row>
    <row r="6" spans="1:54" ht="19.5" customHeight="1" x14ac:dyDescent="0.25">
      <c r="M6" s="364"/>
      <c r="N6" s="453"/>
      <c r="O6" s="51" t="s">
        <v>3</v>
      </c>
      <c r="P6" s="56">
        <v>2</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45.000000000000007</v>
      </c>
      <c r="AU6" s="55">
        <f>IFERROR((VLOOKUP(AQ6,$V$100:$AB$179,7,0)*0.01)*AV6,0)</f>
        <v>0</v>
      </c>
      <c r="AV6" s="55">
        <f>IFERROR($AT$5*Q74/(VLOOKUP(AQ6,$V$100:$AB$179,5,0)/100),0)</f>
        <v>257.14285714285717</v>
      </c>
      <c r="AW6" s="47"/>
      <c r="AX6" s="47"/>
      <c r="AY6" s="47"/>
      <c r="AZ6" s="47"/>
      <c r="BA6" s="47"/>
      <c r="BB6" s="47"/>
    </row>
    <row r="7" spans="1:54" ht="19.5" customHeight="1" x14ac:dyDescent="0.25">
      <c r="M7" s="364"/>
      <c r="N7" s="453"/>
      <c r="O7" s="51" t="s">
        <v>4</v>
      </c>
      <c r="P7" s="32">
        <v>1</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45</v>
      </c>
      <c r="AU7" s="55">
        <f>IFERROR((VLOOKUP(AQ7,$V$100:$AB$179,7,0)*0.01)*AV7,0)</f>
        <v>0</v>
      </c>
      <c r="AV7" s="55">
        <f>IFERROR($AT$5*Q75/(VLOOKUP(AQ7,$V$100:$AB$179,5,0)/100),0)</f>
        <v>250</v>
      </c>
      <c r="AW7" s="47"/>
      <c r="AX7" s="47"/>
      <c r="AY7" s="47"/>
      <c r="AZ7" s="47"/>
      <c r="BA7" s="47"/>
      <c r="BB7" s="47"/>
    </row>
    <row r="8" spans="1:54" ht="19.5" customHeight="1" thickBot="1" x14ac:dyDescent="0.3">
      <c r="M8" s="364"/>
      <c r="N8" s="453"/>
      <c r="O8" s="51" t="s">
        <v>5</v>
      </c>
      <c r="P8" s="56">
        <v>0.5</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19.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3</v>
      </c>
      <c r="AL9" s="457">
        <f>(AM9*1000)/$E$18</f>
        <v>3</v>
      </c>
      <c r="AM9" s="456">
        <v>1</v>
      </c>
      <c r="AO9" s="47"/>
      <c r="AP9" s="47"/>
      <c r="AQ9" s="47"/>
      <c r="AR9" s="47"/>
      <c r="AS9" s="59">
        <f>AS5-(SUM(AS6:AS8))</f>
        <v>420</v>
      </c>
      <c r="AT9" s="59">
        <f>AT5-(SUM(AT6:AT8))</f>
        <v>0</v>
      </c>
      <c r="AU9" s="59">
        <f>AU5-(SUM(AU6:AU8))</f>
        <v>420</v>
      </c>
      <c r="AV9" s="59"/>
      <c r="AW9" s="47"/>
      <c r="AX9" s="47"/>
      <c r="AY9" s="47"/>
      <c r="AZ9" s="47"/>
      <c r="BA9" s="47"/>
      <c r="BB9" s="47"/>
    </row>
    <row r="10" spans="1:54" ht="19.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c r="AX10" s="47"/>
      <c r="AY10" s="47"/>
      <c r="AZ10" s="47"/>
      <c r="BA10" s="47"/>
      <c r="BB10" s="47"/>
    </row>
    <row r="11" spans="1:54" ht="19.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420</v>
      </c>
      <c r="AT11" s="55">
        <f t="shared" ref="AT11:AU11" si="0">AT9</f>
        <v>0</v>
      </c>
      <c r="AU11" s="55">
        <f t="shared" si="0"/>
        <v>420</v>
      </c>
      <c r="AV11" s="509"/>
      <c r="AW11" s="47"/>
      <c r="AX11" s="47"/>
      <c r="AY11" s="47"/>
      <c r="AZ11" s="47"/>
      <c r="BA11" s="47"/>
      <c r="BB11" s="47"/>
    </row>
    <row r="12" spans="1:54" ht="19.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1.5</v>
      </c>
      <c r="AM12" s="456">
        <v>0.5</v>
      </c>
      <c r="AO12" s="47"/>
      <c r="AP12" s="54">
        <v>7</v>
      </c>
      <c r="AQ12" s="447" t="str">
        <f>O82</f>
        <v>Cloreto de potássio</v>
      </c>
      <c r="AR12" s="447"/>
      <c r="AS12" s="55">
        <f>IFERROR((VLOOKUP(AQ12,$V$100:$AB$179,3,0)*0.01)*AV12,0)</f>
        <v>0</v>
      </c>
      <c r="AT12" s="55">
        <f>IFERROR((VLOOKUP(AQ12,$V$100:$AB$179,5,0)*0.01)*AV12,0)</f>
        <v>0</v>
      </c>
      <c r="AU12" s="55">
        <f>IFERROR((VLOOKUP(AQ12,$V$100:$AB$179,7,0)*0.01)*AV12,0)</f>
        <v>210</v>
      </c>
      <c r="AV12" s="55">
        <f>IFERROR($AU$11*Q82/(VLOOKUP(AQ12,$V$100:$AB$179,7,0)/100),0)</f>
        <v>350</v>
      </c>
      <c r="AW12" s="47"/>
      <c r="AX12" s="47"/>
      <c r="AY12" s="47"/>
      <c r="AZ12" s="47"/>
      <c r="BA12" s="47"/>
      <c r="BB12" s="47"/>
    </row>
    <row r="13" spans="1:54" ht="19.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210</v>
      </c>
      <c r="AV13" s="55">
        <f>IFERROR($AU$11*Q83/(VLOOKUP(AQ13,$V$100:$AB$179,7,0)/100),0)</f>
        <v>2625</v>
      </c>
      <c r="AW13" s="47"/>
      <c r="AX13" s="47"/>
      <c r="AY13" s="47"/>
      <c r="AZ13" s="47"/>
      <c r="BA13" s="47"/>
      <c r="BB13" s="47"/>
    </row>
    <row r="14" spans="1:54" ht="19.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19.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3</v>
      </c>
      <c r="AM15" s="456">
        <v>1</v>
      </c>
      <c r="AO15" s="47"/>
      <c r="AP15" s="47"/>
      <c r="AQ15" s="47"/>
      <c r="AR15" s="47"/>
      <c r="AS15" s="59">
        <f>AS11-(SUM(AS12:AS14))</f>
        <v>420</v>
      </c>
      <c r="AT15" s="59">
        <f>AT11-(SUM(AT12:AT14))</f>
        <v>0</v>
      </c>
      <c r="AU15" s="59">
        <f>AU11-(SUM(AU12:AU14))</f>
        <v>0</v>
      </c>
      <c r="AV15" s="47"/>
      <c r="AW15" s="47"/>
      <c r="AX15" s="47"/>
      <c r="AY15" s="47"/>
      <c r="AZ15" s="47"/>
      <c r="BA15" s="47"/>
      <c r="BB15" s="47"/>
    </row>
    <row r="16" spans="1:54" ht="19.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19.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420</v>
      </c>
      <c r="AT17" s="55">
        <f t="shared" ref="AT17:AU17" si="1">AT15</f>
        <v>0</v>
      </c>
      <c r="AU17" s="55">
        <f t="shared" si="1"/>
        <v>0</v>
      </c>
      <c r="AV17" s="509"/>
      <c r="AW17" s="47"/>
      <c r="AX17" s="47"/>
      <c r="AY17" s="47"/>
      <c r="AZ17" s="47"/>
      <c r="BA17" s="47"/>
      <c r="BB17" s="47"/>
    </row>
    <row r="18" spans="2:54" ht="19.5" customHeight="1" x14ac:dyDescent="0.25">
      <c r="B18" s="457" t="s">
        <v>134</v>
      </c>
      <c r="C18" s="457"/>
      <c r="D18" s="457"/>
      <c r="E18" s="60">
        <f>IFERROR(IF(ISERR(P35),Q35,IF(ISERR(Q35),P35)),"-")</f>
        <v>333.33333333333331</v>
      </c>
      <c r="F18" s="457" t="s">
        <v>125</v>
      </c>
      <c r="G18" s="457"/>
      <c r="H18" s="457"/>
      <c r="I18" s="51">
        <f>O34</f>
        <v>1</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15</v>
      </c>
      <c r="AM18" s="456">
        <v>5</v>
      </c>
      <c r="AO18" s="47"/>
      <c r="AP18" s="54">
        <v>13</v>
      </c>
      <c r="AQ18" s="447" t="str">
        <f>O90</f>
        <v>Nitrato de Amônio</v>
      </c>
      <c r="AR18" s="447"/>
      <c r="AS18" s="55">
        <f>IFERROR((VLOOKUP(AQ18,$V$100:$AB$179,3,0)*0.01)*AV18,0)</f>
        <v>210</v>
      </c>
      <c r="AT18" s="55">
        <f>IFERROR((VLOOKUP(AQ18,$V$100:$AB$179,5,0)*0.01)*AV18,0)</f>
        <v>0</v>
      </c>
      <c r="AU18" s="55">
        <f>IFERROR((VLOOKUP(AQ18,$V$100:$AB$179,7,0)*0.01)*AV18,0)</f>
        <v>0</v>
      </c>
      <c r="AV18" s="55">
        <f>IFERROR($AS$17*Q90/(VLOOKUP(AQ18,$V$100:$AB$179,3,0)/100),0)</f>
        <v>724.13793103448279</v>
      </c>
      <c r="AW18" s="47"/>
      <c r="AX18" s="47"/>
      <c r="AY18" s="47"/>
      <c r="AZ18" s="47"/>
      <c r="BA18" s="47"/>
      <c r="BB18" s="47"/>
    </row>
    <row r="19" spans="2:54" ht="19.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19.5" customHeight="1" x14ac:dyDescent="0.25">
      <c r="B20" s="459" t="s">
        <v>183</v>
      </c>
      <c r="C20" s="512"/>
      <c r="D20" s="512"/>
      <c r="E20" s="460"/>
      <c r="F20" s="63" t="s">
        <v>126</v>
      </c>
      <c r="G20" s="63">
        <f>P24</f>
        <v>59.337349397590359</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19.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210</v>
      </c>
      <c r="AT21" s="59">
        <f t="shared" ref="AT21:AU21" si="2">AT17-(SUM(AT18:AT20))</f>
        <v>0</v>
      </c>
      <c r="AU21" s="59">
        <f t="shared" si="2"/>
        <v>0</v>
      </c>
      <c r="AV21" s="59"/>
      <c r="AW21" s="47"/>
      <c r="AX21" s="47"/>
      <c r="AY21" s="47"/>
      <c r="AZ21" s="47"/>
      <c r="BA21" s="47"/>
      <c r="BB21" s="47"/>
    </row>
    <row r="22" spans="2:54" ht="19.5" customHeight="1" x14ac:dyDescent="0.25">
      <c r="B22" s="64" t="s">
        <v>81</v>
      </c>
      <c r="C22" s="65">
        <f>P6</f>
        <v>2</v>
      </c>
      <c r="D22" s="63" t="s">
        <v>79</v>
      </c>
      <c r="E22" s="63">
        <f>P13</f>
        <v>38.299999999999997</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19.5" customHeight="1" x14ac:dyDescent="0.25">
      <c r="B23" s="64" t="s">
        <v>82</v>
      </c>
      <c r="C23" s="65">
        <f>P7</f>
        <v>1</v>
      </c>
      <c r="D23" s="63" t="s">
        <v>129</v>
      </c>
      <c r="E23" s="63">
        <f>P11</f>
        <v>2.7</v>
      </c>
      <c r="F23" s="63" t="s">
        <v>87</v>
      </c>
      <c r="G23" s="63">
        <f>P16</f>
        <v>4</v>
      </c>
      <c r="H23" s="63" t="s">
        <v>83</v>
      </c>
      <c r="I23" s="63">
        <f>P15</f>
        <v>20</v>
      </c>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19.5" customHeight="1" x14ac:dyDescent="0.25">
      <c r="B24" s="64" t="s">
        <v>80</v>
      </c>
      <c r="C24" s="65">
        <f>P8</f>
        <v>0.5</v>
      </c>
      <c r="D24" s="63" t="s">
        <v>130</v>
      </c>
      <c r="E24" s="63">
        <f>P10</f>
        <v>0.1</v>
      </c>
      <c r="F24" s="63" t="s">
        <v>89</v>
      </c>
      <c r="G24" s="63">
        <f>P17</f>
        <v>58.4</v>
      </c>
      <c r="H24" s="63" t="s">
        <v>131</v>
      </c>
      <c r="I24" s="63">
        <f>P25</f>
        <v>6.6400000000000006</v>
      </c>
      <c r="M24" s="364"/>
      <c r="N24" s="453"/>
      <c r="O24" s="51" t="s">
        <v>22</v>
      </c>
      <c r="P24" s="63">
        <f>100*(P6+P7+P8+P9)/P25</f>
        <v>59.337349397590359</v>
      </c>
      <c r="Q24" s="51" t="s">
        <v>23</v>
      </c>
      <c r="R24" s="53"/>
      <c r="AO24" s="47"/>
      <c r="AP24" s="47"/>
      <c r="AQ24" s="47"/>
      <c r="AR24" s="47"/>
      <c r="AS24" s="59">
        <f>AS26-(SUM(AS27:AS36))</f>
        <v>2.9995293103448275</v>
      </c>
      <c r="AT24" s="59">
        <f t="shared" ref="AT24:AV24" si="3">AT26-(SUM(AT27:AT36))</f>
        <v>-4.7068965517241376E-4</v>
      </c>
      <c r="AU24" s="59">
        <f t="shared" si="3"/>
        <v>-9.0517241379310361E-4</v>
      </c>
      <c r="AV24" s="59">
        <f t="shared" si="3"/>
        <v>-1.013793103448276E-4</v>
      </c>
      <c r="AW24" s="47"/>
      <c r="AX24" s="47"/>
      <c r="AY24" s="47"/>
      <c r="AZ24" s="47"/>
      <c r="BA24" s="47"/>
      <c r="BB24" s="47"/>
    </row>
    <row r="25" spans="2:54" ht="19.5" customHeight="1" thickBot="1" x14ac:dyDescent="0.3">
      <c r="M25" s="364"/>
      <c r="N25" s="453"/>
      <c r="O25" s="51" t="s">
        <v>24</v>
      </c>
      <c r="P25" s="67">
        <f>(P6+P7+P8+P9+P11)</f>
        <v>6.6400000000000006</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19.5" customHeight="1" thickBot="1" x14ac:dyDescent="0.3">
      <c r="B26" s="485" t="s">
        <v>272</v>
      </c>
      <c r="C26" s="486"/>
      <c r="D26" s="486"/>
      <c r="E26" s="486"/>
      <c r="F26" s="486"/>
      <c r="G26" s="486"/>
      <c r="H26" s="486"/>
      <c r="I26" s="487"/>
      <c r="M26" s="69"/>
      <c r="N26" s="70"/>
      <c r="O26" s="70"/>
      <c r="P26" s="70"/>
      <c r="Q26" s="70"/>
      <c r="R26" s="71"/>
      <c r="U26" s="459" t="s">
        <v>312</v>
      </c>
      <c r="V26" s="512"/>
      <c r="W26" s="512"/>
      <c r="X26" s="512"/>
      <c r="Y26" s="512"/>
      <c r="Z26" s="460"/>
      <c r="AO26" s="47"/>
      <c r="AP26" s="461"/>
      <c r="AQ26" s="461"/>
      <c r="AR26" s="461"/>
      <c r="AS26" s="72">
        <f>AK9</f>
        <v>3</v>
      </c>
      <c r="AT26" s="72">
        <f>AK12</f>
        <v>0</v>
      </c>
      <c r="AU26" s="72">
        <f>AK15</f>
        <v>0</v>
      </c>
      <c r="AV26" s="72">
        <f>AK18</f>
        <v>0</v>
      </c>
      <c r="AW26" s="47"/>
      <c r="AX26" s="47"/>
      <c r="AY26" s="47"/>
      <c r="AZ26" s="47"/>
      <c r="BA26" s="47"/>
      <c r="BB26" s="47"/>
    </row>
    <row r="27" spans="2:54" ht="19.5" customHeight="1" thickBot="1" x14ac:dyDescent="0.3">
      <c r="B27" s="488" t="str">
        <f>IF($O$47&gt;0,$O$47,"-")</f>
        <v>BRICCAL Calcítico</v>
      </c>
      <c r="C27" s="488"/>
      <c r="D27" s="73">
        <f>IF(J27&gt;0,J27,"-")</f>
        <v>0.4411764705882355</v>
      </c>
      <c r="E27" s="365" t="str">
        <f>IF(J27&gt;0,"toneladas por hectare ou,","-")</f>
        <v>toneladas por hectare ou,</v>
      </c>
      <c r="F27" s="365"/>
      <c r="G27" s="365"/>
      <c r="H27" s="365"/>
      <c r="I27" s="365"/>
      <c r="J27" s="74">
        <f>V51</f>
        <v>0.4411764705882355</v>
      </c>
      <c r="U27" s="51" t="s">
        <v>300</v>
      </c>
      <c r="V27" s="51" t="s">
        <v>313</v>
      </c>
      <c r="W27" s="51" t="s">
        <v>75</v>
      </c>
      <c r="X27" s="51" t="s">
        <v>71</v>
      </c>
      <c r="Y27" s="51" t="s">
        <v>314</v>
      </c>
      <c r="Z27" s="51" t="s">
        <v>315</v>
      </c>
      <c r="AO27" s="47"/>
      <c r="AP27" s="447" t="s">
        <v>261</v>
      </c>
      <c r="AQ27" s="447" t="str">
        <f>B29</f>
        <v>Micaxisto (61) 3233-9368</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19.5" customHeight="1" x14ac:dyDescent="0.25">
      <c r="B28" s="488"/>
      <c r="C28" s="488"/>
      <c r="D28" s="73">
        <f>IF(J28&gt;0,J28,"-")</f>
        <v>4.4117647058823553E-2</v>
      </c>
      <c r="E28" s="365" t="str">
        <f>IF(J28&gt;0,"quilos por metro quadrado","-")</f>
        <v>quilos por metro quadrado</v>
      </c>
      <c r="F28" s="365"/>
      <c r="G28" s="365"/>
      <c r="H28" s="365"/>
      <c r="I28" s="365"/>
      <c r="J28" s="74">
        <f>J27/10</f>
        <v>4.4117647058823553E-2</v>
      </c>
      <c r="M28" s="48"/>
      <c r="N28" s="49"/>
      <c r="O28" s="49"/>
      <c r="P28" s="49"/>
      <c r="Q28" s="49"/>
      <c r="R28" s="50"/>
      <c r="U28" s="75" t="s">
        <v>40</v>
      </c>
      <c r="V28" s="75">
        <v>30000</v>
      </c>
      <c r="W28" s="75" t="s">
        <v>68</v>
      </c>
      <c r="X28" s="75" t="str">
        <f>CONCATENATE(U28," - ",W28)</f>
        <v>&lt; 10 - baixo</v>
      </c>
      <c r="Y28" s="75">
        <v>40000</v>
      </c>
      <c r="Z28" s="75">
        <v>60000</v>
      </c>
      <c r="AE28" s="75"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19.5" customHeight="1" x14ac:dyDescent="0.25">
      <c r="B29" s="488" t="str">
        <f>IF($O$50&gt;0,$O$50,"-")</f>
        <v>Micaxisto (61) 3233-9368</v>
      </c>
      <c r="C29" s="488"/>
      <c r="D29" s="73">
        <f>IF(J29&gt;0,J29,"-")</f>
        <v>2.8592302444411701</v>
      </c>
      <c r="E29" s="365" t="str">
        <f>IF(J29&gt;0,"toneladas por hectare ou,","-")</f>
        <v>toneladas por hectare ou,</v>
      </c>
      <c r="F29" s="365"/>
      <c r="G29" s="365"/>
      <c r="H29" s="365"/>
      <c r="I29" s="365"/>
      <c r="J29" s="74">
        <f>Z49</f>
        <v>2.8592302444411701</v>
      </c>
      <c r="M29" s="364" t="s">
        <v>211</v>
      </c>
      <c r="N29" s="453"/>
      <c r="O29" s="489" t="s">
        <v>197</v>
      </c>
      <c r="P29" s="489"/>
      <c r="Q29" s="489"/>
      <c r="R29" s="53"/>
      <c r="U29" s="75" t="s">
        <v>40</v>
      </c>
      <c r="V29" s="75">
        <v>30000</v>
      </c>
      <c r="W29" s="75" t="s">
        <v>69</v>
      </c>
      <c r="X29" s="75" t="str">
        <f t="shared" ref="X29:X42" si="9">CONCATENATE(U29," - ",W29)</f>
        <v>&lt; 10 - medio</v>
      </c>
      <c r="Y29" s="75">
        <v>30000</v>
      </c>
      <c r="Z29" s="75">
        <v>45000</v>
      </c>
      <c r="AB29" s="458" t="s">
        <v>65</v>
      </c>
      <c r="AC29" s="458"/>
      <c r="AE29" s="75" t="s">
        <v>300</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19.5" customHeight="1" x14ac:dyDescent="0.25">
      <c r="B30" s="488"/>
      <c r="C30" s="488"/>
      <c r="D30" s="73">
        <f>IF(J30&gt;0,J30,"-")</f>
        <v>0.28592302444411699</v>
      </c>
      <c r="E30" s="365" t="str">
        <f>IF(J30&gt;0,"quilos por metro quadrado","-")</f>
        <v>quilos por metro quadrado</v>
      </c>
      <c r="F30" s="365"/>
      <c r="G30" s="365"/>
      <c r="H30" s="365"/>
      <c r="I30" s="365"/>
      <c r="J30" s="74">
        <f>J29/10</f>
        <v>0.28592302444411699</v>
      </c>
      <c r="M30" s="364"/>
      <c r="N30" s="453"/>
      <c r="O30" s="32">
        <v>6</v>
      </c>
      <c r="P30" s="77" t="s">
        <v>200</v>
      </c>
      <c r="Q30" s="32">
        <v>5</v>
      </c>
      <c r="R30" s="53"/>
      <c r="U30" s="75" t="s">
        <v>40</v>
      </c>
      <c r="V30" s="75">
        <v>30000</v>
      </c>
      <c r="W30" s="75" t="s">
        <v>70</v>
      </c>
      <c r="X30" s="75" t="str">
        <f t="shared" si="9"/>
        <v>&lt; 10 - adequado</v>
      </c>
      <c r="Y30" s="75">
        <v>0</v>
      </c>
      <c r="Z30" s="75">
        <v>30000</v>
      </c>
      <c r="AB30" s="78" t="s">
        <v>33</v>
      </c>
      <c r="AC30" s="78">
        <f>VLOOKUP($P$39,$U$28:$V$42,2,0)/$E$18</f>
        <v>420</v>
      </c>
      <c r="AE30" s="75"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19.5" customHeight="1" x14ac:dyDescent="0.25">
      <c r="B31" s="524" t="s">
        <v>533</v>
      </c>
      <c r="C31" s="524"/>
      <c r="D31" s="524"/>
      <c r="E31" s="524"/>
      <c r="F31" s="524"/>
      <c r="G31" s="524"/>
      <c r="H31" s="524"/>
      <c r="I31" s="524"/>
      <c r="J31" s="74"/>
      <c r="M31" s="364"/>
      <c r="N31" s="365"/>
      <c r="O31" s="105"/>
      <c r="P31" s="105"/>
      <c r="Q31" s="105"/>
      <c r="R31" s="53"/>
      <c r="U31" s="75" t="s">
        <v>317</v>
      </c>
      <c r="V31" s="75">
        <v>40000</v>
      </c>
      <c r="W31" s="75" t="s">
        <v>68</v>
      </c>
      <c r="X31" s="75" t="str">
        <f t="shared" si="9"/>
        <v>10,1 - 20 - baixo</v>
      </c>
      <c r="Y31" s="75">
        <v>50000</v>
      </c>
      <c r="Z31" s="75">
        <v>80000</v>
      </c>
      <c r="AB31" s="78" t="s">
        <v>66</v>
      </c>
      <c r="AC31" s="78">
        <f>VLOOKUP(AB36,X28:Z42,2,0)/$E$18</f>
        <v>90</v>
      </c>
      <c r="AE31" s="75" t="s">
        <v>40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19.5" customHeight="1" x14ac:dyDescent="0.25">
      <c r="B32" s="524"/>
      <c r="C32" s="524"/>
      <c r="D32" s="524"/>
      <c r="E32" s="524"/>
      <c r="F32" s="524"/>
      <c r="G32" s="524"/>
      <c r="H32" s="524"/>
      <c r="I32" s="524"/>
      <c r="J32" s="74"/>
      <c r="M32" s="364"/>
      <c r="N32" s="365"/>
      <c r="O32" s="80"/>
      <c r="P32" s="80"/>
      <c r="Q32" s="80"/>
      <c r="R32" s="53"/>
      <c r="U32" s="75" t="s">
        <v>317</v>
      </c>
      <c r="V32" s="75">
        <v>40000</v>
      </c>
      <c r="W32" s="75" t="s">
        <v>69</v>
      </c>
      <c r="X32" s="75" t="str">
        <f t="shared" si="9"/>
        <v>10,1 - 20 - medio</v>
      </c>
      <c r="Y32" s="75">
        <v>40000</v>
      </c>
      <c r="Z32" s="75">
        <v>70000</v>
      </c>
      <c r="AB32" s="78" t="s">
        <v>67</v>
      </c>
      <c r="AC32" s="78">
        <f>VLOOKUP($AB$39,X28:Z42,3,0)/$E$18</f>
        <v>420</v>
      </c>
      <c r="AE32" s="75" t="s">
        <v>317</v>
      </c>
      <c r="AI32" s="76">
        <v>0.2</v>
      </c>
      <c r="AK32" s="51" t="s">
        <v>292</v>
      </c>
      <c r="AO32" s="47"/>
      <c r="AP32" s="447"/>
      <c r="AQ32" s="447" t="str">
        <f t="shared" si="8"/>
        <v>EkoSil</v>
      </c>
      <c r="AR32" s="447"/>
      <c r="AS32" s="55">
        <f t="shared" si="4"/>
        <v>4.7068965517241376E-4</v>
      </c>
      <c r="AT32" s="55">
        <f t="shared" si="5"/>
        <v>4.7068965517241376E-4</v>
      </c>
      <c r="AU32" s="55">
        <f t="shared" si="6"/>
        <v>9.0517241379310361E-4</v>
      </c>
      <c r="AV32" s="55">
        <f t="shared" si="7"/>
        <v>1.013793103448276E-4</v>
      </c>
      <c r="AW32" s="47"/>
      <c r="AX32" s="47"/>
      <c r="AY32" s="47"/>
      <c r="AZ32" s="47"/>
      <c r="BA32" s="47"/>
      <c r="BB32" s="47"/>
    </row>
    <row r="33" spans="2:57" ht="19.5" customHeight="1" thickBot="1" x14ac:dyDescent="0.3">
      <c r="B33" s="525"/>
      <c r="C33" s="525"/>
      <c r="D33" s="525"/>
      <c r="E33" s="525"/>
      <c r="F33" s="525"/>
      <c r="G33" s="525"/>
      <c r="H33" s="525"/>
      <c r="I33" s="525"/>
      <c r="J33" s="74"/>
      <c r="M33" s="364"/>
      <c r="N33" s="453"/>
      <c r="O33" s="489" t="s">
        <v>282</v>
      </c>
      <c r="P33" s="489"/>
      <c r="Q33" s="489"/>
      <c r="R33" s="53"/>
      <c r="U33" s="75" t="s">
        <v>317</v>
      </c>
      <c r="V33" s="75">
        <v>40000</v>
      </c>
      <c r="W33" s="75" t="s">
        <v>70</v>
      </c>
      <c r="X33" s="75" t="str">
        <f t="shared" si="9"/>
        <v>10,1 - 20 - adequado</v>
      </c>
      <c r="Y33" s="75">
        <v>10000</v>
      </c>
      <c r="Z33" s="75">
        <v>50000</v>
      </c>
      <c r="AE33" s="75" t="s">
        <v>298</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19.5" customHeight="1" thickBot="1" x14ac:dyDescent="0.3">
      <c r="B34" s="485" t="s">
        <v>184</v>
      </c>
      <c r="C34" s="486"/>
      <c r="D34" s="486"/>
      <c r="E34" s="486"/>
      <c r="F34" s="486"/>
      <c r="G34" s="486"/>
      <c r="H34" s="486"/>
      <c r="I34" s="487"/>
      <c r="J34" s="81">
        <f>IF(O68="Sim",P21*7.5,0)</f>
        <v>356.25</v>
      </c>
      <c r="M34" s="364"/>
      <c r="N34" s="453"/>
      <c r="O34" s="448">
        <v>1</v>
      </c>
      <c r="P34" s="448"/>
      <c r="Q34" s="448"/>
      <c r="R34" s="53"/>
      <c r="U34" s="75" t="s">
        <v>298</v>
      </c>
      <c r="V34" s="75">
        <v>80000</v>
      </c>
      <c r="W34" s="75" t="s">
        <v>68</v>
      </c>
      <c r="X34" s="75" t="str">
        <f t="shared" si="9"/>
        <v>20,1 - 30 - baixo</v>
      </c>
      <c r="Y34" s="75">
        <v>90000</v>
      </c>
      <c r="Z34" s="75">
        <v>140000</v>
      </c>
      <c r="AE34" s="75" t="s">
        <v>318</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19.5" customHeight="1" thickBot="1" x14ac:dyDescent="0.3">
      <c r="B35" s="488" t="str">
        <f>IF($O$55&gt;0,$O$55,"-")</f>
        <v>Siligesso Agronelli</v>
      </c>
      <c r="C35" s="488"/>
      <c r="D35" s="73">
        <f>IF(J34&gt;0,J34,"-")</f>
        <v>356.25</v>
      </c>
      <c r="E35" s="365" t="str">
        <f>IF(J34&gt;0,"quilos por hectare ou,","-")</f>
        <v>quilos por hectare ou,</v>
      </c>
      <c r="F35" s="365"/>
      <c r="G35" s="365"/>
      <c r="H35" s="365"/>
      <c r="I35" s="365"/>
      <c r="J35" s="81">
        <f>J34/10</f>
        <v>35.625</v>
      </c>
      <c r="M35" s="69"/>
      <c r="N35" s="70"/>
      <c r="O35" s="70"/>
      <c r="P35" s="83">
        <f>10000/($O$30*$Q$30)</f>
        <v>333.33333333333331</v>
      </c>
      <c r="Q35" s="83" t="e">
        <f>10000/((($O$32/2)+($P$32/2))*$Q$32)</f>
        <v>#DIV/0!</v>
      </c>
      <c r="R35" s="71"/>
      <c r="U35" s="75" t="s">
        <v>298</v>
      </c>
      <c r="V35" s="75">
        <v>80000</v>
      </c>
      <c r="W35" s="75" t="s">
        <v>69</v>
      </c>
      <c r="X35" s="75" t="str">
        <f t="shared" si="9"/>
        <v>20,1 - 30 - medio</v>
      </c>
      <c r="Y35" s="75">
        <v>80000</v>
      </c>
      <c r="Z35" s="75">
        <v>120000</v>
      </c>
      <c r="AB35" s="457" t="s">
        <v>72</v>
      </c>
      <c r="AC35" s="457"/>
      <c r="AE35" s="75" t="s">
        <v>319</v>
      </c>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19.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t="s">
        <v>298</v>
      </c>
      <c r="V36" s="75">
        <v>80000</v>
      </c>
      <c r="W36" s="75" t="s">
        <v>70</v>
      </c>
      <c r="X36" s="75" t="str">
        <f t="shared" si="9"/>
        <v>20,1 - 30 - adequado</v>
      </c>
      <c r="Y36" s="75">
        <v>20000</v>
      </c>
      <c r="Z36" s="75">
        <v>80000</v>
      </c>
      <c r="AB36" s="457" t="str">
        <f>CONCATENATE($P$39," - ",$AD$8)</f>
        <v>&gt; 40,1 -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19.5" customHeight="1" x14ac:dyDescent="0.25">
      <c r="B37" s="523" t="s">
        <v>534</v>
      </c>
      <c r="C37" s="523"/>
      <c r="D37" s="523"/>
      <c r="E37" s="523"/>
      <c r="F37" s="523"/>
      <c r="G37" s="523"/>
      <c r="H37" s="523"/>
      <c r="I37" s="523"/>
      <c r="J37" s="81"/>
      <c r="M37" s="48"/>
      <c r="N37" s="49"/>
      <c r="O37" s="49"/>
      <c r="P37" s="49"/>
      <c r="Q37" s="49"/>
      <c r="R37" s="50"/>
      <c r="U37" s="75" t="s">
        <v>318</v>
      </c>
      <c r="V37" s="75">
        <v>110000</v>
      </c>
      <c r="W37" s="75" t="s">
        <v>68</v>
      </c>
      <c r="X37" s="75" t="str">
        <f t="shared" si="9"/>
        <v>30,1 - 40 - baixo</v>
      </c>
      <c r="Y37" s="75">
        <v>125000</v>
      </c>
      <c r="Z37" s="75">
        <v>200000</v>
      </c>
      <c r="AI37" s="76">
        <v>0.7</v>
      </c>
      <c r="AK37" s="51" t="s">
        <v>290</v>
      </c>
      <c r="AO37" s="85"/>
      <c r="AP37" s="85"/>
      <c r="AQ37" s="85"/>
      <c r="AR37" s="85"/>
      <c r="AS37" s="59">
        <f>IF(AS24&gt;0,AS24,0)</f>
        <v>2.9995293103448275</v>
      </c>
      <c r="AT37" s="59">
        <f>IF(AT24&gt;0,AT24,0)</f>
        <v>0</v>
      </c>
      <c r="AU37" s="59">
        <f>IF(AU24&gt;0,AU24,0)</f>
        <v>0</v>
      </c>
      <c r="AV37" s="59">
        <f>IF(AV24&gt;0,AV24,0)</f>
        <v>0</v>
      </c>
      <c r="AW37" s="47"/>
      <c r="AX37" s="47"/>
      <c r="AY37" s="47"/>
      <c r="AZ37" s="47"/>
      <c r="BA37" s="47"/>
      <c r="BB37" s="47"/>
    </row>
    <row r="38" spans="2:57" ht="19.5" customHeight="1" thickBot="1" x14ac:dyDescent="0.3">
      <c r="B38" s="523"/>
      <c r="C38" s="523"/>
      <c r="D38" s="523"/>
      <c r="E38" s="523"/>
      <c r="F38" s="523"/>
      <c r="G38" s="523"/>
      <c r="H38" s="523"/>
      <c r="I38" s="523"/>
      <c r="J38" s="81"/>
      <c r="M38" s="364" t="s">
        <v>212</v>
      </c>
      <c r="N38" s="365"/>
      <c r="O38" s="489" t="s">
        <v>301</v>
      </c>
      <c r="P38" s="489"/>
      <c r="Q38" s="489"/>
      <c r="R38" s="53"/>
      <c r="U38" s="75" t="s">
        <v>318</v>
      </c>
      <c r="V38" s="75">
        <v>110000</v>
      </c>
      <c r="W38" s="75" t="s">
        <v>69</v>
      </c>
      <c r="X38" s="75" t="str">
        <f t="shared" si="9"/>
        <v>30,1 - 40 - medio</v>
      </c>
      <c r="Y38" s="75">
        <v>100000</v>
      </c>
      <c r="Z38" s="75">
        <v>170000</v>
      </c>
      <c r="AB38" s="457" t="s">
        <v>73</v>
      </c>
      <c r="AC38" s="457"/>
      <c r="AI38" s="76">
        <v>0.8</v>
      </c>
      <c r="AK38" s="51"/>
      <c r="AO38" s="47"/>
      <c r="AP38" s="47"/>
      <c r="AQ38" s="47"/>
      <c r="AR38" s="47"/>
      <c r="AS38" s="47"/>
      <c r="AT38" s="47"/>
      <c r="AU38" s="47"/>
      <c r="AV38" s="47"/>
      <c r="AW38" s="47"/>
      <c r="AX38" s="47"/>
      <c r="AY38" s="47"/>
      <c r="AZ38" s="47"/>
      <c r="BA38" s="47"/>
      <c r="BB38" s="47"/>
    </row>
    <row r="39" spans="2:57" ht="19.5" customHeight="1" thickBot="1" x14ac:dyDescent="0.3">
      <c r="B39" s="355" t="s">
        <v>267</v>
      </c>
      <c r="C39" s="356"/>
      <c r="D39" s="356"/>
      <c r="E39" s="356"/>
      <c r="F39" s="356"/>
      <c r="G39" s="356"/>
      <c r="H39" s="356"/>
      <c r="I39" s="357"/>
      <c r="J39" s="81">
        <f>AV6</f>
        <v>257.14285714285717</v>
      </c>
      <c r="M39" s="364"/>
      <c r="N39" s="365"/>
      <c r="O39" s="51" t="s">
        <v>303</v>
      </c>
      <c r="P39" s="448" t="s">
        <v>319</v>
      </c>
      <c r="Q39" s="448"/>
      <c r="R39" s="53"/>
      <c r="U39" s="75" t="s">
        <v>318</v>
      </c>
      <c r="V39" s="75">
        <v>110000</v>
      </c>
      <c r="W39" s="75" t="s">
        <v>70</v>
      </c>
      <c r="X39" s="75" t="str">
        <f t="shared" si="9"/>
        <v>30,1 - 40 - adequado</v>
      </c>
      <c r="Y39" s="75">
        <v>25000</v>
      </c>
      <c r="Z39" s="75">
        <v>110000</v>
      </c>
      <c r="AB39" s="457" t="str">
        <f>CONCATENATE($P$39," - ",$AD$22)</f>
        <v>&gt; 40,1 -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19.5" customHeight="1" x14ac:dyDescent="0.25">
      <c r="B40" s="449" t="str">
        <f>IF(O42&gt;0,O42,"-")</f>
        <v>Esterco de galinha</v>
      </c>
      <c r="C40" s="449"/>
      <c r="D40" s="86">
        <f>IF(AQ58&gt;0,AQ58,"-")</f>
        <v>6</v>
      </c>
      <c r="E40" s="362" t="str">
        <f>IF(AQ58&gt;0,"quilos por cova ou planta","-")</f>
        <v>quilos por cova ou planta</v>
      </c>
      <c r="F40" s="362"/>
      <c r="G40" s="362"/>
      <c r="H40" s="362"/>
      <c r="I40" s="362"/>
      <c r="J40" s="81">
        <f>AV7</f>
        <v>250</v>
      </c>
      <c r="M40" s="364"/>
      <c r="N40" s="365"/>
      <c r="O40" s="25"/>
      <c r="P40" s="25"/>
      <c r="Q40" s="25"/>
      <c r="R40" s="53"/>
      <c r="U40" s="75" t="s">
        <v>319</v>
      </c>
      <c r="V40" s="75">
        <v>140000</v>
      </c>
      <c r="W40" s="75" t="s">
        <v>68</v>
      </c>
      <c r="X40" s="75" t="str">
        <f t="shared" si="9"/>
        <v>&gt; 40,1 - baixo</v>
      </c>
      <c r="Y40" s="75">
        <v>160000</v>
      </c>
      <c r="Z40" s="75">
        <v>260000</v>
      </c>
      <c r="AI40" s="76">
        <v>1</v>
      </c>
      <c r="AO40" s="47"/>
      <c r="AP40" s="447" t="str">
        <f>O105</f>
        <v>Ácido Bórico</v>
      </c>
      <c r="AQ40" s="447"/>
      <c r="AR40" s="55">
        <f>IFERROR($AS$37/((VLOOKUP(AP40,$V$100:$AO$179,11,0)*0.01)),0)</f>
        <v>17.140167487684728</v>
      </c>
      <c r="AS40" s="55">
        <f>IFERROR($AT$37/((VLOOKUP(AP40,$V$100:$AO$179,14,0)*0.01)),0)</f>
        <v>0</v>
      </c>
      <c r="AT40" s="55">
        <f>IFERROR($AU$37/((VLOOKUP(AP40,$V$100:$AO$179,12,0)*0.01)),0)</f>
        <v>0</v>
      </c>
      <c r="AU40" s="55">
        <f>IFERROR($AV$37/((VLOOKUP(AP40,$V$100:$AO$179,13,0)*0.01)),0)</f>
        <v>0</v>
      </c>
      <c r="AV40" s="55">
        <f>MAX(AR40:AU40)</f>
        <v>17.140167487684728</v>
      </c>
      <c r="AW40" s="55">
        <f>IFERROR(AV40*(VLOOKUP(AP40,$V$100:$AO$179,11,0)*0.01),0)</f>
        <v>2.9995293103448275</v>
      </c>
      <c r="AX40" s="55">
        <f>IFERROR(AV40*(VLOOKUP(AP40,$V$100:$AO$179,14,0)*0.01),0)</f>
        <v>0</v>
      </c>
      <c r="AY40" s="55">
        <f>IFERROR(AV40*(VLOOKUP(AP40,$V$100:$AO$179,12,0)*0.01),0)</f>
        <v>0</v>
      </c>
      <c r="AZ40" s="55">
        <f>IFERROR(AV40*(VLOOKUP(AP40,$V$100:$AO$179,13,0)*0.01),0)</f>
        <v>0</v>
      </c>
      <c r="BA40" s="47"/>
      <c r="BB40" s="47"/>
    </row>
    <row r="41" spans="2:57" ht="19.5" customHeight="1" x14ac:dyDescent="0.25">
      <c r="B41" s="449" t="str">
        <f>IF(AQ6&gt;0,AQ6,"-")</f>
        <v>Termofosfato YOORIN</v>
      </c>
      <c r="C41" s="449"/>
      <c r="D41" s="87">
        <f>IF(J39&gt;0,J39,"-")</f>
        <v>257.14285714285717</v>
      </c>
      <c r="E41" s="365" t="str">
        <f>IF(J39&gt;0,"gramas por cova ou planta","-")</f>
        <v>gramas por cova ou planta</v>
      </c>
      <c r="F41" s="365"/>
      <c r="G41" s="365"/>
      <c r="H41" s="365"/>
      <c r="I41" s="365"/>
      <c r="J41" s="81">
        <f>AV8</f>
        <v>0</v>
      </c>
      <c r="M41" s="364"/>
      <c r="N41" s="365"/>
      <c r="O41" s="489" t="s">
        <v>308</v>
      </c>
      <c r="P41" s="489"/>
      <c r="Q41" s="489"/>
      <c r="R41" s="53"/>
      <c r="U41" s="75" t="s">
        <v>319</v>
      </c>
      <c r="V41" s="75">
        <v>140000</v>
      </c>
      <c r="W41" s="75" t="s">
        <v>69</v>
      </c>
      <c r="X41" s="75" t="str">
        <f t="shared" si="9"/>
        <v>&gt; 40,1 - medio</v>
      </c>
      <c r="Y41" s="75">
        <v>130000</v>
      </c>
      <c r="Z41" s="75">
        <v>210000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0">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19.5" customHeight="1" x14ac:dyDescent="0.25">
      <c r="B42" s="449" t="str">
        <f>IF(AQ7&gt;0,AQ7,"-")</f>
        <v>Superfosfato simples</v>
      </c>
      <c r="C42" s="449"/>
      <c r="D42" s="87">
        <f t="shared" ref="D42:D49" si="11">IF(J40&gt;0,J40,"-")</f>
        <v>250</v>
      </c>
      <c r="E42" s="365" t="str">
        <f t="shared" ref="E42:E49" si="12">IF(J40&gt;0,"gramas por planta","-")</f>
        <v>gramas por planta</v>
      </c>
      <c r="F42" s="365"/>
      <c r="G42" s="365"/>
      <c r="H42" s="365"/>
      <c r="I42" s="365"/>
      <c r="J42" s="81">
        <f>AV12</f>
        <v>350</v>
      </c>
      <c r="M42" s="364"/>
      <c r="N42" s="365"/>
      <c r="O42" s="483" t="s">
        <v>158</v>
      </c>
      <c r="P42" s="513"/>
      <c r="Q42" s="484"/>
      <c r="R42" s="53"/>
      <c r="U42" s="75" t="s">
        <v>319</v>
      </c>
      <c r="V42" s="75">
        <v>140000</v>
      </c>
      <c r="W42" s="75" t="s">
        <v>70</v>
      </c>
      <c r="X42" s="75" t="str">
        <f t="shared" si="9"/>
        <v>&gt; 40,1 - adequado</v>
      </c>
      <c r="Y42" s="75">
        <v>30000</v>
      </c>
      <c r="Z42" s="75">
        <v>140000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0"/>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19.5" customHeight="1" thickBot="1" x14ac:dyDescent="0.3">
      <c r="B43" s="449" t="str">
        <f>IF(AQ8&gt;0,AQ8,"-")</f>
        <v>-</v>
      </c>
      <c r="C43" s="449"/>
      <c r="D43" s="87" t="str">
        <f t="shared" si="11"/>
        <v>-</v>
      </c>
      <c r="E43" s="365" t="str">
        <f t="shared" si="12"/>
        <v>-</v>
      </c>
      <c r="F43" s="365"/>
      <c r="G43" s="365"/>
      <c r="H43" s="365"/>
      <c r="I43" s="365"/>
      <c r="J43" s="81">
        <f>AV13</f>
        <v>2625</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0"/>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19.5" customHeight="1" thickBot="1" x14ac:dyDescent="0.3">
      <c r="B44" s="449" t="str">
        <f>IF(AQ12&gt;0,AQ12,"-")</f>
        <v>Cloreto de potássio</v>
      </c>
      <c r="C44" s="449"/>
      <c r="D44" s="87">
        <f t="shared" si="11"/>
        <v>350</v>
      </c>
      <c r="E44" s="365" t="str">
        <f t="shared" si="12"/>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19.5" customHeight="1" x14ac:dyDescent="0.25">
      <c r="B45" s="449" t="str">
        <f>IF(AQ13&gt;0,AQ13,"-")</f>
        <v>EkoSil</v>
      </c>
      <c r="C45" s="449"/>
      <c r="D45" s="87">
        <f t="shared" si="11"/>
        <v>2625</v>
      </c>
      <c r="E45" s="365" t="str">
        <f t="shared" si="12"/>
        <v>gramas por planta</v>
      </c>
      <c r="F45" s="365"/>
      <c r="G45" s="365"/>
      <c r="H45" s="365"/>
      <c r="I45" s="365"/>
      <c r="J45" s="81">
        <f>AV18</f>
        <v>724.13793103448279</v>
      </c>
      <c r="M45" s="48"/>
      <c r="N45" s="49"/>
      <c r="O45" s="500" t="s">
        <v>305</v>
      </c>
      <c r="P45" s="500"/>
      <c r="Q45" s="500"/>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19.5" customHeight="1" x14ac:dyDescent="0.25">
      <c r="B46" s="449" t="str">
        <f>IF(AQ14&gt;0,AQ14,"-")</f>
        <v>-</v>
      </c>
      <c r="C46" s="449"/>
      <c r="D46" s="87" t="str">
        <f t="shared" si="11"/>
        <v>-</v>
      </c>
      <c r="E46" s="365" t="str">
        <f t="shared" si="12"/>
        <v>-</v>
      </c>
      <c r="F46" s="365"/>
      <c r="G46" s="365"/>
      <c r="H46" s="365"/>
      <c r="I46" s="365"/>
      <c r="J46" s="81">
        <f>AV19</f>
        <v>0</v>
      </c>
      <c r="M46" s="364" t="s">
        <v>213</v>
      </c>
      <c r="N46" s="365"/>
      <c r="O46" s="503"/>
      <c r="P46" s="503"/>
      <c r="Q46" s="503"/>
      <c r="R46" s="53"/>
      <c r="U46" s="75" t="s">
        <v>109</v>
      </c>
      <c r="V46" s="89">
        <v>70</v>
      </c>
      <c r="X46" s="455" t="s">
        <v>268</v>
      </c>
      <c r="Y46" s="455"/>
      <c r="Z46" s="63">
        <f>IFERROR(VLOOKUP(O50,$V$87:$AE$95,10,0),0)</f>
        <v>6.7891575865994476</v>
      </c>
      <c r="AO46" s="47"/>
      <c r="AP46" s="47"/>
      <c r="AQ46" s="47"/>
      <c r="AR46" s="47"/>
      <c r="AS46" s="47"/>
      <c r="AT46" s="47"/>
      <c r="AU46" s="47"/>
      <c r="AV46" s="47"/>
      <c r="AW46" s="47"/>
      <c r="AX46" s="47"/>
      <c r="AY46" s="47"/>
      <c r="AZ46" s="47"/>
      <c r="BA46" s="47"/>
      <c r="BB46" s="47"/>
    </row>
    <row r="47" spans="2:57" ht="19.5" customHeight="1" x14ac:dyDescent="0.25">
      <c r="B47" s="449" t="str">
        <f>IF(AQ18&gt;0,AQ18,"-")</f>
        <v>Nitrato de Amônio</v>
      </c>
      <c r="C47" s="449"/>
      <c r="D47" s="87">
        <f t="shared" si="11"/>
        <v>724.13793103448279</v>
      </c>
      <c r="E47" s="365" t="str">
        <f t="shared" si="12"/>
        <v>gramas por planta</v>
      </c>
      <c r="F47" s="365"/>
      <c r="G47" s="365"/>
      <c r="H47" s="365"/>
      <c r="I47" s="365"/>
      <c r="J47" s="81">
        <f>AV20</f>
        <v>0</v>
      </c>
      <c r="M47" s="364"/>
      <c r="N47" s="365"/>
      <c r="O47" s="483" t="s">
        <v>139</v>
      </c>
      <c r="P47" s="484"/>
      <c r="Q47" s="92">
        <v>0.5</v>
      </c>
      <c r="R47" s="53"/>
      <c r="U47" s="51" t="s">
        <v>111</v>
      </c>
      <c r="V47" s="63">
        <f>IFERROR((((V46-P24)*P25)/V49),0)</f>
        <v>0.88235294117647101</v>
      </c>
      <c r="X47" s="455" t="s">
        <v>203</v>
      </c>
      <c r="Y47" s="455"/>
      <c r="Z47" s="63">
        <f>IFERROR((($V$50/$Z$46)*$V$47),0)</f>
        <v>5.7184604888823403</v>
      </c>
      <c r="AO47" s="47"/>
      <c r="BA47" s="47"/>
      <c r="BB47" s="47"/>
    </row>
    <row r="48" spans="2:57" ht="19.5" customHeight="1" x14ac:dyDescent="0.25">
      <c r="B48" s="449" t="str">
        <f>IF(AQ19&gt;0,AQ19,"-")</f>
        <v>-</v>
      </c>
      <c r="C48" s="449"/>
      <c r="D48" s="87" t="str">
        <f t="shared" si="11"/>
        <v>-</v>
      </c>
      <c r="E48" s="365" t="str">
        <f t="shared" si="12"/>
        <v>-</v>
      </c>
      <c r="F48" s="365"/>
      <c r="G48" s="365"/>
      <c r="H48" s="365"/>
      <c r="I48" s="365"/>
      <c r="J48" s="91"/>
      <c r="M48" s="364"/>
      <c r="N48" s="365"/>
      <c r="O48" s="506" t="s">
        <v>306</v>
      </c>
      <c r="P48" s="506"/>
      <c r="Q48" s="506"/>
      <c r="R48" s="53"/>
      <c r="U48" s="51" t="s">
        <v>201</v>
      </c>
      <c r="V48" s="63">
        <f>IF(V47&lt;0,(0),IF(V47&gt;=0,(V47)))</f>
        <v>0.88235294117647101</v>
      </c>
      <c r="X48" s="455" t="s">
        <v>201</v>
      </c>
      <c r="Y48" s="455"/>
      <c r="Z48" s="63">
        <f>IFERROR(IF(Z47&lt;0,(0),IF(Z47&gt;=0,(Z47))),0)</f>
        <v>5.7184604888823403</v>
      </c>
    </row>
    <row r="49" spans="2:50" ht="19.5" customHeight="1" x14ac:dyDescent="0.25">
      <c r="B49" s="449" t="str">
        <f>IF(AQ20&gt;0,AQ20,"-")</f>
        <v>-</v>
      </c>
      <c r="C49" s="449"/>
      <c r="D49" s="87" t="str">
        <f t="shared" si="11"/>
        <v>-</v>
      </c>
      <c r="E49" s="365" t="str">
        <f t="shared" si="12"/>
        <v>-</v>
      </c>
      <c r="F49" s="365"/>
      <c r="G49" s="365"/>
      <c r="H49" s="365"/>
      <c r="I49" s="365"/>
      <c r="M49" s="364"/>
      <c r="N49" s="365"/>
      <c r="O49" s="503"/>
      <c r="P49" s="503"/>
      <c r="Q49" s="503"/>
      <c r="R49" s="53"/>
      <c r="U49" s="51" t="s">
        <v>110</v>
      </c>
      <c r="V49" s="63">
        <f>IFERROR(VLOOKUP($O$47,$V$56:$AA$68,5,0),0)</f>
        <v>80.239999999999995</v>
      </c>
      <c r="X49" s="455" t="s">
        <v>273</v>
      </c>
      <c r="Y49" s="455"/>
      <c r="Z49" s="63">
        <f>Z48*$Q$50</f>
        <v>2.8592302444411701</v>
      </c>
    </row>
    <row r="50" spans="2:50" ht="19.5" customHeight="1" x14ac:dyDescent="0.25">
      <c r="B50" s="476" t="s">
        <v>535</v>
      </c>
      <c r="C50" s="476"/>
      <c r="D50" s="476"/>
      <c r="E50" s="476"/>
      <c r="F50" s="476"/>
      <c r="G50" s="476"/>
      <c r="H50" s="476"/>
      <c r="I50" s="476"/>
      <c r="M50" s="364"/>
      <c r="N50" s="365"/>
      <c r="O50" s="483" t="s">
        <v>156</v>
      </c>
      <c r="P50" s="484"/>
      <c r="Q50" s="92">
        <v>0.5</v>
      </c>
      <c r="R50" s="53"/>
      <c r="U50" s="51" t="s">
        <v>193</v>
      </c>
      <c r="V50" s="63">
        <f>IFERROR(VLOOKUP($O$47,$V$56:$AA$68,6,0),0)</f>
        <v>44</v>
      </c>
      <c r="AT50" s="457" t="s">
        <v>280</v>
      </c>
      <c r="AU50" s="457"/>
      <c r="AV50" s="457"/>
    </row>
    <row r="51" spans="2:50" ht="19.5" customHeight="1" thickBot="1" x14ac:dyDescent="0.3">
      <c r="B51" s="476"/>
      <c r="C51" s="476"/>
      <c r="D51" s="476"/>
      <c r="E51" s="476"/>
      <c r="F51" s="476"/>
      <c r="G51" s="476"/>
      <c r="H51" s="476"/>
      <c r="I51" s="476"/>
      <c r="M51" s="69"/>
      <c r="N51" s="70"/>
      <c r="O51" s="70"/>
      <c r="P51" s="70"/>
      <c r="Q51" s="70"/>
      <c r="R51" s="71"/>
      <c r="U51" s="51" t="s">
        <v>273</v>
      </c>
      <c r="V51" s="63">
        <f>V48*$Q$47</f>
        <v>0.4411764705882355</v>
      </c>
      <c r="AT51" s="110" t="s">
        <v>291</v>
      </c>
      <c r="AU51" s="111" t="s">
        <v>286</v>
      </c>
      <c r="AV51" s="110">
        <v>15</v>
      </c>
    </row>
    <row r="52" spans="2:50" ht="19.5" customHeight="1" thickBot="1" x14ac:dyDescent="0.3">
      <c r="B52" s="476"/>
      <c r="C52" s="476"/>
      <c r="D52" s="476"/>
      <c r="E52" s="476"/>
      <c r="F52" s="476"/>
      <c r="G52" s="476"/>
      <c r="H52" s="476"/>
      <c r="I52" s="476"/>
      <c r="AT52" s="110" t="s">
        <v>291</v>
      </c>
      <c r="AU52" s="111" t="s">
        <v>293</v>
      </c>
      <c r="AV52" s="110">
        <v>4</v>
      </c>
    </row>
    <row r="53" spans="2:50" ht="19.5" customHeight="1" thickBot="1" x14ac:dyDescent="0.3">
      <c r="B53" s="477"/>
      <c r="C53" s="477"/>
      <c r="D53" s="477"/>
      <c r="E53" s="477"/>
      <c r="F53" s="477"/>
      <c r="G53" s="477"/>
      <c r="H53" s="477"/>
      <c r="I53" s="477"/>
      <c r="M53" s="48"/>
      <c r="N53" s="49"/>
      <c r="O53" s="49"/>
      <c r="P53" s="49"/>
      <c r="Q53" s="49"/>
      <c r="R53" s="50"/>
      <c r="AP53" s="108"/>
      <c r="AQ53" s="108"/>
      <c r="AS53" s="108"/>
      <c r="AT53" s="110" t="s">
        <v>291</v>
      </c>
      <c r="AU53" s="111" t="s">
        <v>158</v>
      </c>
      <c r="AV53" s="110">
        <v>6</v>
      </c>
    </row>
    <row r="54" spans="2:50" ht="19.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110" t="s">
        <v>291</v>
      </c>
      <c r="AU54" s="111" t="s">
        <v>292</v>
      </c>
      <c r="AV54" s="110">
        <v>12</v>
      </c>
    </row>
    <row r="55" spans="2:50" ht="19.5" customHeight="1" x14ac:dyDescent="0.25">
      <c r="B55" s="449" t="str">
        <f>IF(AP40&gt;0,AP40,"-")</f>
        <v>Ácido Bórico</v>
      </c>
      <c r="C55" s="449"/>
      <c r="D55" s="87">
        <f>IF(AV40&gt;0,AV40,"-")</f>
        <v>17.140167487684728</v>
      </c>
      <c r="E55" s="365" t="str">
        <f>IF(AV40&gt;0,"gramas por planta","-")</f>
        <v>gramas por planta</v>
      </c>
      <c r="F55" s="365"/>
      <c r="G55" s="365"/>
      <c r="H55" s="365"/>
      <c r="I55" s="365"/>
      <c r="M55" s="364"/>
      <c r="N55" s="365"/>
      <c r="O55" s="448" t="s">
        <v>153</v>
      </c>
      <c r="P55" s="448"/>
      <c r="Q55" s="448"/>
      <c r="R55" s="53"/>
      <c r="U55" s="344"/>
      <c r="V55" s="344"/>
      <c r="W55" s="344"/>
      <c r="X55" s="95" t="s">
        <v>105</v>
      </c>
      <c r="Y55" s="95" t="s">
        <v>106</v>
      </c>
      <c r="Z55" s="95" t="s">
        <v>107</v>
      </c>
      <c r="AA55" s="95" t="s">
        <v>195</v>
      </c>
      <c r="AP55" s="465"/>
      <c r="AQ55" s="465"/>
      <c r="AS55" s="465"/>
      <c r="AT55" s="110" t="s">
        <v>291</v>
      </c>
      <c r="AU55" s="111" t="s">
        <v>285</v>
      </c>
      <c r="AV55" s="110">
        <v>14</v>
      </c>
    </row>
    <row r="56" spans="2:50" ht="19.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110" t="s">
        <v>291</v>
      </c>
      <c r="AU56" s="111" t="s">
        <v>287</v>
      </c>
      <c r="AV56" s="110">
        <v>10</v>
      </c>
    </row>
    <row r="57" spans="2:50" ht="19.5" customHeight="1" x14ac:dyDescent="0.25">
      <c r="B57" s="449" t="str">
        <f>IF(AP42&gt;0,AP42,"-")</f>
        <v>Sulfato de zinco</v>
      </c>
      <c r="C57" s="449"/>
      <c r="D57" s="87" t="str">
        <f>IF(AV42&gt;0,AV42,"-")</f>
        <v>-</v>
      </c>
      <c r="E57" s="365" t="str">
        <f t="shared" ref="E57:E59" si="13">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302</v>
      </c>
      <c r="AR57" s="463"/>
      <c r="AS57" s="25"/>
      <c r="AT57" s="110" t="s">
        <v>291</v>
      </c>
      <c r="AU57" s="111" t="s">
        <v>288</v>
      </c>
      <c r="AV57" s="110">
        <v>14</v>
      </c>
    </row>
    <row r="58" spans="2:50" ht="19.5" customHeight="1" x14ac:dyDescent="0.25">
      <c r="B58" s="449" t="str">
        <f>IF(AP43&gt;0,AP43,"-")</f>
        <v>Sulfato de manganês</v>
      </c>
      <c r="C58" s="449"/>
      <c r="D58" s="87" t="str">
        <f>IF(AV43&gt;0,AV43,"-")</f>
        <v>-</v>
      </c>
      <c r="E58" s="365" t="str">
        <f t="shared" si="13"/>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f>IFERROR(VLOOKUP($O$42,AU51:AV59,2,0),0)</f>
        <v>6</v>
      </c>
      <c r="AR58" s="463"/>
      <c r="AS58" s="25"/>
      <c r="AT58" s="110" t="s">
        <v>291</v>
      </c>
      <c r="AU58" s="111" t="s">
        <v>289</v>
      </c>
      <c r="AV58" s="110">
        <v>15</v>
      </c>
    </row>
    <row r="59" spans="2:50" ht="19.5" customHeight="1" x14ac:dyDescent="0.25">
      <c r="B59" s="449" t="str">
        <f>IF(AP44&gt;0,AP44,"-")</f>
        <v>-</v>
      </c>
      <c r="C59" s="449"/>
      <c r="D59" s="87" t="str">
        <f>IF(AV44&gt;0,AV44,"-")</f>
        <v>-</v>
      </c>
      <c r="E59" s="365" t="str">
        <f t="shared" si="13"/>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S59" s="25"/>
      <c r="AT59" s="110" t="s">
        <v>291</v>
      </c>
      <c r="AU59" s="111" t="s">
        <v>290</v>
      </c>
      <c r="AV59" s="110">
        <v>6</v>
      </c>
    </row>
    <row r="60" spans="2:50" ht="19.5" customHeight="1" x14ac:dyDescent="0.25">
      <c r="B60" s="521" t="s">
        <v>536</v>
      </c>
      <c r="C60" s="521"/>
      <c r="D60" s="521"/>
      <c r="E60" s="521"/>
      <c r="F60" s="521"/>
      <c r="G60" s="521"/>
      <c r="H60" s="521"/>
      <c r="I60" s="521"/>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25"/>
      <c r="AU60" s="25"/>
      <c r="AV60" s="25"/>
      <c r="AW60" s="25"/>
      <c r="AX60" s="25"/>
    </row>
    <row r="61" spans="2:50" ht="19.5" customHeight="1" x14ac:dyDescent="0.25">
      <c r="B61" s="521"/>
      <c r="C61" s="521"/>
      <c r="D61" s="521"/>
      <c r="E61" s="521"/>
      <c r="F61" s="521"/>
      <c r="G61" s="521"/>
      <c r="H61" s="521"/>
      <c r="I61" s="521"/>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25"/>
      <c r="AU61" s="25"/>
      <c r="AV61" s="25"/>
      <c r="AW61" s="25"/>
      <c r="AX61" s="25"/>
    </row>
    <row r="62" spans="2:50" ht="19.5" customHeight="1" x14ac:dyDescent="0.25">
      <c r="B62" s="521"/>
      <c r="C62" s="521"/>
      <c r="D62" s="521"/>
      <c r="E62" s="521"/>
      <c r="F62" s="521"/>
      <c r="G62" s="521"/>
      <c r="H62" s="521"/>
      <c r="I62" s="521"/>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S62" s="25"/>
      <c r="AT62" s="25"/>
      <c r="AU62" s="25"/>
      <c r="AV62" s="25"/>
      <c r="AW62" s="25"/>
      <c r="AX62" s="25"/>
    </row>
    <row r="63" spans="2:50" ht="19.5" customHeight="1" thickBot="1" x14ac:dyDescent="0.3">
      <c r="B63" s="522"/>
      <c r="C63" s="522"/>
      <c r="D63" s="522"/>
      <c r="E63" s="522"/>
      <c r="F63" s="522"/>
      <c r="G63" s="522"/>
      <c r="H63" s="522"/>
      <c r="I63" s="522"/>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S63" s="25"/>
      <c r="AT63" s="25"/>
      <c r="AU63" s="25"/>
      <c r="AV63" s="25"/>
      <c r="AW63" s="25"/>
      <c r="AX63" s="25"/>
    </row>
    <row r="64" spans="2:50" ht="19.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S64" s="25"/>
      <c r="AT64" s="25"/>
      <c r="AU64" s="25"/>
      <c r="AV64" s="25"/>
      <c r="AW64" s="25"/>
      <c r="AX64" s="25"/>
    </row>
    <row r="65" spans="2:50" ht="19.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S65" s="25"/>
      <c r="AT65" s="25"/>
      <c r="AU65" s="25"/>
      <c r="AV65" s="25"/>
      <c r="AW65" s="25"/>
      <c r="AX65" s="25"/>
    </row>
    <row r="66" spans="2:50" ht="19.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S66" s="25"/>
      <c r="AT66" s="25"/>
      <c r="AU66" s="25"/>
      <c r="AV66" s="25"/>
      <c r="AW66" s="25"/>
      <c r="AX66" s="25"/>
    </row>
    <row r="67" spans="2:50" ht="19.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S67" s="25"/>
      <c r="AT67" s="25"/>
      <c r="AU67" s="25"/>
      <c r="AV67" s="25"/>
      <c r="AW67" s="25"/>
      <c r="AX67" s="25"/>
    </row>
    <row r="68" spans="2:50" ht="19.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S68" s="25"/>
      <c r="AT68" s="25"/>
      <c r="AU68" s="25"/>
      <c r="AV68" s="25"/>
      <c r="AW68" s="25"/>
      <c r="AX68" s="25"/>
    </row>
    <row r="69" spans="2:50" ht="19.5" customHeight="1" thickBot="1" x14ac:dyDescent="0.3">
      <c r="M69" s="69"/>
      <c r="N69" s="70"/>
      <c r="O69" s="70"/>
      <c r="P69" s="70"/>
      <c r="Q69" s="70"/>
      <c r="R69" s="71"/>
      <c r="AS69" s="25"/>
      <c r="AT69" s="25"/>
      <c r="AU69" s="25"/>
      <c r="AV69" s="25"/>
      <c r="AW69" s="25"/>
      <c r="AX69" s="25"/>
    </row>
    <row r="70" spans="2:50" ht="19.5" customHeight="1" thickBot="1" x14ac:dyDescent="0.3">
      <c r="AS70" s="25"/>
      <c r="AT70" s="25"/>
      <c r="AU70" s="25"/>
      <c r="AV70" s="25"/>
      <c r="AW70" s="25"/>
      <c r="AX70" s="25"/>
    </row>
    <row r="71" spans="2:50" ht="19.5" customHeight="1" x14ac:dyDescent="0.25">
      <c r="M71" s="48"/>
      <c r="N71" s="49"/>
      <c r="O71" s="49"/>
      <c r="P71" s="49"/>
      <c r="Q71" s="49"/>
      <c r="R71" s="50"/>
      <c r="U71" s="347" t="s">
        <v>136</v>
      </c>
      <c r="V71" s="347" t="s">
        <v>76</v>
      </c>
      <c r="W71" s="347" t="s">
        <v>77</v>
      </c>
      <c r="X71" s="347" t="s">
        <v>284</v>
      </c>
      <c r="Y71" s="347"/>
      <c r="Z71" s="347"/>
      <c r="AS71" s="25"/>
      <c r="AT71" s="25"/>
      <c r="AU71" s="25"/>
      <c r="AV71" s="25"/>
      <c r="AW71" s="25"/>
      <c r="AX71" s="25"/>
    </row>
    <row r="72" spans="2:50" ht="19.5" customHeight="1" x14ac:dyDescent="0.25">
      <c r="M72" s="364" t="s">
        <v>215</v>
      </c>
      <c r="N72" s="365"/>
      <c r="O72" s="450" t="s">
        <v>252</v>
      </c>
      <c r="P72" s="451"/>
      <c r="Q72" s="452"/>
      <c r="R72" s="53"/>
      <c r="U72" s="347"/>
      <c r="V72" s="347"/>
      <c r="W72" s="347"/>
      <c r="X72" s="13" t="s">
        <v>81</v>
      </c>
      <c r="Y72" s="13" t="s">
        <v>82</v>
      </c>
      <c r="Z72" s="13" t="s">
        <v>83</v>
      </c>
      <c r="AS72" s="25"/>
      <c r="AT72" s="25"/>
      <c r="AU72" s="25"/>
      <c r="AV72" s="25"/>
      <c r="AW72" s="25"/>
      <c r="AX72" s="25"/>
    </row>
    <row r="73" spans="2:50" ht="19.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S73" s="25"/>
      <c r="AT73" s="25"/>
      <c r="AU73" s="25"/>
      <c r="AV73" s="25"/>
      <c r="AW73" s="25"/>
      <c r="AX73" s="25"/>
    </row>
    <row r="74" spans="2:50" ht="19.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S74" s="25"/>
      <c r="AT74" s="25"/>
      <c r="AU74" s="25"/>
      <c r="AV74" s="25"/>
      <c r="AW74" s="25"/>
      <c r="AX74" s="25"/>
    </row>
    <row r="75" spans="2:50" ht="19.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S75" s="25"/>
      <c r="AT75" s="25"/>
      <c r="AU75" s="25"/>
      <c r="AV75" s="25"/>
      <c r="AW75" s="25"/>
      <c r="AX75" s="25"/>
    </row>
    <row r="76" spans="2:50" ht="19.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S76" s="25"/>
      <c r="AT76" s="25"/>
      <c r="AU76" s="25"/>
      <c r="AV76" s="25"/>
      <c r="AW76" s="25"/>
      <c r="AX76" s="25"/>
    </row>
    <row r="77" spans="2:50" ht="19.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S77" s="25"/>
      <c r="AT77" s="25"/>
      <c r="AU77" s="25"/>
      <c r="AV77" s="25"/>
      <c r="AW77" s="25"/>
      <c r="AX77" s="25"/>
    </row>
    <row r="78" spans="2:50" ht="19.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S78" s="25"/>
      <c r="AT78" s="25"/>
      <c r="AU78" s="25"/>
      <c r="AV78" s="25"/>
      <c r="AW78" s="25"/>
      <c r="AX78" s="25"/>
    </row>
    <row r="79" spans="2:50" ht="19.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S79" s="25"/>
      <c r="AT79" s="25"/>
      <c r="AU79" s="25"/>
      <c r="AV79" s="25"/>
      <c r="AW79" s="25"/>
      <c r="AX79" s="25"/>
    </row>
    <row r="80" spans="2:50" ht="19.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S80" s="25"/>
      <c r="AT80" s="25"/>
      <c r="AU80" s="25"/>
      <c r="AV80" s="25"/>
      <c r="AW80" s="25"/>
      <c r="AX80" s="25"/>
    </row>
    <row r="81" spans="13:50" ht="19.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S81" s="25"/>
      <c r="AT81" s="25"/>
      <c r="AU81" s="25"/>
      <c r="AV81" s="25"/>
      <c r="AW81" s="25"/>
      <c r="AX81" s="25"/>
    </row>
    <row r="82" spans="13:50" ht="19.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S82" s="25"/>
      <c r="AT82" s="25"/>
      <c r="AU82" s="25"/>
      <c r="AV82" s="25"/>
      <c r="AW82" s="25"/>
      <c r="AX82" s="25"/>
    </row>
    <row r="83" spans="13:50" ht="19.5" customHeight="1" x14ac:dyDescent="0.25">
      <c r="M83" s="364"/>
      <c r="N83" s="365"/>
      <c r="O83" s="448" t="s">
        <v>116</v>
      </c>
      <c r="P83" s="448"/>
      <c r="Q83" s="92">
        <v>0.5</v>
      </c>
      <c r="R83" s="53"/>
      <c r="AS83" s="25"/>
      <c r="AT83" s="25"/>
      <c r="AU83" s="25"/>
      <c r="AV83" s="25"/>
      <c r="AW83" s="25"/>
      <c r="AX83" s="25"/>
    </row>
    <row r="84" spans="13:50" ht="19.5" customHeight="1" x14ac:dyDescent="0.25">
      <c r="M84" s="364"/>
      <c r="N84" s="365"/>
      <c r="O84" s="448"/>
      <c r="P84" s="448"/>
      <c r="Q84" s="92"/>
      <c r="R84" s="53"/>
      <c r="AS84" s="25"/>
      <c r="AT84" s="25"/>
      <c r="AU84" s="25"/>
      <c r="AV84" s="25"/>
      <c r="AW84" s="25"/>
      <c r="AX84" s="25"/>
    </row>
    <row r="85" spans="13:50" ht="19.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S85" s="25"/>
      <c r="AT85" s="25"/>
      <c r="AU85" s="25"/>
      <c r="AV85" s="25"/>
      <c r="AW85" s="25"/>
      <c r="AX85" s="25"/>
    </row>
    <row r="86" spans="13:50" ht="19.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S86" s="25"/>
      <c r="AT86" s="25"/>
      <c r="AU86" s="25"/>
      <c r="AV86" s="25"/>
      <c r="AW86" s="25"/>
      <c r="AX86" s="25"/>
    </row>
    <row r="87" spans="13:50" ht="19.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4">Y160</f>
        <v>8.7999999999999995E-2</v>
      </c>
      <c r="Z87" s="99">
        <f t="shared" si="14"/>
        <v>0.2</v>
      </c>
      <c r="AA87" s="99">
        <f t="shared" si="14"/>
        <v>2.83</v>
      </c>
      <c r="AB87" s="99">
        <f t="shared" si="14"/>
        <v>3.4</v>
      </c>
      <c r="AC87" s="100">
        <f>AC160*0.602</f>
        <v>1.5155244755244754</v>
      </c>
      <c r="AD87" s="100">
        <f>AD160*0.715</f>
        <v>5.4634551495016606</v>
      </c>
      <c r="AE87" s="100">
        <f t="shared" ref="AE87:AE95" si="15">AB87+AC87+AD87</f>
        <v>10.378979625026137</v>
      </c>
      <c r="AS87" s="25"/>
      <c r="AT87" s="25"/>
      <c r="AU87" s="25"/>
      <c r="AV87" s="25"/>
      <c r="AW87" s="25"/>
      <c r="AX87" s="25"/>
    </row>
    <row r="88" spans="13:50" ht="19.5" customHeight="1" x14ac:dyDescent="0.25">
      <c r="M88" s="364"/>
      <c r="N88" s="365"/>
      <c r="O88" s="450" t="s">
        <v>254</v>
      </c>
      <c r="P88" s="451"/>
      <c r="Q88" s="452"/>
      <c r="R88" s="53"/>
      <c r="U88" s="466"/>
      <c r="V88" s="99" t="str">
        <f t="shared" ref="V88:W95" si="16">V161</f>
        <v>Kamafugito</v>
      </c>
      <c r="W88" s="99">
        <f t="shared" si="16"/>
        <v>0</v>
      </c>
      <c r="X88" s="99">
        <f t="shared" ref="X88:X95" si="17">AL161</f>
        <v>0</v>
      </c>
      <c r="Y88" s="99">
        <f t="shared" si="14"/>
        <v>1.5069999999999999</v>
      </c>
      <c r="Z88" s="99">
        <f t="shared" si="14"/>
        <v>3.5</v>
      </c>
      <c r="AA88" s="99">
        <f t="shared" si="14"/>
        <v>3.3250000000000002</v>
      </c>
      <c r="AB88" s="99">
        <f t="shared" si="14"/>
        <v>4</v>
      </c>
      <c r="AC88" s="100">
        <f t="shared" ref="AC88:AC95" si="18">AC161*0.602</f>
        <v>1.7217199999999999</v>
      </c>
      <c r="AD88" s="100">
        <f t="shared" ref="AD88:AD95" si="19">AD161*0.715</f>
        <v>0</v>
      </c>
      <c r="AE88" s="100">
        <f t="shared" si="15"/>
        <v>5.7217199999999995</v>
      </c>
      <c r="AS88" s="25"/>
      <c r="AT88" s="25"/>
      <c r="AU88" s="25"/>
      <c r="AV88" s="25"/>
      <c r="AW88" s="25"/>
      <c r="AX88" s="25"/>
    </row>
    <row r="89" spans="13:50" ht="19.5" customHeight="1" x14ac:dyDescent="0.25">
      <c r="M89" s="364"/>
      <c r="N89" s="365"/>
      <c r="O89" s="450" t="s">
        <v>251</v>
      </c>
      <c r="P89" s="451"/>
      <c r="Q89" s="452"/>
      <c r="R89" s="53"/>
      <c r="U89" s="466"/>
      <c r="V89" s="99" t="str">
        <f t="shared" si="16"/>
        <v>Micaxisto (61) 3233-9368</v>
      </c>
      <c r="W89" s="99">
        <f t="shared" si="16"/>
        <v>0</v>
      </c>
      <c r="X89" s="99">
        <f t="shared" si="17"/>
        <v>0</v>
      </c>
      <c r="Y89" s="99">
        <f t="shared" si="14"/>
        <v>4.4999999999999998E-2</v>
      </c>
      <c r="Z89" s="99">
        <f t="shared" si="14"/>
        <v>0.1</v>
      </c>
      <c r="AA89" s="99">
        <f t="shared" si="14"/>
        <v>4.32</v>
      </c>
      <c r="AB89" s="99">
        <f t="shared" si="14"/>
        <v>5.2</v>
      </c>
      <c r="AC89" s="100">
        <f t="shared" si="18"/>
        <v>0.75776223776223772</v>
      </c>
      <c r="AD89" s="100">
        <f t="shared" si="19"/>
        <v>0.83139534883720934</v>
      </c>
      <c r="AE89" s="100">
        <f t="shared" si="15"/>
        <v>6.7891575865994476</v>
      </c>
      <c r="AS89" s="25"/>
      <c r="AT89" s="25"/>
      <c r="AU89" s="25"/>
      <c r="AV89" s="25"/>
      <c r="AW89" s="25"/>
      <c r="AX89" s="25"/>
    </row>
    <row r="90" spans="13:50" ht="19.5" customHeight="1" x14ac:dyDescent="0.25">
      <c r="M90" s="364"/>
      <c r="N90" s="365"/>
      <c r="O90" s="448" t="s">
        <v>93</v>
      </c>
      <c r="P90" s="448"/>
      <c r="Q90" s="92">
        <v>0.5</v>
      </c>
      <c r="R90" s="53"/>
      <c r="U90" s="466"/>
      <c r="V90" s="99" t="str">
        <f t="shared" si="16"/>
        <v xml:space="preserve">Pó de brita Fmx (62) 3924 8565 </v>
      </c>
      <c r="W90" s="99">
        <f t="shared" si="16"/>
        <v>0</v>
      </c>
      <c r="X90" s="99">
        <f t="shared" si="17"/>
        <v>0</v>
      </c>
      <c r="Y90" s="99">
        <f t="shared" si="14"/>
        <v>0</v>
      </c>
      <c r="Z90" s="99">
        <f t="shared" si="14"/>
        <v>0</v>
      </c>
      <c r="AA90" s="99">
        <f t="shared" si="14"/>
        <v>4.99</v>
      </c>
      <c r="AB90" s="99">
        <f t="shared" si="14"/>
        <v>6</v>
      </c>
      <c r="AC90" s="100">
        <f t="shared" si="18"/>
        <v>2.5258741258741257</v>
      </c>
      <c r="AD90" s="100">
        <f t="shared" si="19"/>
        <v>0.59385382059800662</v>
      </c>
      <c r="AE90" s="100">
        <f t="shared" si="15"/>
        <v>9.1197279464721319</v>
      </c>
      <c r="AS90" s="25"/>
      <c r="AT90" s="25"/>
      <c r="AU90" s="25"/>
      <c r="AV90" s="25"/>
      <c r="AW90" s="25"/>
      <c r="AX90" s="25"/>
    </row>
    <row r="91" spans="13:50" ht="19.5" customHeight="1" x14ac:dyDescent="0.25">
      <c r="M91" s="364"/>
      <c r="N91" s="365"/>
      <c r="O91" s="448"/>
      <c r="P91" s="448"/>
      <c r="Q91" s="92"/>
      <c r="R91" s="53"/>
      <c r="U91" s="466"/>
      <c r="V91" s="99" t="str">
        <f t="shared" si="16"/>
        <v>Remax Mistel (61) 99414-1975</v>
      </c>
      <c r="W91" s="99">
        <f t="shared" si="16"/>
        <v>0</v>
      </c>
      <c r="X91" s="99">
        <f t="shared" si="17"/>
        <v>43.8</v>
      </c>
      <c r="Y91" s="99">
        <f t="shared" si="14"/>
        <v>4.4999999999999998E-2</v>
      </c>
      <c r="Z91" s="99">
        <f t="shared" si="14"/>
        <v>0.1</v>
      </c>
      <c r="AA91" s="99">
        <f t="shared" si="14"/>
        <v>2.1949999999999998</v>
      </c>
      <c r="AB91" s="99">
        <f t="shared" si="14"/>
        <v>2.6</v>
      </c>
      <c r="AC91" s="100">
        <f t="shared" si="18"/>
        <v>11.282237762237763</v>
      </c>
      <c r="AD91" s="100">
        <f t="shared" si="19"/>
        <v>8.8959302325581397</v>
      </c>
      <c r="AE91" s="100">
        <f t="shared" si="15"/>
        <v>22.778167994795901</v>
      </c>
      <c r="AS91" s="25"/>
      <c r="AT91" s="25"/>
      <c r="AU91" s="25"/>
      <c r="AV91" s="25"/>
      <c r="AW91" s="25"/>
      <c r="AX91" s="25"/>
    </row>
    <row r="92" spans="13:50" ht="19.5" customHeight="1" x14ac:dyDescent="0.25">
      <c r="M92" s="364"/>
      <c r="N92" s="365"/>
      <c r="O92" s="448"/>
      <c r="P92" s="448"/>
      <c r="Q92" s="92"/>
      <c r="R92" s="53"/>
      <c r="U92" s="466"/>
      <c r="V92" s="99">
        <f t="shared" si="16"/>
        <v>0</v>
      </c>
      <c r="W92" s="99">
        <f t="shared" si="16"/>
        <v>0</v>
      </c>
      <c r="X92" s="99">
        <f t="shared" si="17"/>
        <v>0</v>
      </c>
      <c r="Y92" s="99">
        <f t="shared" si="14"/>
        <v>0</v>
      </c>
      <c r="Z92" s="99">
        <f t="shared" si="14"/>
        <v>0</v>
      </c>
      <c r="AA92" s="99">
        <f t="shared" si="14"/>
        <v>0</v>
      </c>
      <c r="AB92" s="99">
        <f t="shared" si="14"/>
        <v>0</v>
      </c>
      <c r="AC92" s="100">
        <f t="shared" si="18"/>
        <v>0</v>
      </c>
      <c r="AD92" s="100">
        <f t="shared" si="19"/>
        <v>0</v>
      </c>
      <c r="AE92" s="100">
        <f t="shared" si="15"/>
        <v>0</v>
      </c>
      <c r="AS92" s="25"/>
      <c r="AT92" s="25"/>
      <c r="AU92" s="25"/>
      <c r="AV92" s="25"/>
      <c r="AW92" s="25"/>
      <c r="AX92" s="25"/>
    </row>
    <row r="93" spans="13:50" ht="19.5" customHeight="1" x14ac:dyDescent="0.25">
      <c r="M93" s="101"/>
      <c r="N93" s="25"/>
      <c r="O93" s="25"/>
      <c r="P93" s="25"/>
      <c r="Q93" s="25"/>
      <c r="R93" s="53"/>
      <c r="U93" s="466"/>
      <c r="V93" s="99">
        <f t="shared" si="16"/>
        <v>0</v>
      </c>
      <c r="W93" s="99">
        <f t="shared" si="16"/>
        <v>0</v>
      </c>
      <c r="X93" s="99">
        <f t="shared" si="17"/>
        <v>0</v>
      </c>
      <c r="Y93" s="99">
        <f t="shared" si="14"/>
        <v>0</v>
      </c>
      <c r="Z93" s="99">
        <f t="shared" si="14"/>
        <v>0</v>
      </c>
      <c r="AA93" s="99">
        <f t="shared" si="14"/>
        <v>0</v>
      </c>
      <c r="AB93" s="99">
        <f t="shared" si="14"/>
        <v>0</v>
      </c>
      <c r="AC93" s="100">
        <f t="shared" si="18"/>
        <v>0</v>
      </c>
      <c r="AD93" s="100">
        <f t="shared" si="19"/>
        <v>0</v>
      </c>
      <c r="AE93" s="100">
        <f t="shared" si="15"/>
        <v>0</v>
      </c>
      <c r="AS93" s="25"/>
      <c r="AT93" s="25"/>
      <c r="AU93" s="25"/>
      <c r="AV93" s="25"/>
      <c r="AW93" s="25"/>
      <c r="AX93" s="25"/>
    </row>
    <row r="94" spans="13:50" ht="19.5" customHeight="1" x14ac:dyDescent="0.25">
      <c r="M94" s="101"/>
      <c r="N94" s="25"/>
      <c r="O94" s="365" t="s">
        <v>264</v>
      </c>
      <c r="P94" s="365"/>
      <c r="Q94" s="365"/>
      <c r="R94" s="53"/>
      <c r="U94" s="466"/>
      <c r="V94" s="99">
        <f t="shared" si="16"/>
        <v>0</v>
      </c>
      <c r="W94" s="99">
        <f t="shared" si="16"/>
        <v>0</v>
      </c>
      <c r="X94" s="99">
        <f t="shared" si="17"/>
        <v>0</v>
      </c>
      <c r="Y94" s="99">
        <f t="shared" si="14"/>
        <v>0</v>
      </c>
      <c r="Z94" s="99">
        <f t="shared" si="14"/>
        <v>0</v>
      </c>
      <c r="AA94" s="99">
        <f t="shared" si="14"/>
        <v>0</v>
      </c>
      <c r="AB94" s="99">
        <f t="shared" si="14"/>
        <v>0</v>
      </c>
      <c r="AC94" s="100">
        <f t="shared" si="18"/>
        <v>0</v>
      </c>
      <c r="AD94" s="100">
        <f t="shared" si="19"/>
        <v>0</v>
      </c>
      <c r="AE94" s="100">
        <f t="shared" si="15"/>
        <v>0</v>
      </c>
      <c r="AS94" s="25"/>
      <c r="AT94" s="25"/>
      <c r="AU94" s="25"/>
      <c r="AV94" s="25"/>
      <c r="AW94" s="25"/>
      <c r="AX94" s="25"/>
    </row>
    <row r="95" spans="13:50" ht="19.5" customHeight="1" thickBot="1" x14ac:dyDescent="0.3">
      <c r="M95" s="69"/>
      <c r="N95" s="70"/>
      <c r="O95" s="70"/>
      <c r="P95" s="70"/>
      <c r="Q95" s="70"/>
      <c r="R95" s="71"/>
      <c r="U95" s="466"/>
      <c r="V95" s="99">
        <f t="shared" si="16"/>
        <v>0</v>
      </c>
      <c r="W95" s="99">
        <f t="shared" si="16"/>
        <v>0</v>
      </c>
      <c r="X95" s="99">
        <f t="shared" si="17"/>
        <v>0</v>
      </c>
      <c r="Y95" s="99">
        <f t="shared" si="14"/>
        <v>0</v>
      </c>
      <c r="Z95" s="99">
        <f t="shared" si="14"/>
        <v>0</v>
      </c>
      <c r="AA95" s="99">
        <f t="shared" si="14"/>
        <v>0</v>
      </c>
      <c r="AB95" s="99">
        <f t="shared" si="14"/>
        <v>0</v>
      </c>
      <c r="AC95" s="100">
        <f t="shared" si="18"/>
        <v>0</v>
      </c>
      <c r="AD95" s="100">
        <f t="shared" si="19"/>
        <v>0</v>
      </c>
      <c r="AE95" s="100">
        <f t="shared" si="15"/>
        <v>0</v>
      </c>
      <c r="AS95" s="25"/>
      <c r="AT95" s="25"/>
      <c r="AU95" s="25"/>
      <c r="AV95" s="25"/>
      <c r="AW95" s="25"/>
      <c r="AX95" s="25"/>
    </row>
    <row r="96" spans="13:50" ht="19.5" customHeight="1" thickBot="1" x14ac:dyDescent="0.3">
      <c r="AS96" s="25"/>
      <c r="AT96" s="25"/>
      <c r="AU96" s="25"/>
      <c r="AV96" s="25"/>
      <c r="AW96" s="25"/>
      <c r="AX96" s="25"/>
    </row>
    <row r="97" spans="1:50" ht="19.5" customHeight="1" x14ac:dyDescent="0.25">
      <c r="A97" s="26"/>
      <c r="M97" s="48"/>
      <c r="N97" s="49"/>
      <c r="O97" s="49"/>
      <c r="P97" s="49"/>
      <c r="Q97" s="49"/>
      <c r="R97" s="50"/>
      <c r="AS97" s="25"/>
      <c r="AT97" s="25"/>
      <c r="AU97" s="25"/>
      <c r="AV97" s="25"/>
      <c r="AW97" s="25"/>
      <c r="AX97" s="25"/>
    </row>
    <row r="98" spans="1:50" ht="19.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c r="AS98" s="25"/>
      <c r="AT98" s="25"/>
      <c r="AU98" s="25"/>
      <c r="AV98" s="25"/>
      <c r="AW98" s="25"/>
      <c r="AX98" s="25"/>
    </row>
    <row r="99" spans="1:50" ht="19.5" customHeight="1" x14ac:dyDescent="0.25">
      <c r="A99" s="94"/>
      <c r="M99" s="364" t="s">
        <v>262</v>
      </c>
      <c r="N99" s="453"/>
      <c r="O99" s="103">
        <f>$AC$30</f>
        <v>420</v>
      </c>
      <c r="P99" s="103">
        <f>$AC$31</f>
        <v>90</v>
      </c>
      <c r="Q99" s="103">
        <f>$AC$32</f>
        <v>420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c r="AS99" s="25"/>
      <c r="AT99" s="25"/>
      <c r="AU99" s="25"/>
      <c r="AV99" s="25"/>
      <c r="AW99" s="25"/>
      <c r="AX99" s="25"/>
    </row>
    <row r="100" spans="1:50" ht="19.5" customHeight="1" x14ac:dyDescent="0.25">
      <c r="A100" s="25"/>
      <c r="M100" s="364" t="s">
        <v>270</v>
      </c>
      <c r="N100" s="453"/>
      <c r="O100" s="63">
        <f>AS21</f>
        <v>210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c r="AS100" s="25"/>
      <c r="AT100" s="25"/>
      <c r="AU100" s="25"/>
      <c r="AV100" s="25"/>
      <c r="AW100" s="25"/>
      <c r="AX100" s="25"/>
    </row>
    <row r="101" spans="1:50" ht="19.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c r="AS101" s="25"/>
      <c r="AT101" s="25"/>
      <c r="AU101" s="25"/>
      <c r="AV101" s="25"/>
      <c r="AW101" s="25"/>
      <c r="AX101" s="25"/>
    </row>
    <row r="102" spans="1:50" ht="19.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c r="AS102" s="25"/>
      <c r="AT102" s="25"/>
      <c r="AU102" s="25"/>
      <c r="AV102" s="25"/>
      <c r="AW102" s="25"/>
      <c r="AX102" s="25"/>
    </row>
    <row r="103" spans="1:50" ht="19.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c r="AS103" s="25"/>
      <c r="AT103" s="25"/>
      <c r="AU103" s="25"/>
      <c r="AV103" s="25"/>
      <c r="AW103" s="25"/>
      <c r="AX103" s="25"/>
    </row>
    <row r="104" spans="1:50" ht="19.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c r="AS104" s="25"/>
      <c r="AT104" s="25"/>
      <c r="AU104" s="25"/>
      <c r="AV104" s="25"/>
      <c r="AW104" s="25"/>
      <c r="AX104" s="25"/>
    </row>
    <row r="105" spans="1:50" ht="19.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c r="AS105" s="25"/>
      <c r="AT105" s="25"/>
      <c r="AU105" s="25"/>
      <c r="AV105" s="25"/>
      <c r="AW105" s="25"/>
      <c r="AX105" s="25"/>
    </row>
    <row r="106" spans="1:50" ht="19.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50" ht="19.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50" ht="19.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50" ht="19.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50" ht="19.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50" ht="19.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50" ht="19.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19.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19.5" customHeight="1" x14ac:dyDescent="0.25">
      <c r="M114" s="101" t="s">
        <v>262</v>
      </c>
      <c r="N114" s="103">
        <f>AS26</f>
        <v>3</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19.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19.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19.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19.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19.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19.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19.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19.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19.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19.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19.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19.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19.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19.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19.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19.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19.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19.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19.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19.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19.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19.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19.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19.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19.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19.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19.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19.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19.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19.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19.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19.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19.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19.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19.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19.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19.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19.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19.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19.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19.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19.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19.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19.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19.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19.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19.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19.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19.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19.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19.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19.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19.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19.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19.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19.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19.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19.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19.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19.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19.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19.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19.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19.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19.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0">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dataValidations count="5">
    <dataValidation type="list" allowBlank="1" showInputMessage="1" showErrorMessage="1" sqref="O105:Q109">
      <formula1>$V$170:$V$179</formula1>
    </dataValidation>
    <dataValidation type="list" allowBlank="1" showInputMessage="1" showErrorMessage="1" sqref="O68 O176 N159 O174">
      <formula1>$AG$29:$AG$30</formula1>
    </dataValidation>
    <dataValidation type="list" allowBlank="1" showInputMessage="1" showErrorMessage="1" sqref="P39:Q39">
      <formula1>$AE$31:$AE$35</formula1>
    </dataValidation>
    <dataValidation type="list" allowBlank="1" showInputMessage="1" showErrorMessage="1" sqref="Q82:Q84 Q90:Q92 Q74:Q76 Q47 Q50">
      <formula1>$AI$29:$AI$40</formula1>
    </dataValidation>
    <dataValidation type="list" allowBlank="1" showInputMessage="1" showErrorMessage="1" sqref="O42:Q42">
      <formula1>$AK$29:$AK$38</formula1>
    </dataValidation>
  </dataValidations>
  <hyperlinks>
    <hyperlink ref="M4" location="Apresentação!A1" display="Voltar"/>
    <hyperlink ref="M4:N4" location="Painel!A1" display="Voltar"/>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corretivos'!$C$3:$C$62</xm:f>
          </x14:formula1>
          <xm:sqref>O74:P76 O82:P84 O90:P92</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corretivos'!$C$104:$C$113</xm:f>
          </x14:formula1>
          <xm:sqref>O55:Q55</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L3" sqref="L3:L4"/>
    </sheetView>
  </sheetViews>
  <sheetFormatPr defaultRowHeight="19.5" customHeight="1" outlineLevelCol="1" x14ac:dyDescent="0.25"/>
  <cols>
    <col min="1" max="1" width="5.7109375" style="23" customWidth="1"/>
    <col min="2" max="2" width="37.28515625" style="23" customWidth="1"/>
    <col min="3" max="3" width="29.5703125" style="23" customWidth="1"/>
    <col min="4" max="4" width="21.7109375" style="23" bestFit="1" customWidth="1"/>
    <col min="5" max="7" width="16.7109375" style="23" customWidth="1"/>
    <col min="8" max="8" width="29.42578125" style="23" bestFit="1" customWidth="1"/>
    <col min="9" max="9" width="21.7109375" style="23" bestFit="1" customWidth="1"/>
    <col min="10" max="12" width="13" style="23" customWidth="1"/>
    <col min="13" max="13" width="36.5703125" style="23" customWidth="1"/>
    <col min="14" max="14" width="13.140625" style="23" bestFit="1" customWidth="1"/>
    <col min="15" max="15" width="29.7109375" style="23" customWidth="1"/>
    <col min="16" max="16" width="18.42578125" style="23" customWidth="1"/>
    <col min="17" max="17" width="49.140625" style="23" customWidth="1"/>
    <col min="18" max="18" width="8" style="23" customWidth="1"/>
    <col min="19" max="19" width="11.42578125" style="23" bestFit="1" customWidth="1"/>
    <col min="20" max="20" width="30.140625" style="23" hidden="1" customWidth="1" outlineLevel="1"/>
    <col min="21" max="21" width="43.42578125" style="23" hidden="1" customWidth="1" outlineLevel="1"/>
    <col min="22" max="22" width="65" style="23" hidden="1" customWidth="1" outlineLevel="1"/>
    <col min="23" max="23" width="21.28515625" style="23" hidden="1" customWidth="1" outlineLevel="1"/>
    <col min="24" max="24" width="27.42578125" style="23" hidden="1" customWidth="1" outlineLevel="1"/>
    <col min="25" max="25" width="22.42578125" style="23" hidden="1" customWidth="1" outlineLevel="1"/>
    <col min="26" max="26" width="22" style="23" hidden="1" customWidth="1" outlineLevel="1"/>
    <col min="27" max="27" width="16.85546875" style="23" hidden="1" customWidth="1" outlineLevel="1"/>
    <col min="28" max="28" width="21.5703125" style="23" hidden="1" customWidth="1" outlineLevel="1"/>
    <col min="29" max="29" width="16.85546875" style="23" hidden="1" customWidth="1" outlineLevel="1"/>
    <col min="30" max="30" width="24.42578125" style="23" hidden="1" customWidth="1" outlineLevel="1"/>
    <col min="31" max="31" width="36.140625" style="23" hidden="1" customWidth="1" outlineLevel="1"/>
    <col min="32" max="32" width="25.5703125" style="23" hidden="1" customWidth="1" outlineLevel="1"/>
    <col min="33" max="33" width="22" style="23" hidden="1" customWidth="1" outlineLevel="1"/>
    <col min="34" max="34" width="21.5703125" style="23" hidden="1" customWidth="1" outlineLevel="1"/>
    <col min="35" max="35" width="24.7109375" style="23" hidden="1" customWidth="1" outlineLevel="1"/>
    <col min="36" max="36" width="14.28515625" style="23" hidden="1" customWidth="1" outlineLevel="1"/>
    <col min="37" max="37" width="32.42578125" style="23" hidden="1" customWidth="1" outlineLevel="1"/>
    <col min="38" max="38" width="14.7109375" style="23" hidden="1" customWidth="1" outlineLevel="1"/>
    <col min="39" max="39" width="34.28515625" style="23" hidden="1" customWidth="1" outlineLevel="1"/>
    <col min="40" max="40" width="20.85546875" style="23" hidden="1" customWidth="1" outlineLevel="1"/>
    <col min="41" max="41" width="21.28515625" style="23" hidden="1" customWidth="1" outlineLevel="1"/>
    <col min="42" max="42" width="65" style="23" hidden="1" customWidth="1" outlineLevel="1"/>
    <col min="43" max="43" width="16.7109375" style="23" hidden="1" customWidth="1" outlineLevel="1"/>
    <col min="44" max="44" width="45.85546875" style="23" hidden="1" customWidth="1" outlineLevel="1"/>
    <col min="45" max="45" width="16.7109375" style="23" hidden="1" customWidth="1" outlineLevel="1"/>
    <col min="46" max="46" width="13.7109375" style="23" hidden="1" customWidth="1" outlineLevel="1"/>
    <col min="47" max="47" width="31.42578125" style="23" hidden="1" customWidth="1" outlineLevel="1"/>
    <col min="48" max="48" width="11.85546875" style="23" hidden="1" customWidth="1" outlineLevel="1"/>
    <col min="49" max="49" width="23.5703125" style="23" hidden="1" customWidth="1" outlineLevel="1"/>
    <col min="50" max="50" width="22.42578125" style="23" hidden="1" customWidth="1" outlineLevel="1"/>
    <col min="51" max="51" width="28.5703125" style="23" hidden="1" customWidth="1" outlineLevel="1"/>
    <col min="52" max="52" width="23" style="23" hidden="1" customWidth="1" outlineLevel="1"/>
    <col min="53" max="54" width="16.7109375" style="23" hidden="1" customWidth="1" outlineLevel="1"/>
    <col min="55" max="55" width="9.140625" style="23" hidden="1" customWidth="1" outlineLevel="1"/>
    <col min="56" max="56" width="9.140625" style="23" collapsed="1"/>
    <col min="57" max="16384" width="9.140625" style="23"/>
  </cols>
  <sheetData>
    <row r="1" spans="1:54" ht="19.5" customHeight="1" thickBot="1" x14ac:dyDescent="0.3"/>
    <row r="2" spans="1:54" ht="19.5" customHeight="1" thickBot="1" x14ac:dyDescent="0.3">
      <c r="M2" s="588" t="s">
        <v>271</v>
      </c>
      <c r="N2" s="589"/>
      <c r="O2" s="589"/>
      <c r="P2" s="589"/>
      <c r="Q2" s="589"/>
      <c r="R2" s="590"/>
      <c r="AO2" s="47"/>
      <c r="AP2" s="47"/>
      <c r="AQ2" s="47"/>
      <c r="AR2" s="47"/>
      <c r="AS2" s="47"/>
      <c r="AT2" s="47"/>
      <c r="AU2" s="47"/>
      <c r="AV2" s="47"/>
      <c r="AW2" s="47"/>
      <c r="AX2" s="47"/>
      <c r="AY2" s="47"/>
      <c r="AZ2" s="47"/>
      <c r="BA2" s="47"/>
      <c r="BB2" s="47"/>
    </row>
    <row r="3" spans="1:54" ht="19.5" customHeight="1" x14ac:dyDescent="0.25">
      <c r="K3" s="259"/>
      <c r="M3" s="212"/>
      <c r="N3" s="213"/>
      <c r="O3" s="213"/>
      <c r="P3" s="213"/>
      <c r="Q3" s="213"/>
      <c r="R3" s="214"/>
      <c r="U3" s="584" t="s">
        <v>56</v>
      </c>
      <c r="V3" s="584"/>
      <c r="W3" s="584"/>
      <c r="X3" s="584"/>
      <c r="Y3" s="538" t="s">
        <v>59</v>
      </c>
      <c r="Z3" s="538"/>
      <c r="AA3" s="538"/>
      <c r="AB3" s="538"/>
      <c r="AC3" s="538"/>
      <c r="AD3" s="538"/>
      <c r="AO3" s="47"/>
      <c r="AP3" s="47"/>
      <c r="AQ3" s="47"/>
      <c r="AR3" s="47"/>
      <c r="AS3" s="47"/>
      <c r="AT3" s="47"/>
      <c r="AU3" s="47"/>
      <c r="AV3" s="47"/>
      <c r="AW3" s="47"/>
      <c r="AX3" s="47"/>
      <c r="AY3" s="47"/>
      <c r="AZ3" s="47"/>
      <c r="BA3" s="47"/>
      <c r="BB3" s="47"/>
    </row>
    <row r="4" spans="1:54" ht="19.5" customHeight="1" x14ac:dyDescent="0.25">
      <c r="M4" s="376" t="s">
        <v>210</v>
      </c>
      <c r="N4" s="552"/>
      <c r="O4" s="582" t="s">
        <v>196</v>
      </c>
      <c r="P4" s="582"/>
      <c r="Q4" s="31" t="s">
        <v>0</v>
      </c>
      <c r="R4" s="216"/>
      <c r="U4" s="584"/>
      <c r="V4" s="584"/>
      <c r="W4" s="584"/>
      <c r="X4" s="584"/>
      <c r="Y4" s="538"/>
      <c r="Z4" s="538"/>
      <c r="AA4" s="538"/>
      <c r="AB4" s="538"/>
      <c r="AC4" s="538"/>
      <c r="AD4" s="538"/>
      <c r="AO4" s="47"/>
      <c r="AP4" s="447" t="s">
        <v>258</v>
      </c>
      <c r="AQ4" s="447" t="s">
        <v>259</v>
      </c>
      <c r="AR4" s="447"/>
      <c r="AS4" s="220" t="s">
        <v>33</v>
      </c>
      <c r="AT4" s="220" t="s">
        <v>223</v>
      </c>
      <c r="AU4" s="220" t="s">
        <v>224</v>
      </c>
      <c r="AV4" s="508" t="s">
        <v>260</v>
      </c>
      <c r="AW4" s="47"/>
      <c r="AX4" s="47"/>
      <c r="AY4" s="47"/>
      <c r="AZ4" s="47"/>
      <c r="BA4" s="47"/>
      <c r="BB4" s="47"/>
    </row>
    <row r="5" spans="1:54" ht="19.5" customHeight="1" x14ac:dyDescent="0.25">
      <c r="K5" s="246" t="s">
        <v>564</v>
      </c>
      <c r="M5" s="376"/>
      <c r="N5" s="552"/>
      <c r="O5" s="21" t="s">
        <v>1</v>
      </c>
      <c r="P5" s="32">
        <v>6.9</v>
      </c>
      <c r="Q5" s="21" t="s">
        <v>2</v>
      </c>
      <c r="R5" s="216"/>
      <c r="U5" s="584"/>
      <c r="V5" s="584"/>
      <c r="W5" s="584"/>
      <c r="X5" s="584"/>
      <c r="Y5" s="538"/>
      <c r="Z5" s="538"/>
      <c r="AA5" s="538"/>
      <c r="AB5" s="538"/>
      <c r="AC5" s="538"/>
      <c r="AD5" s="538"/>
      <c r="AO5" s="47"/>
      <c r="AP5" s="447"/>
      <c r="AQ5" s="447"/>
      <c r="AR5" s="447"/>
      <c r="AS5" s="55">
        <f>$AC$30</f>
        <v>70</v>
      </c>
      <c r="AT5" s="55">
        <f>$AC$31</f>
        <v>40</v>
      </c>
      <c r="AU5" s="55">
        <f>$AC$32</f>
        <v>120</v>
      </c>
      <c r="AV5" s="509"/>
      <c r="AW5" s="47"/>
      <c r="AX5" s="47"/>
      <c r="AY5" s="47"/>
      <c r="AZ5" s="47"/>
      <c r="BA5" s="47"/>
      <c r="BB5" s="47"/>
    </row>
    <row r="6" spans="1:54" ht="19.5" customHeight="1" x14ac:dyDescent="0.25">
      <c r="K6" s="247" t="s">
        <v>370</v>
      </c>
      <c r="M6" s="376"/>
      <c r="N6" s="552"/>
      <c r="O6" s="21" t="s">
        <v>3</v>
      </c>
      <c r="P6" s="56">
        <v>2.9</v>
      </c>
      <c r="Q6" s="21" t="s">
        <v>55</v>
      </c>
      <c r="R6" s="216"/>
      <c r="U6" s="21" t="s">
        <v>29</v>
      </c>
      <c r="V6" s="538" t="s">
        <v>51</v>
      </c>
      <c r="W6" s="538"/>
      <c r="X6" s="538"/>
      <c r="Y6" s="538"/>
      <c r="Z6" s="538"/>
      <c r="AA6" s="538"/>
      <c r="AB6" s="538"/>
      <c r="AC6" s="538"/>
      <c r="AD6" s="538"/>
      <c r="AO6" s="47"/>
      <c r="AP6" s="220">
        <v>1</v>
      </c>
      <c r="AQ6" s="517">
        <f>O71</f>
        <v>0</v>
      </c>
      <c r="AR6" s="518"/>
      <c r="AS6" s="55">
        <f>IFERROR((VLOOKUP(AQ6,$V$100:$AB$179,3,0)*0.01)*AV6,0)</f>
        <v>0</v>
      </c>
      <c r="AT6" s="55">
        <f>IFERROR((VLOOKUP(AQ6,$V$100:$AB$179,5,0)*0.01)*AV6,0)</f>
        <v>0</v>
      </c>
      <c r="AU6" s="55">
        <f>IFERROR((VLOOKUP(AQ6,$V$100:$AB$179,7,0)*0.01)*AV6,0)</f>
        <v>0</v>
      </c>
      <c r="AV6" s="55">
        <f>IFERROR($AT$5*Q71/(VLOOKUP(AQ6,$V$100:$AB$179,5,0)/100),0)</f>
        <v>0</v>
      </c>
      <c r="AW6" s="47"/>
      <c r="AX6" s="47"/>
      <c r="AY6" s="47"/>
      <c r="AZ6" s="47"/>
      <c r="BA6" s="47"/>
      <c r="BB6" s="47"/>
    </row>
    <row r="7" spans="1:54" ht="19.5" customHeight="1" x14ac:dyDescent="0.25">
      <c r="K7" s="247" t="s">
        <v>371</v>
      </c>
      <c r="M7" s="376"/>
      <c r="N7" s="552"/>
      <c r="O7" s="21" t="s">
        <v>4</v>
      </c>
      <c r="P7" s="32">
        <v>0.5</v>
      </c>
      <c r="Q7" s="21" t="s">
        <v>55</v>
      </c>
      <c r="R7" s="216"/>
      <c r="U7" s="21" t="s">
        <v>23</v>
      </c>
      <c r="V7" s="21" t="s">
        <v>25</v>
      </c>
      <c r="W7" s="21" t="s">
        <v>26</v>
      </c>
      <c r="X7" s="21" t="s">
        <v>31</v>
      </c>
      <c r="Y7" s="21" t="s">
        <v>53</v>
      </c>
      <c r="Z7" s="538" t="s">
        <v>54</v>
      </c>
      <c r="AA7" s="538"/>
      <c r="AB7" s="538"/>
      <c r="AC7" s="21" t="s">
        <v>57</v>
      </c>
      <c r="AD7" s="21" t="s">
        <v>58</v>
      </c>
      <c r="AF7" s="586" t="s">
        <v>247</v>
      </c>
      <c r="AG7" s="586"/>
      <c r="AH7" s="586"/>
      <c r="AI7" s="586"/>
      <c r="AJ7" s="586"/>
      <c r="AK7" s="586"/>
      <c r="AL7" s="586"/>
      <c r="AM7" s="586"/>
      <c r="AO7" s="47"/>
      <c r="AP7" s="220">
        <v>2</v>
      </c>
      <c r="AQ7" s="517" t="str">
        <f>O72</f>
        <v>Termofosfato YOORIN</v>
      </c>
      <c r="AR7" s="518"/>
      <c r="AS7" s="55">
        <f>IFERROR((VLOOKUP(AQ7,$V$100:$AB$179,3,0)*0.01)*AV7,0)</f>
        <v>0</v>
      </c>
      <c r="AT7" s="55">
        <f>IFERROR((VLOOKUP(AQ7,$V$100:$AB$179,5,0)*0.01)*AV7,0)</f>
        <v>40.000000000000007</v>
      </c>
      <c r="AU7" s="55">
        <f>IFERROR((VLOOKUP(AQ7,$V$100:$AB$179,7,0)*0.01)*AV7,0)</f>
        <v>0</v>
      </c>
      <c r="AV7" s="55">
        <f>IFERROR($AT$5*Q72/(VLOOKUP(AQ7,$V$100:$AB$179,5,0)/100),0)</f>
        <v>228.57142857142858</v>
      </c>
      <c r="AW7" s="47"/>
      <c r="AX7" s="47"/>
      <c r="AY7" s="47"/>
      <c r="AZ7" s="47"/>
      <c r="BA7" s="47"/>
      <c r="BB7" s="47"/>
    </row>
    <row r="8" spans="1:54" ht="19.5" customHeight="1" thickBot="1" x14ac:dyDescent="0.3">
      <c r="K8" s="247" t="s">
        <v>335</v>
      </c>
      <c r="M8" s="376"/>
      <c r="N8" s="552"/>
      <c r="O8" s="21" t="s">
        <v>5</v>
      </c>
      <c r="P8" s="56">
        <v>0.33</v>
      </c>
      <c r="Q8" s="21" t="s">
        <v>55</v>
      </c>
      <c r="R8" s="216"/>
      <c r="U8" s="21" t="s">
        <v>37</v>
      </c>
      <c r="V8" s="21" t="s">
        <v>39</v>
      </c>
      <c r="W8" s="21" t="s">
        <v>30</v>
      </c>
      <c r="X8" s="21" t="s">
        <v>43</v>
      </c>
      <c r="Y8" s="21" t="str">
        <f>IF($P$21&lt;=15.99,"correto","erro")</f>
        <v>erro</v>
      </c>
      <c r="Z8" s="21" t="str">
        <f>IF($P$13&lt;=12,"baixo","erro")</f>
        <v>baixo</v>
      </c>
      <c r="AA8" s="21" t="str">
        <f>IF(AND($P$13&gt;=12.01,$P$13&lt;=18),"medio","erro")</f>
        <v>erro</v>
      </c>
      <c r="AB8" s="21" t="str">
        <f>IF($P$13&gt;18,"adequado","erro")</f>
        <v>erro</v>
      </c>
      <c r="AC8" s="21" t="str">
        <f>IF(Z8="baixo","baixo",IF(AA8="medio","medio",IF(AB8="adequado","adequado",0)))</f>
        <v>baixo</v>
      </c>
      <c r="AD8" s="538" t="str">
        <f>VLOOKUP("correto",Y8:AC11,5,0)</f>
        <v>baixo</v>
      </c>
      <c r="AF8" s="21" t="s">
        <v>250</v>
      </c>
      <c r="AG8" s="586" t="s">
        <v>248</v>
      </c>
      <c r="AH8" s="586"/>
      <c r="AI8" s="538" t="s">
        <v>249</v>
      </c>
      <c r="AJ8" s="538"/>
      <c r="AK8" s="21" t="s">
        <v>58</v>
      </c>
      <c r="AL8" s="21" t="s">
        <v>263</v>
      </c>
      <c r="AM8" s="21" t="s">
        <v>266</v>
      </c>
      <c r="AO8" s="47"/>
      <c r="AP8" s="220">
        <v>3</v>
      </c>
      <c r="AQ8" s="517">
        <f>O73</f>
        <v>0</v>
      </c>
      <c r="AR8" s="518"/>
      <c r="AS8" s="55">
        <f>IFERROR((VLOOKUP(AQ8,$V$100:$AB$179,3,0)*0.01)*AV8,0)</f>
        <v>0</v>
      </c>
      <c r="AT8" s="55">
        <f>IFERROR((VLOOKUP(AQ8,$V$100:$AB$179,5,0)*0.01)*AV8,0)</f>
        <v>0</v>
      </c>
      <c r="AU8" s="55">
        <f>IFERROR((VLOOKUP(AQ8,$V$100:$AB$179,7,0)*0.01)*AV8,0)</f>
        <v>0</v>
      </c>
      <c r="AV8" s="55">
        <f>IFERROR($AT$5*Q73/(VLOOKUP(AQ8,$V$100:$AB$179,5,0)/100),0)</f>
        <v>0</v>
      </c>
      <c r="AW8" s="47"/>
      <c r="AX8" s="47"/>
      <c r="AY8" s="47"/>
      <c r="AZ8" s="47"/>
      <c r="BA8" s="47"/>
      <c r="BB8" s="47"/>
    </row>
    <row r="9" spans="1:54" ht="19.5" customHeight="1" thickBot="1" x14ac:dyDescent="0.3">
      <c r="A9" s="30"/>
      <c r="B9" s="383" t="s">
        <v>119</v>
      </c>
      <c r="C9" s="384"/>
      <c r="D9" s="384"/>
      <c r="E9" s="384"/>
      <c r="F9" s="384"/>
      <c r="G9" s="384"/>
      <c r="H9" s="384"/>
      <c r="I9" s="385"/>
      <c r="K9" s="247" t="s">
        <v>336</v>
      </c>
      <c r="M9" s="376"/>
      <c r="N9" s="552"/>
      <c r="O9" s="21" t="s">
        <v>6</v>
      </c>
      <c r="P9" s="32">
        <v>0.05</v>
      </c>
      <c r="Q9" s="21" t="s">
        <v>55</v>
      </c>
      <c r="R9" s="216"/>
      <c r="U9" s="21" t="s">
        <v>27</v>
      </c>
      <c r="V9" s="21" t="s">
        <v>40</v>
      </c>
      <c r="W9" s="21" t="s">
        <v>44</v>
      </c>
      <c r="X9" s="21" t="s">
        <v>47</v>
      </c>
      <c r="Y9" s="21" t="str">
        <f>IF(AND($P$21&gt;15.99,P21&lt;34.99),"correto","erro")</f>
        <v>erro</v>
      </c>
      <c r="Z9" s="21" t="str">
        <f>IF($P$13&lt;=10,"baixo","erro")</f>
        <v>baixo</v>
      </c>
      <c r="AA9" s="21" t="str">
        <f>IF(AND($P$13&gt;=10.01,$P$13&lt;=15),"medio","erro")</f>
        <v>erro</v>
      </c>
      <c r="AB9" s="21" t="str">
        <f>IF($P$13&gt;15,"adequado","erro")</f>
        <v>erro</v>
      </c>
      <c r="AC9" s="21" t="str">
        <f>IF(Z9="baixo","baixo",IF(AA9="medio","medio",IF(AB9="adequado","adequado",0)))</f>
        <v>baixo</v>
      </c>
      <c r="AD9" s="538"/>
      <c r="AF9" s="586" t="s">
        <v>246</v>
      </c>
      <c r="AG9" s="260" t="s">
        <v>25</v>
      </c>
      <c r="AH9" s="260" t="s">
        <v>242</v>
      </c>
      <c r="AI9" s="21" t="str">
        <f>IF($P$14&lt;=0.2,"baixo","erro")</f>
        <v>baixo</v>
      </c>
      <c r="AJ9" s="538" t="str">
        <f>IF($AI$9="baixo","baixo",IF($AI$10="medio","medio",IF($AI$11="adequado","adequado",0)))</f>
        <v>baixo</v>
      </c>
      <c r="AK9" s="538">
        <f>IF(AJ9="Baixo",AL9,0)</f>
        <v>1.2</v>
      </c>
      <c r="AL9" s="538">
        <f>(AM9*1000)/$E$18</f>
        <v>1.2</v>
      </c>
      <c r="AM9" s="587">
        <v>2</v>
      </c>
      <c r="AO9" s="47"/>
      <c r="AP9" s="47"/>
      <c r="AQ9" s="47"/>
      <c r="AR9" s="47"/>
      <c r="AS9" s="59">
        <f>AS5-(SUM(AS6:AS8))</f>
        <v>70</v>
      </c>
      <c r="AT9" s="59">
        <f>AT5-(SUM(AT6:AT8))</f>
        <v>0</v>
      </c>
      <c r="AU9" s="59">
        <f>AU5-(SUM(AU6:AU8))</f>
        <v>120</v>
      </c>
      <c r="AV9" s="59"/>
      <c r="AW9" s="47"/>
      <c r="AX9" s="47"/>
      <c r="AY9" s="47"/>
      <c r="AZ9" s="47"/>
      <c r="BA9" s="47"/>
      <c r="BB9" s="47"/>
    </row>
    <row r="10" spans="1:54" ht="19.5" customHeight="1" x14ac:dyDescent="0.25">
      <c r="K10" s="247" t="s">
        <v>337</v>
      </c>
      <c r="M10" s="376"/>
      <c r="N10" s="552"/>
      <c r="O10" s="21" t="s">
        <v>7</v>
      </c>
      <c r="P10" s="56">
        <v>0</v>
      </c>
      <c r="Q10" s="21" t="s">
        <v>55</v>
      </c>
      <c r="R10" s="216"/>
      <c r="U10" s="21" t="s">
        <v>28</v>
      </c>
      <c r="V10" s="21" t="s">
        <v>41</v>
      </c>
      <c r="W10" s="21" t="s">
        <v>45</v>
      </c>
      <c r="X10" s="21" t="s">
        <v>48</v>
      </c>
      <c r="Y10" s="21" t="str">
        <f>IF(AND($P$21&gt;34.99,P21&lt;59.99),"correto","erro")</f>
        <v>correto</v>
      </c>
      <c r="Z10" s="21" t="str">
        <f>IF($P$13&lt;=5,"baixo","erro")</f>
        <v>baixo</v>
      </c>
      <c r="AA10" s="21" t="str">
        <f>IF(AND($P$13&gt;=5.01,$P$13&lt;=8),"medio","erro")</f>
        <v>erro</v>
      </c>
      <c r="AB10" s="21" t="str">
        <f>IF($P$13&gt;8,"adequado","erro")</f>
        <v>erro</v>
      </c>
      <c r="AC10" s="21" t="str">
        <f>IF(Z10="baixo","baixo",IF(AA10="medio","medio",IF(AB10="adequado","adequado",0)))</f>
        <v>baixo</v>
      </c>
      <c r="AD10" s="538"/>
      <c r="AF10" s="586"/>
      <c r="AG10" s="260" t="s">
        <v>26</v>
      </c>
      <c r="AH10" s="260" t="s">
        <v>238</v>
      </c>
      <c r="AI10" s="21" t="str">
        <f>IF(AND($P$14&gt;=0.201,$P$14&lt;=0.5),"medio","erro")</f>
        <v>erro</v>
      </c>
      <c r="AJ10" s="538"/>
      <c r="AK10" s="538"/>
      <c r="AL10" s="538"/>
      <c r="AM10" s="587"/>
      <c r="AO10" s="47"/>
      <c r="AP10" s="447" t="s">
        <v>258</v>
      </c>
      <c r="AQ10" s="447" t="s">
        <v>259</v>
      </c>
      <c r="AR10" s="447"/>
      <c r="AS10" s="220" t="s">
        <v>33</v>
      </c>
      <c r="AT10" s="220" t="s">
        <v>223</v>
      </c>
      <c r="AU10" s="220" t="s">
        <v>224</v>
      </c>
      <c r="AV10" s="508" t="s">
        <v>260</v>
      </c>
      <c r="AW10" s="47"/>
      <c r="AX10" s="47"/>
      <c r="AY10" s="47"/>
      <c r="AZ10" s="47"/>
      <c r="BA10" s="47"/>
      <c r="BB10" s="47"/>
    </row>
    <row r="11" spans="1:54" ht="19.5" customHeight="1" x14ac:dyDescent="0.25">
      <c r="B11" s="21" t="s">
        <v>120</v>
      </c>
      <c r="C11" s="353"/>
      <c r="D11" s="353"/>
      <c r="E11" s="353"/>
      <c r="F11" s="353"/>
      <c r="G11" s="353"/>
      <c r="H11" s="353"/>
      <c r="I11" s="354"/>
      <c r="K11" s="247" t="s">
        <v>338</v>
      </c>
      <c r="M11" s="376"/>
      <c r="N11" s="552"/>
      <c r="O11" s="21" t="s">
        <v>8</v>
      </c>
      <c r="P11" s="32">
        <v>4</v>
      </c>
      <c r="Q11" s="21" t="s">
        <v>55</v>
      </c>
      <c r="R11" s="216"/>
      <c r="U11" s="21" t="s">
        <v>38</v>
      </c>
      <c r="V11" s="21" t="s">
        <v>42</v>
      </c>
      <c r="W11" s="21" t="s">
        <v>46</v>
      </c>
      <c r="X11" s="21" t="s">
        <v>49</v>
      </c>
      <c r="Y11" s="21" t="str">
        <f>IF($P$21&gt;59.99,"correto","erro")</f>
        <v>erro</v>
      </c>
      <c r="Z11" s="21" t="str">
        <f>IF($P$13&lt;=3,"baixo","erro")</f>
        <v>baixo</v>
      </c>
      <c r="AA11" s="21" t="str">
        <f>IF(AND($P$13&gt;=3.01,$P$13&lt;=6),"medio","erro")</f>
        <v>erro</v>
      </c>
      <c r="AB11" s="21" t="str">
        <f>IF($P$13&gt;6,"adequado","erro")</f>
        <v>erro</v>
      </c>
      <c r="AC11" s="21" t="str">
        <f>IF(Z11="baixo","baixo",IF(AA11="medio","medio",IF(AB11="adequado","adequado",0)))</f>
        <v>baixo</v>
      </c>
      <c r="AD11" s="538"/>
      <c r="AF11" s="586"/>
      <c r="AG11" s="260" t="s">
        <v>234</v>
      </c>
      <c r="AH11" s="260" t="s">
        <v>233</v>
      </c>
      <c r="AI11" s="21" t="str">
        <f>IF($P$14&gt;0.5,"adequado","erro")</f>
        <v>erro</v>
      </c>
      <c r="AJ11" s="538"/>
      <c r="AK11" s="538"/>
      <c r="AL11" s="538"/>
      <c r="AM11" s="587"/>
      <c r="AO11" s="47"/>
      <c r="AP11" s="447"/>
      <c r="AQ11" s="447"/>
      <c r="AR11" s="447"/>
      <c r="AS11" s="55">
        <f>AS9</f>
        <v>70</v>
      </c>
      <c r="AT11" s="55">
        <f t="shared" ref="AT11:AU11" si="0">AT9</f>
        <v>0</v>
      </c>
      <c r="AU11" s="55">
        <f t="shared" si="0"/>
        <v>120</v>
      </c>
      <c r="AV11" s="509"/>
      <c r="AW11" s="47"/>
      <c r="AX11" s="47"/>
      <c r="AY11" s="47"/>
      <c r="AZ11" s="47"/>
      <c r="BA11" s="47"/>
      <c r="BB11" s="47"/>
    </row>
    <row r="12" spans="1:54" ht="19.5" customHeight="1" x14ac:dyDescent="0.25">
      <c r="B12" s="209" t="s">
        <v>121</v>
      </c>
      <c r="C12" s="352"/>
      <c r="D12" s="353"/>
      <c r="E12" s="353"/>
      <c r="F12" s="353"/>
      <c r="G12" s="353"/>
      <c r="H12" s="353"/>
      <c r="I12" s="354"/>
      <c r="K12" s="247" t="s">
        <v>339</v>
      </c>
      <c r="M12" s="376"/>
      <c r="N12" s="552"/>
      <c r="O12" s="21" t="s">
        <v>9</v>
      </c>
      <c r="P12" s="56">
        <v>18.7</v>
      </c>
      <c r="Q12" s="21" t="s">
        <v>10</v>
      </c>
      <c r="R12" s="216"/>
      <c r="AF12" s="586" t="s">
        <v>245</v>
      </c>
      <c r="AG12" s="260" t="s">
        <v>25</v>
      </c>
      <c r="AH12" s="260" t="s">
        <v>241</v>
      </c>
      <c r="AI12" s="21" t="str">
        <f>IF($P$16&lt;=0.4,"baixo","erro")</f>
        <v>erro</v>
      </c>
      <c r="AJ12" s="538" t="str">
        <f>IF($AI$12="baixo","baixo",IF($AI$13="medio","medio",IF($AI$14="adequado","adequado",0)))</f>
        <v>medio</v>
      </c>
      <c r="AK12" s="538">
        <f>IF(AJ12="Baixo",AL12,0)</f>
        <v>0</v>
      </c>
      <c r="AL12" s="538">
        <f>(AM12*1000)/$E$18</f>
        <v>1.2</v>
      </c>
      <c r="AM12" s="587">
        <v>2</v>
      </c>
      <c r="AO12" s="47"/>
      <c r="AP12" s="220">
        <v>7</v>
      </c>
      <c r="AQ12" s="447" t="str">
        <f>O79</f>
        <v>Kmag</v>
      </c>
      <c r="AR12" s="447"/>
      <c r="AS12" s="55">
        <f>IFERROR((VLOOKUP(AQ12,$V$100:$AB$179,3,0)*0.01)*AV12,0)</f>
        <v>0</v>
      </c>
      <c r="AT12" s="55">
        <f>IFERROR((VLOOKUP(AQ12,$V$100:$AB$179,5,0)*0.01)*AV12,0)</f>
        <v>0</v>
      </c>
      <c r="AU12" s="55">
        <f>IFERROR((VLOOKUP(AQ12,$V$100:$AB$179,7,0)*0.01)*AV12,0)</f>
        <v>120</v>
      </c>
      <c r="AV12" s="55">
        <f>IFERROR($AU$11*Q79/(VLOOKUP(AQ12,$V$100:$AB$179,7,0)/100),0)</f>
        <v>571.42857142857144</v>
      </c>
      <c r="AW12" s="47"/>
      <c r="AX12" s="47"/>
      <c r="AY12" s="47"/>
      <c r="AZ12" s="47"/>
      <c r="BA12" s="47"/>
      <c r="BB12" s="47"/>
    </row>
    <row r="13" spans="1:54" ht="19.5" customHeight="1" x14ac:dyDescent="0.25">
      <c r="B13" s="209" t="s">
        <v>122</v>
      </c>
      <c r="C13" s="352"/>
      <c r="D13" s="353"/>
      <c r="E13" s="353"/>
      <c r="F13" s="353"/>
      <c r="G13" s="353"/>
      <c r="H13" s="353"/>
      <c r="I13" s="354"/>
      <c r="K13" s="247" t="s">
        <v>340</v>
      </c>
      <c r="M13" s="376"/>
      <c r="N13" s="552"/>
      <c r="O13" s="21" t="s">
        <v>11</v>
      </c>
      <c r="P13" s="32">
        <v>2.5</v>
      </c>
      <c r="Q13" s="21" t="s">
        <v>12</v>
      </c>
      <c r="R13" s="216"/>
      <c r="AF13" s="586"/>
      <c r="AG13" s="260" t="s">
        <v>26</v>
      </c>
      <c r="AH13" s="260" t="s">
        <v>237</v>
      </c>
      <c r="AI13" s="21" t="str">
        <f>IF(AND($P$16&gt;=0.401,$P$16&lt;=0.8),"medio","erro")</f>
        <v>medio</v>
      </c>
      <c r="AJ13" s="538"/>
      <c r="AK13" s="538"/>
      <c r="AL13" s="538"/>
      <c r="AM13" s="587"/>
      <c r="AO13" s="47"/>
      <c r="AP13" s="220">
        <v>8</v>
      </c>
      <c r="AQ13" s="447">
        <f>O80</f>
        <v>0</v>
      </c>
      <c r="AR13" s="447"/>
      <c r="AS13" s="55">
        <f>IFERROR((VLOOKUP(AQ13,$V$100:$AB$179,3,0)*0.01)*AV13,0)</f>
        <v>0</v>
      </c>
      <c r="AT13" s="55">
        <f>IFERROR((VLOOKUP(AQ13,$V$100:$AB$179,5,0)*0.01)*AV13,0)</f>
        <v>0</v>
      </c>
      <c r="AU13" s="55">
        <f>IFERROR((VLOOKUP(AQ13,$V$100:$AB$179,7,0)*0.01)*AV13,0)</f>
        <v>0</v>
      </c>
      <c r="AV13" s="55">
        <f>IFERROR($AU$11*Q80/(VLOOKUP(AQ13,$V$100:$AB$179,7,0)/100),0)</f>
        <v>0</v>
      </c>
      <c r="AW13" s="47"/>
      <c r="AX13" s="47"/>
      <c r="AY13" s="47"/>
      <c r="AZ13" s="47"/>
      <c r="BA13" s="47"/>
      <c r="BB13" s="47"/>
    </row>
    <row r="14" spans="1:54" ht="19.5" customHeight="1" x14ac:dyDescent="0.25">
      <c r="B14" s="209" t="s">
        <v>123</v>
      </c>
      <c r="C14" s="352"/>
      <c r="D14" s="353"/>
      <c r="E14" s="353"/>
      <c r="F14" s="353"/>
      <c r="G14" s="354"/>
      <c r="H14" s="21" t="s">
        <v>124</v>
      </c>
      <c r="I14" s="22">
        <f ca="1">TODAY()</f>
        <v>44057</v>
      </c>
      <c r="K14" s="247" t="s">
        <v>341</v>
      </c>
      <c r="M14" s="376"/>
      <c r="N14" s="552"/>
      <c r="O14" s="21" t="s">
        <v>13</v>
      </c>
      <c r="P14" s="56">
        <v>0.05</v>
      </c>
      <c r="Q14" s="21" t="s">
        <v>12</v>
      </c>
      <c r="R14" s="216"/>
      <c r="AF14" s="586"/>
      <c r="AG14" s="260" t="s">
        <v>234</v>
      </c>
      <c r="AH14" s="260" t="s">
        <v>232</v>
      </c>
      <c r="AI14" s="21" t="str">
        <f>IF($P$16&gt;0.8,"adequado","erro")</f>
        <v>erro</v>
      </c>
      <c r="AJ14" s="538"/>
      <c r="AK14" s="538"/>
      <c r="AL14" s="538"/>
      <c r="AM14" s="587"/>
      <c r="AO14" s="47"/>
      <c r="AP14" s="220">
        <v>9</v>
      </c>
      <c r="AQ14" s="447">
        <f>O81</f>
        <v>0</v>
      </c>
      <c r="AR14" s="447"/>
      <c r="AS14" s="55">
        <f>IFERROR((VLOOKUP(AQ14,$V$100:$AB$179,3,0)*0.01)*AV14,0)</f>
        <v>0</v>
      </c>
      <c r="AT14" s="55">
        <f>IFERROR((VLOOKUP(AQ14,$V$100:$AB$179,5,0)*0.01)*AV14,0)</f>
        <v>0</v>
      </c>
      <c r="AU14" s="55">
        <f>IFERROR((VLOOKUP(AQ14,$V$100:$AB$179,7,0)*0.01)*AV14,0)</f>
        <v>0</v>
      </c>
      <c r="AV14" s="55">
        <f>IFERROR($AU$11*Q81/(VLOOKUP(AQ14,$V$100:$AB$179,7,0)/100),0)</f>
        <v>0</v>
      </c>
      <c r="AW14" s="47"/>
      <c r="AX14" s="47"/>
      <c r="AY14" s="47"/>
      <c r="AZ14" s="47"/>
      <c r="BA14" s="47"/>
      <c r="BB14" s="47"/>
    </row>
    <row r="15" spans="1:54" ht="19.5" customHeight="1" thickBot="1" x14ac:dyDescent="0.3">
      <c r="K15" s="247" t="s">
        <v>342</v>
      </c>
      <c r="M15" s="376"/>
      <c r="N15" s="552"/>
      <c r="O15" s="21" t="s">
        <v>14</v>
      </c>
      <c r="P15" s="32">
        <v>2.2999999999999998</v>
      </c>
      <c r="Q15" s="21" t="s">
        <v>12</v>
      </c>
      <c r="R15" s="216"/>
      <c r="AF15" s="586" t="s">
        <v>244</v>
      </c>
      <c r="AG15" s="260" t="s">
        <v>25</v>
      </c>
      <c r="AH15" s="260" t="s">
        <v>240</v>
      </c>
      <c r="AI15" s="21" t="str">
        <f>IF($P$18&lt;=1.9,"baixo","erro")</f>
        <v>erro</v>
      </c>
      <c r="AJ15" s="538" t="str">
        <f>IF($AI$15="baixo","baixo",IF($AI$16="medio","medio",IF($AI$17="adequado","adequado",0)))</f>
        <v>adequado</v>
      </c>
      <c r="AK15" s="538">
        <f>IF(AJ15="Baixo",AL15,0)</f>
        <v>0</v>
      </c>
      <c r="AL15" s="538">
        <f>(AM15*1000)/$E$18</f>
        <v>3.5999999999999996</v>
      </c>
      <c r="AM15" s="587">
        <v>6</v>
      </c>
      <c r="AO15" s="47"/>
      <c r="AP15" s="47"/>
      <c r="AQ15" s="47"/>
      <c r="AR15" s="47"/>
      <c r="AS15" s="59">
        <f>AS11-(SUM(AS12:AS14))</f>
        <v>70</v>
      </c>
      <c r="AT15" s="59">
        <f>AT11-(SUM(AT12:AT14))</f>
        <v>0</v>
      </c>
      <c r="AU15" s="59">
        <f>AU11-(SUM(AU12:AU14))</f>
        <v>0</v>
      </c>
      <c r="AV15" s="47"/>
      <c r="AW15" s="47"/>
      <c r="AX15" s="47"/>
      <c r="AY15" s="47"/>
      <c r="AZ15" s="47"/>
      <c r="BA15" s="47"/>
      <c r="BB15" s="47"/>
    </row>
    <row r="16" spans="1:54" ht="19.5" customHeight="1" thickBot="1" x14ac:dyDescent="0.3">
      <c r="B16" s="577" t="s">
        <v>309</v>
      </c>
      <c r="C16" s="578"/>
      <c r="D16" s="578"/>
      <c r="E16" s="578"/>
      <c r="F16" s="578"/>
      <c r="G16" s="578"/>
      <c r="H16" s="578"/>
      <c r="I16" s="579"/>
      <c r="K16" s="247" t="s">
        <v>343</v>
      </c>
      <c r="M16" s="376"/>
      <c r="N16" s="552"/>
      <c r="O16" s="21" t="s">
        <v>15</v>
      </c>
      <c r="P16" s="56">
        <v>0.6</v>
      </c>
      <c r="Q16" s="21" t="s">
        <v>12</v>
      </c>
      <c r="R16" s="216"/>
      <c r="AF16" s="586"/>
      <c r="AG16" s="260" t="s">
        <v>26</v>
      </c>
      <c r="AH16" s="260" t="s">
        <v>236</v>
      </c>
      <c r="AI16" s="21" t="str">
        <f>IF(AND($P$18&gt;=1.901,$P$18&lt;=5),"medio","erro")</f>
        <v>erro</v>
      </c>
      <c r="AJ16" s="538"/>
      <c r="AK16" s="538"/>
      <c r="AL16" s="538"/>
      <c r="AM16" s="587"/>
      <c r="AO16" s="47"/>
      <c r="AP16" s="447" t="s">
        <v>258</v>
      </c>
      <c r="AQ16" s="447" t="s">
        <v>259</v>
      </c>
      <c r="AR16" s="447"/>
      <c r="AS16" s="220" t="s">
        <v>33</v>
      </c>
      <c r="AT16" s="220" t="s">
        <v>223</v>
      </c>
      <c r="AU16" s="220" t="s">
        <v>224</v>
      </c>
      <c r="AV16" s="508" t="s">
        <v>260</v>
      </c>
      <c r="AW16" s="47"/>
      <c r="AX16" s="47"/>
      <c r="AY16" s="47"/>
      <c r="AZ16" s="47"/>
      <c r="BA16" s="47"/>
      <c r="BB16" s="47"/>
    </row>
    <row r="17" spans="2:54" ht="19.5" customHeight="1" x14ac:dyDescent="0.25">
      <c r="K17" s="247" t="s">
        <v>578</v>
      </c>
      <c r="M17" s="376"/>
      <c r="N17" s="552"/>
      <c r="O17" s="21" t="s">
        <v>16</v>
      </c>
      <c r="P17" s="32">
        <v>84.8</v>
      </c>
      <c r="Q17" s="21" t="s">
        <v>12</v>
      </c>
      <c r="R17" s="216"/>
      <c r="U17" s="584" t="s">
        <v>60</v>
      </c>
      <c r="V17" s="584"/>
      <c r="W17" s="584"/>
      <c r="X17" s="584"/>
      <c r="Y17" s="538" t="s">
        <v>59</v>
      </c>
      <c r="Z17" s="538"/>
      <c r="AA17" s="538"/>
      <c r="AB17" s="538"/>
      <c r="AC17" s="538"/>
      <c r="AD17" s="538"/>
      <c r="AF17" s="586"/>
      <c r="AG17" s="260" t="s">
        <v>234</v>
      </c>
      <c r="AH17" s="260" t="s">
        <v>231</v>
      </c>
      <c r="AI17" s="21" t="str">
        <f>IF($P$18&gt;5,"adequado","erro")</f>
        <v>adequado</v>
      </c>
      <c r="AJ17" s="538"/>
      <c r="AK17" s="538"/>
      <c r="AL17" s="538"/>
      <c r="AM17" s="587"/>
      <c r="AO17" s="47"/>
      <c r="AP17" s="447"/>
      <c r="AQ17" s="447"/>
      <c r="AR17" s="447"/>
      <c r="AS17" s="55">
        <f>AS15</f>
        <v>70</v>
      </c>
      <c r="AT17" s="55">
        <f t="shared" ref="AT17:AU17" si="1">AT15</f>
        <v>0</v>
      </c>
      <c r="AU17" s="55">
        <f t="shared" si="1"/>
        <v>0</v>
      </c>
      <c r="AV17" s="509"/>
      <c r="AW17" s="47"/>
      <c r="AX17" s="47"/>
      <c r="AY17" s="47"/>
      <c r="AZ17" s="47"/>
      <c r="BA17" s="47"/>
      <c r="BB17" s="47"/>
    </row>
    <row r="18" spans="2:54" ht="19.5" customHeight="1" x14ac:dyDescent="0.25">
      <c r="B18" s="585" t="s">
        <v>134</v>
      </c>
      <c r="C18" s="585"/>
      <c r="D18" s="585"/>
      <c r="E18" s="261">
        <f>$O$35</f>
        <v>1666.6666666666667</v>
      </c>
      <c r="F18" s="538" t="s">
        <v>125</v>
      </c>
      <c r="G18" s="538"/>
      <c r="H18" s="538"/>
      <c r="I18" s="21">
        <f>O34</f>
        <v>1</v>
      </c>
      <c r="K18" s="247" t="s">
        <v>581</v>
      </c>
      <c r="M18" s="376"/>
      <c r="N18" s="552"/>
      <c r="O18" s="21" t="s">
        <v>17</v>
      </c>
      <c r="P18" s="56">
        <v>14.9</v>
      </c>
      <c r="Q18" s="21" t="s">
        <v>12</v>
      </c>
      <c r="R18" s="216"/>
      <c r="U18" s="584"/>
      <c r="V18" s="584"/>
      <c r="W18" s="584"/>
      <c r="X18" s="584"/>
      <c r="Y18" s="538"/>
      <c r="Z18" s="538"/>
      <c r="AA18" s="538"/>
      <c r="AB18" s="538"/>
      <c r="AC18" s="538"/>
      <c r="AD18" s="538"/>
      <c r="AF18" s="586" t="s">
        <v>243</v>
      </c>
      <c r="AG18" s="260" t="s">
        <v>25</v>
      </c>
      <c r="AH18" s="260" t="s">
        <v>239</v>
      </c>
      <c r="AI18" s="21" t="str">
        <f>IF($P$19&lt;=1,"baixo","erro")</f>
        <v>erro</v>
      </c>
      <c r="AJ18" s="538" t="str">
        <f>IF($AI$18="baixo","baixo",IF($AI$19="medio","medio",IF($AI$20="adequado","adequado",0)))</f>
        <v>adequado</v>
      </c>
      <c r="AK18" s="538">
        <f>IF(AJ18="Baixo",AL18,0)</f>
        <v>0</v>
      </c>
      <c r="AL18" s="538">
        <f>(AM18*1000)/$E$18</f>
        <v>3.5999999999999996</v>
      </c>
      <c r="AM18" s="587">
        <v>6</v>
      </c>
      <c r="AO18" s="47"/>
      <c r="AP18" s="220">
        <v>13</v>
      </c>
      <c r="AQ18" s="447" t="str">
        <f>O87</f>
        <v>Torta de mamona Hortibraz</v>
      </c>
      <c r="AR18" s="447"/>
      <c r="AS18" s="55">
        <f>IFERROR((VLOOKUP(AQ18,$V$100:$AB$179,3,0)*0.01)*AV18,0)</f>
        <v>0</v>
      </c>
      <c r="AT18" s="55">
        <f>IFERROR((VLOOKUP(AQ18,$V$100:$AB$179,5,0)*0.01)*AV18,0)</f>
        <v>0</v>
      </c>
      <c r="AU18" s="55">
        <f>IFERROR((VLOOKUP(AQ18,$V$100:$AB$179,7,0)*0.01)*AV18,0)</f>
        <v>0</v>
      </c>
      <c r="AV18" s="55">
        <f>IFERROR($AS$17*Q87/(VLOOKUP(AQ18,$V$100:$AB$179,3,0)/100),0)</f>
        <v>0</v>
      </c>
      <c r="AW18" s="47"/>
      <c r="AX18" s="47"/>
      <c r="AY18" s="47"/>
      <c r="AZ18" s="47"/>
      <c r="BA18" s="47"/>
      <c r="BB18" s="47"/>
    </row>
    <row r="19" spans="2:54" ht="19.5" customHeight="1" x14ac:dyDescent="0.25">
      <c r="K19" s="247" t="s">
        <v>583</v>
      </c>
      <c r="M19" s="376"/>
      <c r="N19" s="552"/>
      <c r="O19" s="21" t="s">
        <v>18</v>
      </c>
      <c r="P19" s="32">
        <v>1.7</v>
      </c>
      <c r="Q19" s="21" t="s">
        <v>12</v>
      </c>
      <c r="R19" s="216"/>
      <c r="S19" s="262"/>
      <c r="U19" s="584"/>
      <c r="V19" s="584"/>
      <c r="W19" s="584"/>
      <c r="X19" s="584"/>
      <c r="Y19" s="538"/>
      <c r="Z19" s="538"/>
      <c r="AA19" s="538"/>
      <c r="AB19" s="538"/>
      <c r="AC19" s="538"/>
      <c r="AD19" s="538"/>
      <c r="AF19" s="586"/>
      <c r="AG19" s="260" t="s">
        <v>26</v>
      </c>
      <c r="AH19" s="260" t="s">
        <v>235</v>
      </c>
      <c r="AI19" s="21" t="str">
        <f>IF(AND($P$19&gt;=1.01,$P$19&lt;=1.6),"medio","erro")</f>
        <v>erro</v>
      </c>
      <c r="AJ19" s="538"/>
      <c r="AK19" s="538"/>
      <c r="AL19" s="538"/>
      <c r="AM19" s="587"/>
      <c r="AO19" s="47"/>
      <c r="AP19" s="220">
        <v>14</v>
      </c>
      <c r="AQ19" s="447">
        <f>O88</f>
        <v>0</v>
      </c>
      <c r="AR19" s="447"/>
      <c r="AS19" s="55">
        <f>IFERROR((VLOOKUP(AQ19,$V$100:$AB$179,3,0)*0.01)*AV19,0)</f>
        <v>0</v>
      </c>
      <c r="AT19" s="55">
        <f>IFERROR((VLOOKUP(AQ19,$V$100:$AB$179,5,0)*0.01)*AV19,0)</f>
        <v>0</v>
      </c>
      <c r="AU19" s="55">
        <f>IFERROR((VLOOKUP(AQ19,$V$100:$AB$179,7,0)*0.01)*AV19,0)</f>
        <v>0</v>
      </c>
      <c r="AV19" s="55">
        <f>IFERROR($AS$17*Q88/(VLOOKUP(AQ19,$V$100:$AB$179,3,0)/100),0)</f>
        <v>0</v>
      </c>
      <c r="AW19" s="47"/>
      <c r="AX19" s="47"/>
      <c r="AY19" s="47"/>
      <c r="AZ19" s="47"/>
      <c r="BA19" s="47"/>
      <c r="BB19" s="47"/>
    </row>
    <row r="20" spans="2:54" ht="19.5" customHeight="1" x14ac:dyDescent="0.25">
      <c r="B20" s="352" t="s">
        <v>183</v>
      </c>
      <c r="C20" s="353"/>
      <c r="D20" s="353"/>
      <c r="E20" s="354"/>
      <c r="F20" s="263" t="s">
        <v>126</v>
      </c>
      <c r="G20" s="263">
        <f>P24</f>
        <v>48.586118251928028</v>
      </c>
      <c r="H20" s="263" t="s">
        <v>52</v>
      </c>
      <c r="I20" s="261">
        <f>P21</f>
        <v>47.5</v>
      </c>
      <c r="K20" s="247" t="s">
        <v>584</v>
      </c>
      <c r="M20" s="376"/>
      <c r="N20" s="552"/>
      <c r="O20" s="21" t="s">
        <v>19</v>
      </c>
      <c r="P20" s="56">
        <v>35</v>
      </c>
      <c r="Q20" s="21" t="s">
        <v>23</v>
      </c>
      <c r="R20" s="216"/>
      <c r="U20" s="21" t="s">
        <v>29</v>
      </c>
      <c r="V20" s="538" t="s">
        <v>74</v>
      </c>
      <c r="W20" s="538"/>
      <c r="X20" s="538"/>
      <c r="Y20" s="538"/>
      <c r="Z20" s="538"/>
      <c r="AA20" s="538"/>
      <c r="AB20" s="538"/>
      <c r="AC20" s="538"/>
      <c r="AD20" s="538"/>
      <c r="AF20" s="586"/>
      <c r="AG20" s="260" t="s">
        <v>234</v>
      </c>
      <c r="AH20" s="260" t="s">
        <v>230</v>
      </c>
      <c r="AI20" s="21" t="str">
        <f>IF($P$19&gt;1.6,"adequado","erro")</f>
        <v>adequado</v>
      </c>
      <c r="AJ20" s="538"/>
      <c r="AK20" s="538"/>
      <c r="AL20" s="538"/>
      <c r="AM20" s="587"/>
      <c r="AO20" s="47"/>
      <c r="AP20" s="220">
        <v>15</v>
      </c>
      <c r="AQ20" s="447">
        <f>O89</f>
        <v>0</v>
      </c>
      <c r="AR20" s="447"/>
      <c r="AS20" s="55">
        <f>IFERROR((VLOOKUP(AQ20,$V$100:$AB$179,3,0)*0.01)*AV20,0)</f>
        <v>0</v>
      </c>
      <c r="AT20" s="55">
        <f>IFERROR((VLOOKUP(AQ20,$V$100:$AB$179,5,0)*0.01)*AV20,0)</f>
        <v>0</v>
      </c>
      <c r="AU20" s="55">
        <f>IFERROR((VLOOKUP(AQ20,$V$100:$AB$179,7,0)*0.01)*AV20,0)</f>
        <v>0</v>
      </c>
      <c r="AV20" s="55">
        <f>IFERROR($AS$17*Q89/(VLOOKUP(AQ20,$V$100:$AB$179,3,0)/100),0)</f>
        <v>0</v>
      </c>
      <c r="AW20" s="47"/>
      <c r="AX20" s="47"/>
      <c r="AY20" s="47"/>
      <c r="AZ20" s="47"/>
      <c r="BA20" s="47"/>
      <c r="BB20" s="47"/>
    </row>
    <row r="21" spans="2:54" ht="19.5" customHeight="1" x14ac:dyDescent="0.25">
      <c r="B21" s="264" t="s">
        <v>1</v>
      </c>
      <c r="C21" s="265">
        <f>P5</f>
        <v>6.9</v>
      </c>
      <c r="D21" s="263" t="s">
        <v>127</v>
      </c>
      <c r="E21" s="263">
        <f>P9</f>
        <v>0.05</v>
      </c>
      <c r="F21" s="263" t="s">
        <v>128</v>
      </c>
      <c r="G21" s="263">
        <f>P23</f>
        <v>16.899999999999999</v>
      </c>
      <c r="H21" s="263" t="s">
        <v>85</v>
      </c>
      <c r="I21" s="263">
        <f>P18</f>
        <v>14.9</v>
      </c>
      <c r="K21" s="247" t="s">
        <v>346</v>
      </c>
      <c r="M21" s="376"/>
      <c r="N21" s="552"/>
      <c r="O21" s="21" t="s">
        <v>52</v>
      </c>
      <c r="P21" s="32">
        <v>47.5</v>
      </c>
      <c r="Q21" s="21" t="s">
        <v>23</v>
      </c>
      <c r="R21" s="216"/>
      <c r="S21" s="262"/>
      <c r="U21" s="21" t="s">
        <v>23</v>
      </c>
      <c r="V21" s="21" t="s">
        <v>25</v>
      </c>
      <c r="W21" s="21" t="s">
        <v>26</v>
      </c>
      <c r="X21" s="21" t="s">
        <v>31</v>
      </c>
      <c r="Y21" s="21" t="s">
        <v>53</v>
      </c>
      <c r="Z21" s="538" t="s">
        <v>62</v>
      </c>
      <c r="AA21" s="538"/>
      <c r="AB21" s="538"/>
      <c r="AC21" s="21" t="s">
        <v>57</v>
      </c>
      <c r="AD21" s="21" t="s">
        <v>58</v>
      </c>
      <c r="AO21" s="47"/>
      <c r="AP21" s="47"/>
      <c r="AQ21" s="47"/>
      <c r="AR21" s="47"/>
      <c r="AS21" s="59">
        <f>AS17-(SUM(AS18:AS20))</f>
        <v>70</v>
      </c>
      <c r="AT21" s="59">
        <f t="shared" ref="AT21:AU21" si="2">AT17-(SUM(AT18:AT20))</f>
        <v>0</v>
      </c>
      <c r="AU21" s="59">
        <f t="shared" si="2"/>
        <v>0</v>
      </c>
      <c r="AV21" s="59"/>
      <c r="AW21" s="47"/>
      <c r="AX21" s="47"/>
      <c r="AY21" s="47"/>
      <c r="AZ21" s="47"/>
      <c r="BA21" s="47"/>
      <c r="BB21" s="47"/>
    </row>
    <row r="22" spans="2:54" ht="19.5" customHeight="1" x14ac:dyDescent="0.25">
      <c r="B22" s="264" t="s">
        <v>81</v>
      </c>
      <c r="C22" s="265">
        <f>P6</f>
        <v>2.9</v>
      </c>
      <c r="D22" s="263" t="s">
        <v>79</v>
      </c>
      <c r="E22" s="263">
        <f>P13</f>
        <v>2.5</v>
      </c>
      <c r="F22" s="263" t="s">
        <v>84</v>
      </c>
      <c r="G22" s="263">
        <f>P14</f>
        <v>0.05</v>
      </c>
      <c r="H22" s="263" t="s">
        <v>86</v>
      </c>
      <c r="I22" s="263">
        <f>P19</f>
        <v>1.7</v>
      </c>
      <c r="K22" s="247" t="s">
        <v>347</v>
      </c>
      <c r="M22" s="376"/>
      <c r="N22" s="552"/>
      <c r="O22" s="21" t="s">
        <v>20</v>
      </c>
      <c r="P22" s="32">
        <v>17.5</v>
      </c>
      <c r="Q22" s="21" t="s">
        <v>23</v>
      </c>
      <c r="R22" s="216"/>
      <c r="U22" s="21" t="s">
        <v>50</v>
      </c>
      <c r="V22" s="21" t="s">
        <v>274</v>
      </c>
      <c r="W22" s="21" t="s">
        <v>276</v>
      </c>
      <c r="X22" s="21" t="s">
        <v>277</v>
      </c>
      <c r="Y22" s="21" t="str">
        <f>IF($P$21&lt;=20,"correto","erro")</f>
        <v>erro</v>
      </c>
      <c r="Z22" s="21" t="str">
        <f>IF($P$8&lt;=0.04,"baixo","erro")</f>
        <v>erro</v>
      </c>
      <c r="AA22" s="21" t="str">
        <f>IF(AND($P$8&gt;=0.041,$P$8&lt;=0.1),"medio","erro")</f>
        <v>erro</v>
      </c>
      <c r="AB22" s="21" t="str">
        <f>IF($P$8&gt;0.101,"adequado","erro")</f>
        <v>adequado</v>
      </c>
      <c r="AC22" s="21" t="str">
        <f>IF(Z22="baixo","baixo",IF(AA22="medio","medio",IF(AB22="adequado","adequado",0)))</f>
        <v>adequado</v>
      </c>
      <c r="AD22" s="583" t="str">
        <f>VLOOKUP("correto",Y22:AC23,5,0)</f>
        <v>adequado</v>
      </c>
      <c r="AO22" s="47"/>
      <c r="AP22" s="47"/>
      <c r="AQ22" s="47"/>
      <c r="AR22" s="47"/>
      <c r="AS22" s="47"/>
      <c r="AT22" s="47"/>
      <c r="AU22" s="47"/>
      <c r="AV22" s="47"/>
      <c r="AW22" s="47"/>
      <c r="AX22" s="47"/>
      <c r="AY22" s="47"/>
      <c r="AZ22" s="47"/>
      <c r="BA22" s="47"/>
      <c r="BB22" s="47"/>
    </row>
    <row r="23" spans="2:54" ht="19.5" customHeight="1" x14ac:dyDescent="0.25">
      <c r="B23" s="264" t="s">
        <v>82</v>
      </c>
      <c r="C23" s="265">
        <f>P7</f>
        <v>0.5</v>
      </c>
      <c r="D23" s="263" t="s">
        <v>129</v>
      </c>
      <c r="E23" s="263">
        <f>P11</f>
        <v>4</v>
      </c>
      <c r="F23" s="263" t="s">
        <v>87</v>
      </c>
      <c r="G23" s="263">
        <f>P16</f>
        <v>0.6</v>
      </c>
      <c r="H23" s="263" t="s">
        <v>83</v>
      </c>
      <c r="I23" s="263">
        <f>P15</f>
        <v>2.2999999999999998</v>
      </c>
      <c r="K23" s="247" t="s">
        <v>348</v>
      </c>
      <c r="M23" s="376"/>
      <c r="N23" s="552"/>
      <c r="O23" s="21" t="s">
        <v>21</v>
      </c>
      <c r="P23" s="32">
        <v>16.899999999999999</v>
      </c>
      <c r="Q23" s="21" t="s">
        <v>10</v>
      </c>
      <c r="R23" s="216"/>
      <c r="U23" s="21" t="s">
        <v>61</v>
      </c>
      <c r="V23" s="21" t="s">
        <v>275</v>
      </c>
      <c r="W23" s="21" t="s">
        <v>278</v>
      </c>
      <c r="X23" s="21" t="s">
        <v>279</v>
      </c>
      <c r="Y23" s="21" t="str">
        <f>IF($P$21&gt;20,"correto","erro")</f>
        <v>correto</v>
      </c>
      <c r="Z23" s="21" t="str">
        <f>IF($P$8&lt;=0.06,"baixo","erro")</f>
        <v>erro</v>
      </c>
      <c r="AA23" s="21" t="str">
        <f>IF(AND($P$8&gt;=0.061,$P$8&lt;=0.2),"medio","erro")</f>
        <v>erro</v>
      </c>
      <c r="AB23" s="21" t="str">
        <f>IF($P$8&gt;0.201,"adequado","erro")</f>
        <v>adequado</v>
      </c>
      <c r="AC23" s="21" t="str">
        <f>IF(Z23="baixo","baixo",IF(AA23="medio","medio",IF(AB23="adequado","adequado",0)))</f>
        <v>adequado</v>
      </c>
      <c r="AD23" s="545"/>
      <c r="AO23" s="47"/>
      <c r="AP23" s="47"/>
      <c r="AQ23" s="47"/>
      <c r="AR23" s="47"/>
      <c r="AS23" s="47"/>
      <c r="AT23" s="47"/>
      <c r="AU23" s="47"/>
      <c r="AV23" s="47"/>
      <c r="AW23" s="47"/>
      <c r="AX23" s="47"/>
      <c r="AY23" s="47"/>
      <c r="AZ23" s="47"/>
      <c r="BA23" s="47"/>
      <c r="BB23" s="47"/>
    </row>
    <row r="24" spans="2:54" ht="19.5" customHeight="1" x14ac:dyDescent="0.25">
      <c r="B24" s="264" t="s">
        <v>80</v>
      </c>
      <c r="C24" s="265">
        <f>P8</f>
        <v>0.33</v>
      </c>
      <c r="D24" s="263" t="s">
        <v>130</v>
      </c>
      <c r="E24" s="263">
        <f>P10</f>
        <v>0</v>
      </c>
      <c r="F24" s="263" t="s">
        <v>89</v>
      </c>
      <c r="G24" s="263">
        <f>P17</f>
        <v>84.8</v>
      </c>
      <c r="H24" s="263" t="s">
        <v>131</v>
      </c>
      <c r="I24" s="263">
        <f>P25</f>
        <v>7.7799999999999994</v>
      </c>
      <c r="K24" s="247" t="s">
        <v>349</v>
      </c>
      <c r="M24" s="376"/>
      <c r="N24" s="552"/>
      <c r="O24" s="21" t="s">
        <v>22</v>
      </c>
      <c r="P24" s="263">
        <f>100*(P6+P7+P8+P9)/P25</f>
        <v>48.586118251928028</v>
      </c>
      <c r="Q24" s="21" t="s">
        <v>23</v>
      </c>
      <c r="R24" s="216"/>
      <c r="AO24" s="47"/>
      <c r="AP24" s="47"/>
      <c r="AQ24" s="47"/>
      <c r="AR24" s="47"/>
      <c r="AS24" s="59">
        <f>AS26-(SUM(AS27:AS36))</f>
        <v>1.2</v>
      </c>
      <c r="AT24" s="59">
        <f t="shared" ref="AT24:AV24" si="3">AT26-(SUM(AT27:AT36))</f>
        <v>0</v>
      </c>
      <c r="AU24" s="59">
        <f t="shared" si="3"/>
        <v>0</v>
      </c>
      <c r="AV24" s="59">
        <f t="shared" si="3"/>
        <v>0</v>
      </c>
      <c r="AW24" s="47"/>
      <c r="AX24" s="47"/>
      <c r="AY24" s="47"/>
      <c r="AZ24" s="47"/>
      <c r="BA24" s="47"/>
      <c r="BB24" s="47"/>
    </row>
    <row r="25" spans="2:54" ht="19.5" customHeight="1" thickBot="1" x14ac:dyDescent="0.3">
      <c r="K25" s="247" t="s">
        <v>588</v>
      </c>
      <c r="M25" s="376"/>
      <c r="N25" s="552"/>
      <c r="O25" s="21" t="s">
        <v>24</v>
      </c>
      <c r="P25" s="266">
        <f>(P6+P7+P8+P9+P11)</f>
        <v>7.7799999999999994</v>
      </c>
      <c r="Q25" s="21" t="s">
        <v>55</v>
      </c>
      <c r="R25" s="216"/>
      <c r="AO25" s="47"/>
      <c r="AP25" s="461" t="s">
        <v>258</v>
      </c>
      <c r="AQ25" s="461" t="s">
        <v>259</v>
      </c>
      <c r="AR25" s="461"/>
      <c r="AS25" s="222" t="s">
        <v>84</v>
      </c>
      <c r="AT25" s="222" t="s">
        <v>87</v>
      </c>
      <c r="AU25" s="222" t="s">
        <v>85</v>
      </c>
      <c r="AV25" s="222" t="s">
        <v>86</v>
      </c>
      <c r="AW25" s="47"/>
      <c r="AX25" s="47"/>
      <c r="AY25" s="47"/>
      <c r="AZ25" s="47"/>
      <c r="BA25" s="47"/>
      <c r="BB25" s="47"/>
    </row>
    <row r="26" spans="2:54" ht="19.5" customHeight="1" thickBot="1" x14ac:dyDescent="0.3">
      <c r="B26" s="373" t="s">
        <v>272</v>
      </c>
      <c r="C26" s="374"/>
      <c r="D26" s="374"/>
      <c r="E26" s="374"/>
      <c r="F26" s="374"/>
      <c r="G26" s="374"/>
      <c r="H26" s="374"/>
      <c r="I26" s="375"/>
      <c r="J26" s="267"/>
      <c r="K26" s="247" t="s">
        <v>590</v>
      </c>
      <c r="M26" s="217"/>
      <c r="N26" s="218"/>
      <c r="O26" s="218"/>
      <c r="P26" s="218"/>
      <c r="Q26" s="218"/>
      <c r="R26" s="219"/>
      <c r="U26" s="352" t="s">
        <v>312</v>
      </c>
      <c r="V26" s="353"/>
      <c r="W26" s="353"/>
      <c r="X26" s="353"/>
      <c r="Y26" s="353"/>
      <c r="Z26" s="354"/>
      <c r="AO26" s="47"/>
      <c r="AP26" s="461"/>
      <c r="AQ26" s="461"/>
      <c r="AR26" s="461"/>
      <c r="AS26" s="72">
        <f>AK9</f>
        <v>1.2</v>
      </c>
      <c r="AT26" s="72">
        <f>AK12</f>
        <v>0</v>
      </c>
      <c r="AU26" s="72">
        <f>AK15</f>
        <v>0</v>
      </c>
      <c r="AV26" s="72">
        <f>AK18</f>
        <v>0</v>
      </c>
      <c r="AW26" s="47"/>
      <c r="AX26" s="47"/>
      <c r="AY26" s="47"/>
      <c r="AZ26" s="47"/>
      <c r="BA26" s="47"/>
      <c r="BB26" s="47"/>
    </row>
    <row r="27" spans="2:54" ht="19.5" customHeight="1" thickBot="1" x14ac:dyDescent="0.3">
      <c r="B27" s="554" t="str">
        <f>IF($O$47&gt;0,$O$47,"-")</f>
        <v>AGROSILICIO</v>
      </c>
      <c r="C27" s="554"/>
      <c r="D27" s="268">
        <f>IF(J27&gt;0,J27,"-")</f>
        <v>2.5789473684210518</v>
      </c>
      <c r="E27" s="389" t="str">
        <f>IF(J27&gt;0,"toneladas por hectare ou,","-")</f>
        <v>toneladas por hectare ou,</v>
      </c>
      <c r="F27" s="389"/>
      <c r="G27" s="389"/>
      <c r="H27" s="269" t="s">
        <v>598</v>
      </c>
      <c r="I27" s="269">
        <f>IFERROR((D27*1000*VLOOKUP(B27,$V$56:$W$68,2,0)*$O$34),0)</f>
        <v>1444.2105263157889</v>
      </c>
      <c r="J27" s="270">
        <f>V51</f>
        <v>2.5789473684210518</v>
      </c>
      <c r="K27" s="247" t="s">
        <v>351</v>
      </c>
      <c r="U27" s="21" t="s">
        <v>32</v>
      </c>
      <c r="V27" s="21" t="s">
        <v>64</v>
      </c>
      <c r="W27" s="21" t="s">
        <v>75</v>
      </c>
      <c r="X27" s="21" t="s">
        <v>71</v>
      </c>
      <c r="Y27" s="21" t="s">
        <v>36</v>
      </c>
      <c r="Z27" s="21" t="s">
        <v>35</v>
      </c>
      <c r="AO27" s="47"/>
      <c r="AP27" s="447" t="s">
        <v>261</v>
      </c>
      <c r="AQ27" s="447" t="str">
        <f>B30</f>
        <v>-</v>
      </c>
      <c r="AR27" s="447"/>
      <c r="AS27" s="55">
        <f t="shared" ref="AS27:AS36" si="4">IFERROR(VLOOKUP(AQ27,$V$100:$AL$179,11,0)*0.01*VLOOKUP(AQ27,$B$27:$J$52,9,0),0)</f>
        <v>0</v>
      </c>
      <c r="AT27" s="55">
        <f t="shared" ref="AT27:AT36" si="5">IFERROR(VLOOKUP(AQ27,$V$100:$AL$179,12,0)*0.01*VLOOKUP(AQ27,$B$27:$J$52,9,0),0)</f>
        <v>0</v>
      </c>
      <c r="AU27" s="55">
        <f t="shared" ref="AU27:AU36" si="6">IFERROR(VLOOKUP(AQ27,$V$100:$AL$179,13,0)*0.01*VLOOKUP(AQ27,$B$27:$J$52,9,0),0)</f>
        <v>0</v>
      </c>
      <c r="AV27" s="55">
        <f t="shared" ref="AV27:AV36" si="7">IFERROR(VLOOKUP(AQ27,$V$100:$AL$179,14,0)*0.01*VLOOKUP(AQ27,$B$27:$J$52,9,0),0)</f>
        <v>0</v>
      </c>
      <c r="AW27" s="47"/>
      <c r="AX27" s="47"/>
      <c r="AY27" s="47"/>
      <c r="AZ27" s="47"/>
      <c r="BA27" s="47"/>
      <c r="BB27" s="47"/>
    </row>
    <row r="28" spans="2:54" ht="19.5" customHeight="1" x14ac:dyDescent="0.25">
      <c r="B28" s="554"/>
      <c r="C28" s="554"/>
      <c r="D28" s="271">
        <f>IF(J28&gt;0,J28,"-")</f>
        <v>0.25789473684210518</v>
      </c>
      <c r="E28" s="391" t="str">
        <f>IF(J28&gt;0,"gramas por metro quadrado","-")</f>
        <v>gramas por metro quadrado</v>
      </c>
      <c r="F28" s="391"/>
      <c r="G28" s="391"/>
      <c r="H28" s="272" t="s">
        <v>599</v>
      </c>
      <c r="I28" s="272">
        <f>I27/$E$18</f>
        <v>0.86652631578947326</v>
      </c>
      <c r="J28" s="270">
        <f>J27/10</f>
        <v>0.25789473684210518</v>
      </c>
      <c r="K28" s="247" t="s">
        <v>352</v>
      </c>
      <c r="M28" s="212"/>
      <c r="N28" s="213"/>
      <c r="O28" s="213"/>
      <c r="P28" s="213"/>
      <c r="Q28" s="213"/>
      <c r="R28" s="214"/>
      <c r="U28" s="21">
        <v>30</v>
      </c>
      <c r="V28" s="21">
        <v>35</v>
      </c>
      <c r="W28" s="21" t="s">
        <v>68</v>
      </c>
      <c r="X28" s="21" t="str">
        <f>CONCATENATE(U28," - ",W28)</f>
        <v>30 - baixo</v>
      </c>
      <c r="Y28" s="21">
        <v>20</v>
      </c>
      <c r="Z28" s="21">
        <v>60</v>
      </c>
      <c r="AE28" s="273" t="s">
        <v>63</v>
      </c>
      <c r="AG28" s="21" t="s">
        <v>63</v>
      </c>
      <c r="AI28" s="274" t="s">
        <v>63</v>
      </c>
      <c r="AK28" s="274" t="s">
        <v>63</v>
      </c>
      <c r="AL28" s="21" t="s">
        <v>77</v>
      </c>
      <c r="AO28" s="47"/>
      <c r="AP28" s="447"/>
      <c r="AQ28" s="447" t="str">
        <f>B48</f>
        <v>-</v>
      </c>
      <c r="AR28" s="447"/>
      <c r="AS28" s="55">
        <f t="shared" si="4"/>
        <v>0</v>
      </c>
      <c r="AT28" s="55">
        <f t="shared" si="5"/>
        <v>0</v>
      </c>
      <c r="AU28" s="55">
        <f t="shared" si="6"/>
        <v>0</v>
      </c>
      <c r="AV28" s="55">
        <f t="shared" si="7"/>
        <v>0</v>
      </c>
      <c r="AW28" s="47"/>
      <c r="AX28" s="47"/>
      <c r="AY28" s="47"/>
      <c r="AZ28" s="47"/>
      <c r="BA28" s="47"/>
      <c r="BB28" s="47"/>
    </row>
    <row r="29" spans="2:54" ht="19.5" customHeight="1" x14ac:dyDescent="0.25">
      <c r="D29" s="271"/>
      <c r="E29" s="391"/>
      <c r="F29" s="391"/>
      <c r="G29" s="391"/>
      <c r="H29" s="550"/>
      <c r="I29" s="550"/>
      <c r="J29" s="267"/>
      <c r="K29" s="247" t="s">
        <v>592</v>
      </c>
      <c r="M29" s="376" t="s">
        <v>211</v>
      </c>
      <c r="N29" s="552"/>
      <c r="O29" s="563" t="s">
        <v>600</v>
      </c>
      <c r="P29" s="564"/>
      <c r="Q29" s="565"/>
      <c r="R29" s="216"/>
      <c r="U29" s="21">
        <v>30</v>
      </c>
      <c r="V29" s="21">
        <v>35</v>
      </c>
      <c r="W29" s="21" t="s">
        <v>69</v>
      </c>
      <c r="X29" s="21" t="str">
        <f t="shared" ref="X29:X36" si="8">CONCATENATE(U29," - ",W29)</f>
        <v>30 - medio</v>
      </c>
      <c r="Y29" s="21">
        <v>20</v>
      </c>
      <c r="Z29" s="21">
        <v>60</v>
      </c>
      <c r="AB29" s="582" t="s">
        <v>65</v>
      </c>
      <c r="AC29" s="582"/>
      <c r="AE29" s="273" t="s">
        <v>32</v>
      </c>
      <c r="AG29" s="21" t="s">
        <v>189</v>
      </c>
      <c r="AI29" s="274"/>
      <c r="AK29" s="275" t="str">
        <f>'[1]Adubos e corretivos'!E120</f>
        <v>Composto de lixo (COL)</v>
      </c>
      <c r="AL29" s="276">
        <f>'[1]Adubos e corretivos'!F120</f>
        <v>0.15</v>
      </c>
      <c r="AO29" s="47"/>
      <c r="AP29" s="447"/>
      <c r="AQ29" s="447" t="str">
        <f>B51</f>
        <v>Termofosfato YOORIN</v>
      </c>
      <c r="AR29" s="447"/>
      <c r="AS29" s="55">
        <f t="shared" si="4"/>
        <v>0</v>
      </c>
      <c r="AT29" s="55">
        <f t="shared" si="5"/>
        <v>0</v>
      </c>
      <c r="AU29" s="55">
        <f t="shared" si="6"/>
        <v>0</v>
      </c>
      <c r="AV29" s="55">
        <f t="shared" si="7"/>
        <v>0</v>
      </c>
      <c r="AW29" s="47"/>
      <c r="AX29" s="47"/>
      <c r="AY29" s="47"/>
      <c r="AZ29" s="47"/>
      <c r="BA29" s="47"/>
      <c r="BB29" s="47"/>
    </row>
    <row r="30" spans="2:54" ht="19.5" customHeight="1" x14ac:dyDescent="0.25">
      <c r="B30" s="554" t="str">
        <f>IF($O$50&gt;0,$O$50,"-")</f>
        <v>-</v>
      </c>
      <c r="C30" s="554"/>
      <c r="D30" s="268" t="str">
        <f>IF(J30&gt;0,J30,"-")</f>
        <v>-</v>
      </c>
      <c r="E30" s="391" t="str">
        <f>IF(J30&gt;0,"toneladas por hectare ou,","-")</f>
        <v>-</v>
      </c>
      <c r="F30" s="391"/>
      <c r="G30" s="391"/>
      <c r="H30" s="272" t="s">
        <v>598</v>
      </c>
      <c r="I30" s="272">
        <f>IFERROR((D30*1000*VLOOKUP(B30,$V$87:$W$95,2,0)*$O$34),0)</f>
        <v>0</v>
      </c>
      <c r="J30" s="270">
        <f>Z49</f>
        <v>0</v>
      </c>
      <c r="K30" s="247" t="s">
        <v>353</v>
      </c>
      <c r="M30" s="376"/>
      <c r="N30" s="552"/>
      <c r="O30" s="32"/>
      <c r="P30" s="277" t="s">
        <v>200</v>
      </c>
      <c r="Q30" s="32"/>
      <c r="R30" s="216"/>
      <c r="U30" s="21">
        <v>30</v>
      </c>
      <c r="V30" s="21">
        <v>35</v>
      </c>
      <c r="W30" s="21" t="s">
        <v>70</v>
      </c>
      <c r="X30" s="21" t="str">
        <f t="shared" si="8"/>
        <v>30 - adequado</v>
      </c>
      <c r="Y30" s="21">
        <v>20</v>
      </c>
      <c r="Z30" s="21">
        <v>60</v>
      </c>
      <c r="AB30" s="31" t="s">
        <v>33</v>
      </c>
      <c r="AC30" s="277">
        <f>(VLOOKUP($P$39,$U$28:$V$36,2,0))/AD30</f>
        <v>70</v>
      </c>
      <c r="AD30" s="278">
        <f>'[1]Abacate formação'!AD30</f>
        <v>1</v>
      </c>
      <c r="AE30" s="273" t="s">
        <v>330</v>
      </c>
      <c r="AG30" s="21" t="s">
        <v>190</v>
      </c>
      <c r="AI30" s="274">
        <v>0</v>
      </c>
      <c r="AK30" s="279" t="str">
        <f>'[1]Adubos e corretivos'!E121</f>
        <v>Cama de frango corte</v>
      </c>
      <c r="AL30" s="280">
        <f>'[1]Adubos e corretivos'!F121</f>
        <v>0.25</v>
      </c>
      <c r="AO30" s="47"/>
      <c r="AP30" s="447"/>
      <c r="AQ30" s="447" t="str">
        <f>B54</f>
        <v>-</v>
      </c>
      <c r="AR30" s="447"/>
      <c r="AS30" s="55">
        <f t="shared" si="4"/>
        <v>0</v>
      </c>
      <c r="AT30" s="55">
        <f t="shared" si="5"/>
        <v>0</v>
      </c>
      <c r="AU30" s="55">
        <f t="shared" si="6"/>
        <v>0</v>
      </c>
      <c r="AV30" s="55">
        <f t="shared" si="7"/>
        <v>0</v>
      </c>
      <c r="AW30" s="47"/>
      <c r="AX30" s="47"/>
      <c r="AY30" s="47"/>
      <c r="AZ30" s="47"/>
      <c r="BA30" s="47"/>
      <c r="BB30" s="47"/>
    </row>
    <row r="31" spans="2:54" ht="19.5" customHeight="1" x14ac:dyDescent="0.25">
      <c r="B31" s="554"/>
      <c r="C31" s="554"/>
      <c r="D31" s="271" t="str">
        <f>IF(J31&gt;0,J31,"-")</f>
        <v>-</v>
      </c>
      <c r="E31" s="391" t="str">
        <f>IF(J31&gt;0,"gramas por metro quadrado","-")</f>
        <v>-</v>
      </c>
      <c r="F31" s="391"/>
      <c r="G31" s="391"/>
      <c r="H31" s="272" t="s">
        <v>599</v>
      </c>
      <c r="I31" s="272">
        <f>I30/E18</f>
        <v>0</v>
      </c>
      <c r="J31" s="270">
        <f>J30/10</f>
        <v>0</v>
      </c>
      <c r="K31" s="247" t="s">
        <v>354</v>
      </c>
      <c r="M31" s="376"/>
      <c r="N31" s="552"/>
      <c r="O31" s="563" t="s">
        <v>601</v>
      </c>
      <c r="P31" s="564"/>
      <c r="Q31" s="565"/>
      <c r="R31" s="216"/>
      <c r="U31" s="21">
        <v>60</v>
      </c>
      <c r="V31" s="21">
        <v>70</v>
      </c>
      <c r="W31" s="21" t="s">
        <v>68</v>
      </c>
      <c r="X31" s="21" t="str">
        <f t="shared" si="8"/>
        <v>60 - baixo</v>
      </c>
      <c r="Y31" s="21">
        <v>40</v>
      </c>
      <c r="Z31" s="21">
        <v>120</v>
      </c>
      <c r="AB31" s="31" t="s">
        <v>66</v>
      </c>
      <c r="AC31" s="31">
        <f>(VLOOKUP(AB36,X28:Z36,2,0))/AD31</f>
        <v>40</v>
      </c>
      <c r="AD31" s="278">
        <f>'[1]Abacate formação'!AD31</f>
        <v>1</v>
      </c>
      <c r="AE31" s="273">
        <v>30</v>
      </c>
      <c r="AG31" s="281">
        <f>10000/((($O$32/2)+($P$32/2))*$Q$32)</f>
        <v>1666.6666666666667</v>
      </c>
      <c r="AI31" s="274">
        <v>0.1</v>
      </c>
      <c r="AK31" s="275" t="str">
        <f>'[1]Adubos e corretivos'!E122</f>
        <v>Esterco de galinha</v>
      </c>
      <c r="AL31" s="276">
        <f>'[1]Adubos e corretivos'!F122</f>
        <v>0.25</v>
      </c>
      <c r="AO31" s="47"/>
      <c r="AP31" s="447"/>
      <c r="AQ31" s="447" t="str">
        <f>B57</f>
        <v>Kmag</v>
      </c>
      <c r="AR31" s="447"/>
      <c r="AS31" s="55">
        <f t="shared" si="4"/>
        <v>0</v>
      </c>
      <c r="AT31" s="55">
        <f t="shared" si="5"/>
        <v>0</v>
      </c>
      <c r="AU31" s="55">
        <f t="shared" si="6"/>
        <v>0</v>
      </c>
      <c r="AV31" s="55">
        <f t="shared" si="7"/>
        <v>0</v>
      </c>
      <c r="AW31" s="47"/>
      <c r="AX31" s="47"/>
      <c r="AY31" s="47"/>
      <c r="AZ31" s="47"/>
      <c r="BA31" s="47"/>
      <c r="BB31" s="47"/>
    </row>
    <row r="32" spans="2:54" ht="19.5" customHeight="1" x14ac:dyDescent="0.25">
      <c r="K32" s="247" t="s">
        <v>355</v>
      </c>
      <c r="M32" s="376"/>
      <c r="N32" s="552"/>
      <c r="O32" s="32">
        <v>4</v>
      </c>
      <c r="P32" s="32">
        <v>2</v>
      </c>
      <c r="Q32" s="32">
        <v>2</v>
      </c>
      <c r="R32" s="216"/>
      <c r="U32" s="21">
        <v>60</v>
      </c>
      <c r="V32" s="21">
        <v>70</v>
      </c>
      <c r="W32" s="21" t="s">
        <v>69</v>
      </c>
      <c r="X32" s="21" t="str">
        <f t="shared" si="8"/>
        <v>60 - medio</v>
      </c>
      <c r="Y32" s="21">
        <v>40</v>
      </c>
      <c r="Z32" s="21">
        <v>120</v>
      </c>
      <c r="AB32" s="31" t="s">
        <v>67</v>
      </c>
      <c r="AC32" s="31">
        <f>(VLOOKUP($AB$39,X28:Z36,3,0))/AD32</f>
        <v>120</v>
      </c>
      <c r="AD32" s="278">
        <f>'[1]Abacate formação'!AD32</f>
        <v>1</v>
      </c>
      <c r="AE32" s="273">
        <v>60</v>
      </c>
      <c r="AI32" s="274">
        <v>0.2</v>
      </c>
      <c r="AK32" s="279" t="str">
        <f>'[1]Adubos e corretivos'!E123</f>
        <v>Esterco Bovino curtido</v>
      </c>
      <c r="AL32" s="280">
        <f>'[1]Adubos e corretivos'!F123</f>
        <v>0.25</v>
      </c>
      <c r="AO32" s="47"/>
      <c r="AP32" s="447"/>
      <c r="AQ32" s="447" t="str">
        <f>B60</f>
        <v>-</v>
      </c>
      <c r="AR32" s="447"/>
      <c r="AS32" s="55">
        <f t="shared" si="4"/>
        <v>0</v>
      </c>
      <c r="AT32" s="55">
        <f t="shared" si="5"/>
        <v>0</v>
      </c>
      <c r="AU32" s="55">
        <f t="shared" si="6"/>
        <v>0</v>
      </c>
      <c r="AV32" s="55">
        <f t="shared" si="7"/>
        <v>0</v>
      </c>
      <c r="AW32" s="47"/>
      <c r="AX32" s="47"/>
      <c r="AY32" s="47"/>
      <c r="AZ32" s="47"/>
      <c r="BA32" s="47"/>
      <c r="BB32" s="47"/>
    </row>
    <row r="33" spans="2:57" ht="19.5" customHeight="1" x14ac:dyDescent="0.25">
      <c r="B33" s="553" t="s">
        <v>533</v>
      </c>
      <c r="C33" s="553"/>
      <c r="D33" s="553"/>
      <c r="E33" s="553"/>
      <c r="F33" s="553"/>
      <c r="G33" s="553"/>
      <c r="H33" s="553"/>
      <c r="I33" s="553"/>
      <c r="K33" s="247" t="s">
        <v>593</v>
      </c>
      <c r="M33" s="376"/>
      <c r="N33" s="552"/>
      <c r="O33" s="563" t="s">
        <v>602</v>
      </c>
      <c r="P33" s="564"/>
      <c r="Q33" s="565"/>
      <c r="R33" s="216"/>
      <c r="U33" s="21">
        <v>60</v>
      </c>
      <c r="V33" s="21">
        <v>70</v>
      </c>
      <c r="W33" s="21" t="s">
        <v>70</v>
      </c>
      <c r="X33" s="21" t="str">
        <f t="shared" si="8"/>
        <v>60 - adequado</v>
      </c>
      <c r="Y33" s="21">
        <v>40</v>
      </c>
      <c r="Z33" s="21">
        <v>120</v>
      </c>
      <c r="AE33" s="273">
        <v>120</v>
      </c>
      <c r="AI33" s="274">
        <v>0.3</v>
      </c>
      <c r="AK33" s="275" t="str">
        <f>'[1]Adubos e corretivos'!E124</f>
        <v>Esterco de equino</v>
      </c>
      <c r="AL33" s="276">
        <f>'[1]Adubos e corretivos'!F124</f>
        <v>0.12</v>
      </c>
      <c r="AO33" s="47"/>
      <c r="AP33" s="447"/>
      <c r="AQ33" s="447" t="str">
        <f>B63</f>
        <v>-</v>
      </c>
      <c r="AR33" s="447"/>
      <c r="AS33" s="55">
        <f t="shared" si="4"/>
        <v>0</v>
      </c>
      <c r="AT33" s="55">
        <f t="shared" si="5"/>
        <v>0</v>
      </c>
      <c r="AU33" s="55">
        <f t="shared" si="6"/>
        <v>0</v>
      </c>
      <c r="AV33" s="55">
        <f t="shared" si="7"/>
        <v>0</v>
      </c>
      <c r="AW33" s="47"/>
      <c r="AX33" s="47"/>
      <c r="AY33" s="47"/>
      <c r="AZ33" s="47"/>
      <c r="BA33" s="47"/>
      <c r="BB33" s="47"/>
    </row>
    <row r="34" spans="2:57" ht="19.5" customHeight="1" x14ac:dyDescent="0.25">
      <c r="B34" s="553"/>
      <c r="C34" s="553"/>
      <c r="D34" s="553"/>
      <c r="E34" s="553"/>
      <c r="F34" s="553"/>
      <c r="G34" s="553"/>
      <c r="H34" s="553"/>
      <c r="I34" s="553"/>
      <c r="J34" s="282"/>
      <c r="K34" s="247" t="s">
        <v>594</v>
      </c>
      <c r="M34" s="376"/>
      <c r="N34" s="552"/>
      <c r="O34" s="448">
        <v>1</v>
      </c>
      <c r="P34" s="448"/>
      <c r="Q34" s="448"/>
      <c r="R34" s="216"/>
      <c r="U34" s="21">
        <v>120</v>
      </c>
      <c r="V34" s="21">
        <v>70</v>
      </c>
      <c r="W34" s="21" t="s">
        <v>68</v>
      </c>
      <c r="X34" s="21" t="str">
        <f t="shared" si="8"/>
        <v>120 - baixo</v>
      </c>
      <c r="Y34" s="21">
        <v>40</v>
      </c>
      <c r="Z34" s="21">
        <v>120</v>
      </c>
      <c r="AI34" s="274">
        <v>0.4</v>
      </c>
      <c r="AK34" s="279" t="str">
        <f>'[1]Adubos e corretivos'!E125</f>
        <v>Esterco de suínos</v>
      </c>
      <c r="AL34" s="280">
        <f>'[1]Adubos e corretivos'!F125</f>
        <v>0.04</v>
      </c>
      <c r="AO34" s="47"/>
      <c r="AP34" s="447"/>
      <c r="AQ34" s="447" t="str">
        <f>B66</f>
        <v>Torta de mamona Hortibraz</v>
      </c>
      <c r="AR34" s="447"/>
      <c r="AS34" s="55">
        <f t="shared" si="4"/>
        <v>0</v>
      </c>
      <c r="AT34" s="55">
        <f t="shared" si="5"/>
        <v>0</v>
      </c>
      <c r="AU34" s="55">
        <f t="shared" si="6"/>
        <v>0</v>
      </c>
      <c r="AV34" s="55">
        <f t="shared" si="7"/>
        <v>0</v>
      </c>
      <c r="AW34" s="47"/>
      <c r="AX34" s="47"/>
      <c r="AY34" s="47"/>
      <c r="AZ34" s="47"/>
      <c r="BA34" s="47"/>
      <c r="BB34" s="47"/>
    </row>
    <row r="35" spans="2:57" ht="19.5" customHeight="1" thickBot="1" x14ac:dyDescent="0.3">
      <c r="B35" s="553"/>
      <c r="C35" s="553"/>
      <c r="D35" s="553"/>
      <c r="E35" s="553"/>
      <c r="F35" s="553"/>
      <c r="G35" s="553"/>
      <c r="H35" s="553"/>
      <c r="I35" s="553"/>
      <c r="J35" s="282"/>
      <c r="K35" s="252"/>
      <c r="M35" s="217"/>
      <c r="N35" s="218"/>
      <c r="O35" s="283">
        <f>IFERROR(IF(ISERR(P35),Q35,IF(ISERR(Q35),P35)),"-")</f>
        <v>1666.6666666666667</v>
      </c>
      <c r="P35" s="284" t="e">
        <f>10000/($O$30*$Q$30)</f>
        <v>#DIV/0!</v>
      </c>
      <c r="Q35" s="284">
        <f>10000/((($O$32/2)+($P$32/2))*$Q$32)</f>
        <v>1666.6666666666667</v>
      </c>
      <c r="R35" s="219"/>
      <c r="U35" s="21">
        <v>120</v>
      </c>
      <c r="V35" s="21">
        <v>70</v>
      </c>
      <c r="W35" s="21" t="s">
        <v>69</v>
      </c>
      <c r="X35" s="21" t="str">
        <f t="shared" si="8"/>
        <v>120 - medio</v>
      </c>
      <c r="Y35" s="21">
        <v>40</v>
      </c>
      <c r="Z35" s="21">
        <v>120</v>
      </c>
      <c r="AB35" s="538" t="s">
        <v>72</v>
      </c>
      <c r="AC35" s="538"/>
      <c r="AI35" s="274">
        <v>0.5</v>
      </c>
      <c r="AK35" s="275" t="str">
        <f>'[1]Adubos e corretivos'!E126</f>
        <v>Esterco de ovinos</v>
      </c>
      <c r="AL35" s="276">
        <f>'[1]Adubos e corretivos'!F126</f>
        <v>0.04</v>
      </c>
      <c r="AO35" s="47"/>
      <c r="AP35" s="447"/>
      <c r="AQ35" s="447" t="str">
        <f>B69</f>
        <v>-</v>
      </c>
      <c r="AR35" s="447"/>
      <c r="AS35" s="55">
        <f t="shared" si="4"/>
        <v>0</v>
      </c>
      <c r="AT35" s="55">
        <f t="shared" si="5"/>
        <v>0</v>
      </c>
      <c r="AU35" s="55">
        <f t="shared" si="6"/>
        <v>0</v>
      </c>
      <c r="AV35" s="55">
        <f t="shared" si="7"/>
        <v>0</v>
      </c>
      <c r="AW35" s="47"/>
      <c r="AX35" s="47"/>
      <c r="AY35" s="47"/>
      <c r="AZ35" s="47"/>
      <c r="BA35" s="47"/>
      <c r="BB35" s="47"/>
    </row>
    <row r="36" spans="2:57" ht="19.5" customHeight="1" thickBot="1" x14ac:dyDescent="0.3">
      <c r="J36" s="267"/>
      <c r="K36" s="282"/>
      <c r="M36" s="394"/>
      <c r="N36" s="394"/>
      <c r="O36" s="394"/>
      <c r="P36" s="394"/>
      <c r="Q36" s="394"/>
      <c r="R36" s="394"/>
      <c r="U36" s="21">
        <v>120</v>
      </c>
      <c r="V36" s="21">
        <v>70</v>
      </c>
      <c r="W36" s="21" t="s">
        <v>70</v>
      </c>
      <c r="X36" s="21" t="str">
        <f t="shared" si="8"/>
        <v>120 - adequado</v>
      </c>
      <c r="Y36" s="21">
        <v>40</v>
      </c>
      <c r="Z36" s="21">
        <v>120</v>
      </c>
      <c r="AB36" s="538" t="str">
        <f>CONCATENATE($P$39," - ",$AD$8)</f>
        <v>120 - baixo</v>
      </c>
      <c r="AC36" s="538"/>
      <c r="AI36" s="274">
        <v>0.6</v>
      </c>
      <c r="AK36" s="279" t="str">
        <f>'[1]Adubos e corretivos'!E127</f>
        <v>Lodo de esgosto</v>
      </c>
      <c r="AL36" s="280">
        <f>'[1]Adubos e corretivos'!F127</f>
        <v>0.1</v>
      </c>
      <c r="AO36" s="47"/>
      <c r="AP36" s="447"/>
      <c r="AQ36" s="447" t="str">
        <f>B72</f>
        <v>-</v>
      </c>
      <c r="AR36" s="447"/>
      <c r="AS36" s="55">
        <f t="shared" si="4"/>
        <v>0</v>
      </c>
      <c r="AT36" s="55">
        <f t="shared" si="5"/>
        <v>0</v>
      </c>
      <c r="AU36" s="55">
        <f t="shared" si="6"/>
        <v>0</v>
      </c>
      <c r="AV36" s="55">
        <f t="shared" si="7"/>
        <v>0</v>
      </c>
      <c r="AW36" s="47"/>
      <c r="AX36" s="47"/>
      <c r="AY36" s="47"/>
      <c r="AZ36" s="47"/>
      <c r="BA36" s="47"/>
      <c r="BB36" s="47"/>
    </row>
    <row r="37" spans="2:57" ht="19.5" customHeight="1" thickBot="1" x14ac:dyDescent="0.3">
      <c r="B37" s="373" t="s">
        <v>184</v>
      </c>
      <c r="C37" s="374"/>
      <c r="D37" s="374"/>
      <c r="E37" s="374"/>
      <c r="F37" s="374"/>
      <c r="G37" s="374"/>
      <c r="H37" s="374"/>
      <c r="I37" s="375"/>
      <c r="J37" s="267"/>
      <c r="K37" s="282"/>
      <c r="M37" s="212"/>
      <c r="N37" s="213"/>
      <c r="O37" s="213"/>
      <c r="P37" s="213"/>
      <c r="Q37" s="213"/>
      <c r="R37" s="214"/>
      <c r="AI37" s="274">
        <v>0.7</v>
      </c>
      <c r="AK37" s="275" t="str">
        <f>'[1]Adubos e corretivos'!E128</f>
        <v>Compostos orgânicos</v>
      </c>
      <c r="AL37" s="276">
        <f>'[1]Adubos e corretivos'!F128</f>
        <v>0.7</v>
      </c>
      <c r="AO37" s="85"/>
      <c r="AP37" s="85"/>
      <c r="AQ37" s="85"/>
      <c r="AR37" s="85"/>
      <c r="AS37" s="59">
        <f>IF(AS24&gt;0,AS24,0)</f>
        <v>1.2</v>
      </c>
      <c r="AT37" s="59">
        <f>IF(AT24&gt;0,AT24,0)</f>
        <v>0</v>
      </c>
      <c r="AU37" s="59">
        <f>IF(AU24&gt;0,AU24,0)</f>
        <v>0</v>
      </c>
      <c r="AV37" s="59">
        <f>IF(AV24&gt;0,AV24,0)</f>
        <v>0</v>
      </c>
      <c r="AW37" s="47"/>
      <c r="AX37" s="47"/>
      <c r="AY37" s="47"/>
      <c r="AZ37" s="47"/>
      <c r="BA37" s="47"/>
      <c r="BB37" s="47"/>
    </row>
    <row r="38" spans="2:57" ht="19.5" customHeight="1" x14ac:dyDescent="0.25">
      <c r="B38" s="554" t="str">
        <f>IF($O$56&gt;0,$O$56,"-")</f>
        <v>Gesso Agronelli</v>
      </c>
      <c r="C38" s="554"/>
      <c r="D38" s="285">
        <f>IF(J38&gt;0,J38,"-")</f>
        <v>356.25</v>
      </c>
      <c r="E38" s="389" t="str">
        <f>IF(J38&gt;0,"quilos por hectare ou,","-")</f>
        <v>quilos por hectare ou,</v>
      </c>
      <c r="F38" s="389"/>
      <c r="G38" s="389"/>
      <c r="H38" s="269" t="s">
        <v>598</v>
      </c>
      <c r="I38" s="269">
        <f>IFERROR((D38*VLOOKUP(B38,$V$73:$W$82,2,0)*$O$34),0)</f>
        <v>270.75</v>
      </c>
      <c r="J38" s="286">
        <f>IF(O60="Não",P21*7.5, AE46)</f>
        <v>356.25</v>
      </c>
      <c r="K38" s="282"/>
      <c r="M38" s="376" t="s">
        <v>212</v>
      </c>
      <c r="N38" s="391"/>
      <c r="O38" s="582" t="s">
        <v>198</v>
      </c>
      <c r="P38" s="582"/>
      <c r="Q38" s="582"/>
      <c r="R38" s="216"/>
      <c r="AB38" s="538" t="s">
        <v>73</v>
      </c>
      <c r="AC38" s="538"/>
      <c r="AI38" s="274">
        <v>0.8</v>
      </c>
      <c r="AO38" s="47"/>
      <c r="AP38" s="47"/>
      <c r="AQ38" s="47"/>
      <c r="AR38" s="47"/>
      <c r="AS38" s="47"/>
      <c r="AT38" s="47"/>
      <c r="AU38" s="47"/>
      <c r="AV38" s="47"/>
      <c r="AW38" s="47"/>
      <c r="AX38" s="47"/>
      <c r="AY38" s="47"/>
      <c r="AZ38" s="47"/>
      <c r="BA38" s="47"/>
      <c r="BB38" s="47"/>
    </row>
    <row r="39" spans="2:57" ht="19.5" customHeight="1" x14ac:dyDescent="0.25">
      <c r="B39" s="554"/>
      <c r="C39" s="554"/>
      <c r="D39" s="285">
        <f>IF(J39&gt;0,J39,"-")</f>
        <v>35.625</v>
      </c>
      <c r="E39" s="391" t="str">
        <f>IF(J39&gt;0,"gramas por metro quadrado","-")</f>
        <v>gramas por metro quadrado</v>
      </c>
      <c r="F39" s="391"/>
      <c r="G39" s="391"/>
      <c r="H39" s="272" t="s">
        <v>603</v>
      </c>
      <c r="I39" s="272">
        <f>I38/$E$18</f>
        <v>0.16244999999999998</v>
      </c>
      <c r="J39" s="286">
        <f>J38/10</f>
        <v>35.625</v>
      </c>
      <c r="K39" s="282"/>
      <c r="M39" s="376"/>
      <c r="N39" s="391"/>
      <c r="O39" s="21" t="s">
        <v>330</v>
      </c>
      <c r="P39" s="448">
        <v>120</v>
      </c>
      <c r="Q39" s="448"/>
      <c r="R39" s="216"/>
      <c r="AB39" s="538" t="str">
        <f>CONCATENATE($P$39," - ",$AD$22)</f>
        <v>120 - adequado</v>
      </c>
      <c r="AC39" s="538"/>
      <c r="AI39" s="274">
        <v>0.9</v>
      </c>
      <c r="AO39" s="47"/>
      <c r="AP39" s="447" t="s">
        <v>261</v>
      </c>
      <c r="AQ39" s="447"/>
      <c r="AR39" s="220" t="s">
        <v>84</v>
      </c>
      <c r="AS39" s="220" t="s">
        <v>87</v>
      </c>
      <c r="AT39" s="220" t="s">
        <v>85</v>
      </c>
      <c r="AU39" s="220" t="s">
        <v>86</v>
      </c>
      <c r="AV39" s="220" t="s">
        <v>225</v>
      </c>
      <c r="AW39" s="220" t="s">
        <v>84</v>
      </c>
      <c r="AX39" s="220" t="s">
        <v>87</v>
      </c>
      <c r="AY39" s="220" t="s">
        <v>85</v>
      </c>
      <c r="AZ39" s="220" t="s">
        <v>86</v>
      </c>
      <c r="BA39" s="47"/>
      <c r="BB39" s="47"/>
    </row>
    <row r="40" spans="2:57" ht="19.5" customHeight="1" x14ac:dyDescent="0.25">
      <c r="J40" s="267"/>
      <c r="K40" s="282"/>
      <c r="M40" s="376"/>
      <c r="N40" s="391"/>
      <c r="O40" s="215"/>
      <c r="P40" s="215"/>
      <c r="Q40" s="215"/>
      <c r="R40" s="216"/>
      <c r="AI40" s="274">
        <v>1</v>
      </c>
      <c r="AO40" s="47"/>
      <c r="AP40" s="447" t="str">
        <f>O102</f>
        <v>Ácido Bórico</v>
      </c>
      <c r="AQ40" s="447"/>
      <c r="AR40" s="55">
        <f>IFERROR($AS$37/((VLOOKUP(AP40,$V$100:$AO$179,11,0)*0.01)),0)</f>
        <v>6.8571428571428559</v>
      </c>
      <c r="AS40" s="55">
        <f>IFERROR($AT$37/((VLOOKUP(AP40,$V$100:$AO$179,14,0)*0.01)),0)</f>
        <v>0</v>
      </c>
      <c r="AT40" s="55">
        <f>IFERROR($AU$37/((VLOOKUP(AP40,$V$100:$AO$179,12,0)*0.01)),0)</f>
        <v>0</v>
      </c>
      <c r="AU40" s="55">
        <f>IFERROR($AV$37/((VLOOKUP(AP40,$V$100:$AO$179,13,0)*0.01)),0)</f>
        <v>0</v>
      </c>
      <c r="AV40" s="55">
        <f>MAX(AR40:AU40)</f>
        <v>6.8571428571428559</v>
      </c>
      <c r="AW40" s="55">
        <f>IFERROR(AV40*(VLOOKUP(AP40,$V$100:$AO$179,11,0)*0.01),0)</f>
        <v>1.2</v>
      </c>
      <c r="AX40" s="55">
        <f>IFERROR(AV40*(VLOOKUP(AP40,$V$100:$AO$179,14,0)*0.01),0)</f>
        <v>0</v>
      </c>
      <c r="AY40" s="55">
        <f>IFERROR(AV40*(VLOOKUP(AP40,$V$100:$AO$179,12,0)*0.01),0)</f>
        <v>0</v>
      </c>
      <c r="AZ40" s="55">
        <f>IFERROR(AV40*(VLOOKUP(AP40,$V$100:$AO$179,13,0)*0.01),0)</f>
        <v>0</v>
      </c>
      <c r="BA40" s="47"/>
      <c r="BB40" s="47"/>
    </row>
    <row r="41" spans="2:57" ht="19.5" customHeight="1" x14ac:dyDescent="0.25">
      <c r="B41" s="553" t="s">
        <v>534</v>
      </c>
      <c r="C41" s="553"/>
      <c r="D41" s="553"/>
      <c r="E41" s="553"/>
      <c r="F41" s="553"/>
      <c r="G41" s="553"/>
      <c r="H41" s="553"/>
      <c r="I41" s="553"/>
      <c r="J41" s="267"/>
      <c r="K41" s="282"/>
      <c r="M41" s="376"/>
      <c r="N41" s="391"/>
      <c r="O41" s="582" t="s">
        <v>308</v>
      </c>
      <c r="P41" s="582"/>
      <c r="Q41" s="582"/>
      <c r="R41" s="216"/>
      <c r="AO41" s="47"/>
      <c r="AP41" s="447" t="str">
        <f>O103</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9">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15"/>
      <c r="BD41" s="215"/>
      <c r="BE41" s="215"/>
    </row>
    <row r="42" spans="2:57" ht="19.5" customHeight="1" x14ac:dyDescent="0.25">
      <c r="B42" s="553"/>
      <c r="C42" s="553"/>
      <c r="D42" s="553"/>
      <c r="E42" s="553"/>
      <c r="F42" s="553"/>
      <c r="G42" s="553"/>
      <c r="H42" s="553"/>
      <c r="I42" s="553"/>
      <c r="J42" s="267"/>
      <c r="K42" s="282"/>
      <c r="M42" s="376"/>
      <c r="N42" s="391"/>
      <c r="O42" s="483"/>
      <c r="P42" s="513"/>
      <c r="Q42" s="484"/>
      <c r="R42" s="216"/>
      <c r="AO42" s="47"/>
      <c r="AP42" s="447" t="str">
        <f>O104</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9"/>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19.5" customHeight="1" thickBot="1" x14ac:dyDescent="0.3">
      <c r="J43" s="267"/>
      <c r="K43" s="282"/>
      <c r="M43" s="217"/>
      <c r="N43" s="218"/>
      <c r="O43" s="218"/>
      <c r="P43" s="218"/>
      <c r="Q43" s="218"/>
      <c r="R43" s="219"/>
      <c r="AO43" s="47"/>
      <c r="AP43" s="447" t="str">
        <f>O105</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9"/>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19.5" customHeight="1" thickBot="1" x14ac:dyDescent="0.3">
      <c r="B44" s="577" t="s">
        <v>267</v>
      </c>
      <c r="C44" s="578"/>
      <c r="D44" s="578"/>
      <c r="E44" s="578"/>
      <c r="F44" s="578"/>
      <c r="G44" s="578"/>
      <c r="H44" s="578"/>
      <c r="I44" s="579"/>
      <c r="J44" s="286">
        <f>AV6</f>
        <v>0</v>
      </c>
      <c r="K44" s="282"/>
      <c r="M44" s="389"/>
      <c r="N44" s="389"/>
      <c r="O44" s="389"/>
      <c r="P44" s="389"/>
      <c r="Q44" s="389"/>
      <c r="R44" s="389"/>
      <c r="AO44" s="47"/>
      <c r="AP44" s="447">
        <f>O106</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19.5" customHeight="1" x14ac:dyDescent="0.25">
      <c r="B45" s="580" t="str">
        <f>IF(O42&gt;0,O42,"-")</f>
        <v>-</v>
      </c>
      <c r="C45" s="580"/>
      <c r="D45" s="287">
        <f>IFERROR((D46*$E$18),0)</f>
        <v>0</v>
      </c>
      <c r="E45" s="389" t="str">
        <f>IF(AQ58&gt;0,"quilos para área total","-")</f>
        <v>-</v>
      </c>
      <c r="F45" s="389"/>
      <c r="G45" s="389"/>
      <c r="H45" s="269" t="s">
        <v>598</v>
      </c>
      <c r="I45" s="272">
        <f>I46*$E$18*$I$18</f>
        <v>0</v>
      </c>
      <c r="J45" s="286">
        <f>AV7</f>
        <v>228.57142857142858</v>
      </c>
      <c r="K45" s="282"/>
      <c r="M45" s="212"/>
      <c r="N45" s="213"/>
      <c r="O45" s="581" t="s">
        <v>604</v>
      </c>
      <c r="P45" s="581"/>
      <c r="Q45" s="581"/>
      <c r="R45" s="214"/>
      <c r="U45" s="352" t="s">
        <v>108</v>
      </c>
      <c r="V45" s="354"/>
      <c r="X45" s="538" t="s">
        <v>202</v>
      </c>
      <c r="Y45" s="538"/>
      <c r="Z45" s="538"/>
      <c r="AB45" s="21" t="s">
        <v>605</v>
      </c>
      <c r="AC45" s="21" t="str">
        <f>IF($P$63&lt;=0.5,"Sim","Não")</f>
        <v>Não</v>
      </c>
      <c r="AD45" s="21" t="s">
        <v>190</v>
      </c>
      <c r="AE45" s="21">
        <f>P21*7.5</f>
        <v>356.25</v>
      </c>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19.5" customHeight="1" x14ac:dyDescent="0.25">
      <c r="B46" s="554"/>
      <c r="C46" s="554"/>
      <c r="D46" s="288" t="str">
        <f>IF(AQ58&gt;0,AQ58,"-")</f>
        <v>-</v>
      </c>
      <c r="E46" s="391" t="str">
        <f>IF(AQ58&gt;0,"quilos por cova ou planta","-")</f>
        <v>-</v>
      </c>
      <c r="F46" s="391"/>
      <c r="G46" s="391"/>
      <c r="H46" s="272" t="s">
        <v>603</v>
      </c>
      <c r="I46" s="272">
        <f>IFERROR(D46*VLOOKUP(B45,$AK$29:$AL$38,2,0),0)</f>
        <v>0</v>
      </c>
      <c r="J46" s="286">
        <f>AV8</f>
        <v>0</v>
      </c>
      <c r="K46" s="282"/>
      <c r="M46" s="376" t="s">
        <v>213</v>
      </c>
      <c r="N46" s="391"/>
      <c r="O46" s="576"/>
      <c r="P46" s="576"/>
      <c r="Q46" s="576"/>
      <c r="R46" s="216"/>
      <c r="U46" s="21" t="s">
        <v>109</v>
      </c>
      <c r="V46" s="289">
        <f>'[1]Adubos e corretivos'!C122</f>
        <v>70</v>
      </c>
      <c r="X46" s="574" t="s">
        <v>268</v>
      </c>
      <c r="Y46" s="574"/>
      <c r="Z46" s="263">
        <f>IFERROR(VLOOKUP(O50,$V$87:$AE$95,10,0),0)</f>
        <v>0</v>
      </c>
      <c r="AB46" s="21" t="s">
        <v>606</v>
      </c>
      <c r="AC46" s="21" t="str">
        <f>IF($P$64&gt;=0.5,"Sim","Não")</f>
        <v>Não</v>
      </c>
      <c r="AD46" s="21" t="s">
        <v>189</v>
      </c>
      <c r="AE46" s="21">
        <f>IF(OR(AC45="Sim",AC46="Sim",AC47="Sim"),P21*7.5,0)</f>
        <v>356.25</v>
      </c>
      <c r="AO46" s="47"/>
      <c r="AP46" s="47"/>
      <c r="AQ46" s="47"/>
      <c r="AR46" s="47"/>
      <c r="AS46" s="47"/>
      <c r="AT46" s="47"/>
      <c r="AU46" s="47"/>
      <c r="AV46" s="47"/>
      <c r="AW46" s="47"/>
      <c r="AX46" s="47"/>
      <c r="AY46" s="47"/>
      <c r="AZ46" s="47"/>
      <c r="BA46" s="47"/>
      <c r="BB46" s="47"/>
    </row>
    <row r="47" spans="2:57" ht="19.5" customHeight="1" x14ac:dyDescent="0.25">
      <c r="D47" s="290"/>
      <c r="J47" s="286">
        <f>AV12</f>
        <v>571.42857142857144</v>
      </c>
      <c r="K47" s="282"/>
      <c r="M47" s="376"/>
      <c r="N47" s="391"/>
      <c r="O47" s="483" t="s">
        <v>607</v>
      </c>
      <c r="P47" s="484"/>
      <c r="Q47" s="92">
        <v>1</v>
      </c>
      <c r="R47" s="216"/>
      <c r="U47" s="21" t="s">
        <v>111</v>
      </c>
      <c r="V47" s="263">
        <f>IFERROR((((V46-P24)*P25)/V49),0)</f>
        <v>2.5789473684210518</v>
      </c>
      <c r="X47" s="574" t="s">
        <v>203</v>
      </c>
      <c r="Y47" s="574"/>
      <c r="Z47" s="263">
        <f>IFERROR((($V$50/$Z$46)*$V$47),0)</f>
        <v>0</v>
      </c>
      <c r="AB47" s="21" t="s">
        <v>608</v>
      </c>
      <c r="AC47" s="21" t="str">
        <f>IF($P$65&gt;=20,"Sim","Não")</f>
        <v>Sim</v>
      </c>
      <c r="AD47" s="21"/>
      <c r="AE47" s="21"/>
      <c r="AO47" s="47"/>
      <c r="BA47" s="47"/>
      <c r="BB47" s="47"/>
    </row>
    <row r="48" spans="2:57" ht="19.5" customHeight="1" x14ac:dyDescent="0.25">
      <c r="B48" s="554" t="str">
        <f>IF(AQ6&gt;0,AQ6,"-")</f>
        <v>-</v>
      </c>
      <c r="C48" s="554"/>
      <c r="D48" s="287">
        <f>IFERROR(((D49/1000)*$E$18),0)</f>
        <v>0</v>
      </c>
      <c r="E48" s="391" t="str">
        <f>IF(J44&gt;0,"quilos para área total","-")</f>
        <v>-</v>
      </c>
      <c r="F48" s="391"/>
      <c r="G48" s="391"/>
      <c r="H48" s="272" t="s">
        <v>598</v>
      </c>
      <c r="I48" s="272">
        <f>I49*$E$18*$I$18</f>
        <v>0</v>
      </c>
      <c r="J48" s="286">
        <f>AV13</f>
        <v>0</v>
      </c>
      <c r="K48" s="282"/>
      <c r="M48" s="376"/>
      <c r="N48" s="391"/>
      <c r="O48" s="575"/>
      <c r="P48" s="575"/>
      <c r="Q48" s="575"/>
      <c r="R48" s="216"/>
      <c r="U48" s="21" t="s">
        <v>201</v>
      </c>
      <c r="V48" s="263">
        <f>IF(V47&lt;0,(0),IF(V47&gt;=0,(V47)))</f>
        <v>2.5789473684210518</v>
      </c>
      <c r="X48" s="574" t="s">
        <v>201</v>
      </c>
      <c r="Y48" s="574"/>
      <c r="Z48" s="263">
        <f>IFERROR(IF(Z47&lt;0,(0),IF(Z47&gt;=0,(Z47))),0)</f>
        <v>0</v>
      </c>
    </row>
    <row r="49" spans="2:50" ht="19.5" customHeight="1" x14ac:dyDescent="0.25">
      <c r="B49" s="554"/>
      <c r="C49" s="554"/>
      <c r="D49" s="288" t="str">
        <f>IF(J44&gt;0,J44,"-")</f>
        <v>-</v>
      </c>
      <c r="E49" s="391" t="str">
        <f>IF(J44&gt;0,"gramas por cova ou planta","-")</f>
        <v>-</v>
      </c>
      <c r="F49" s="391"/>
      <c r="G49" s="391"/>
      <c r="H49" s="272" t="s">
        <v>603</v>
      </c>
      <c r="I49" s="272">
        <f>IFERROR((D49/1000)*VLOOKUP(B48,$V$100:$W$179,2,0),0)</f>
        <v>0</v>
      </c>
      <c r="J49" s="286">
        <f>AV14</f>
        <v>0</v>
      </c>
      <c r="K49" s="282"/>
      <c r="M49" s="376"/>
      <c r="N49" s="391"/>
      <c r="O49" s="576"/>
      <c r="P49" s="576"/>
      <c r="Q49" s="576"/>
      <c r="R49" s="216"/>
      <c r="U49" s="21" t="s">
        <v>110</v>
      </c>
      <c r="V49" s="263">
        <f>IFERROR(VLOOKUP($O$47,$V$56:$AA$68,5,0),0)</f>
        <v>64.599999999999994</v>
      </c>
      <c r="X49" s="574" t="s">
        <v>273</v>
      </c>
      <c r="Y49" s="574"/>
      <c r="Z49" s="263">
        <f>Z48*$Q$50</f>
        <v>0</v>
      </c>
    </row>
    <row r="50" spans="2:50" ht="19.5" customHeight="1" x14ac:dyDescent="0.25">
      <c r="J50" s="286">
        <f>AV18</f>
        <v>0</v>
      </c>
      <c r="K50" s="282"/>
      <c r="L50" s="215"/>
      <c r="M50" s="376"/>
      <c r="N50" s="391"/>
      <c r="O50" s="483"/>
      <c r="P50" s="484"/>
      <c r="Q50" s="92"/>
      <c r="R50" s="216"/>
      <c r="U50" s="21" t="s">
        <v>193</v>
      </c>
      <c r="V50" s="263">
        <f>IFERROR(VLOOKUP($O$47,$V$56:$AA$68,6,0),0)</f>
        <v>45</v>
      </c>
      <c r="AT50" s="538" t="s">
        <v>280</v>
      </c>
      <c r="AU50" s="538"/>
      <c r="AV50" s="538"/>
    </row>
    <row r="51" spans="2:50" ht="19.5" customHeight="1" thickBot="1" x14ac:dyDescent="0.3">
      <c r="B51" s="554" t="str">
        <f>IF(AQ7&gt;0,AQ7,"-")</f>
        <v>Termofosfato YOORIN</v>
      </c>
      <c r="C51" s="554"/>
      <c r="D51" s="287">
        <f>IFERROR(((D52/1000)*$E$18),0)</f>
        <v>380.95238095238102</v>
      </c>
      <c r="E51" s="391" t="str">
        <f>IF(J45&gt;0,"quilos para área total","-")</f>
        <v>quilos para área total</v>
      </c>
      <c r="F51" s="391"/>
      <c r="G51" s="391"/>
      <c r="H51" s="272" t="s">
        <v>598</v>
      </c>
      <c r="I51" s="272">
        <f>I52*$E$18*$I$18</f>
        <v>885.71428571428578</v>
      </c>
      <c r="J51" s="286">
        <f>AV19</f>
        <v>0</v>
      </c>
      <c r="K51" s="282"/>
      <c r="L51" s="215"/>
      <c r="M51" s="217"/>
      <c r="N51" s="218"/>
      <c r="O51" s="218"/>
      <c r="P51" s="218"/>
      <c r="Q51" s="218"/>
      <c r="R51" s="219"/>
      <c r="U51" s="21" t="s">
        <v>273</v>
      </c>
      <c r="V51" s="263">
        <f>V48*$Q$47</f>
        <v>2.5789473684210518</v>
      </c>
      <c r="AT51" s="221" t="s">
        <v>291</v>
      </c>
      <c r="AU51" s="291" t="str">
        <f>AK29</f>
        <v>Composto de lixo (COL)</v>
      </c>
      <c r="AV51" s="221">
        <v>12</v>
      </c>
    </row>
    <row r="52" spans="2:50" ht="19.5" customHeight="1" x14ac:dyDescent="0.25">
      <c r="B52" s="554"/>
      <c r="C52" s="554"/>
      <c r="D52" s="288">
        <f>IF(J45&gt;0,J45,"-")</f>
        <v>228.57142857142858</v>
      </c>
      <c r="E52" s="391" t="str">
        <f>IF(J45&gt;0,"gramas por planta","-")</f>
        <v>gramas por planta</v>
      </c>
      <c r="F52" s="391"/>
      <c r="G52" s="391"/>
      <c r="H52" s="272" t="s">
        <v>603</v>
      </c>
      <c r="I52" s="272">
        <f>IFERROR((D52/1000)*VLOOKUP(B51,$V$100:$W$179,2,0),0)</f>
        <v>0.53142857142857147</v>
      </c>
      <c r="J52" s="286">
        <f>AV20</f>
        <v>0</v>
      </c>
      <c r="K52" s="282"/>
      <c r="L52" s="215"/>
      <c r="AT52" s="221" t="s">
        <v>291</v>
      </c>
      <c r="AU52" s="291" t="str">
        <f t="shared" ref="AU52:AU59" si="10">AK30</f>
        <v>Cama de frango corte</v>
      </c>
      <c r="AV52" s="221">
        <v>4</v>
      </c>
    </row>
    <row r="53" spans="2:50" ht="19.5" customHeight="1" thickBot="1" x14ac:dyDescent="0.3">
      <c r="J53" s="292"/>
      <c r="K53" s="282"/>
      <c r="L53" s="215"/>
      <c r="AP53" s="215"/>
      <c r="AQ53" s="215"/>
      <c r="AS53" s="215"/>
      <c r="AT53" s="221" t="s">
        <v>291</v>
      </c>
      <c r="AU53" s="291" t="str">
        <f t="shared" si="10"/>
        <v>Esterco de galinha</v>
      </c>
      <c r="AV53" s="221">
        <v>4</v>
      </c>
    </row>
    <row r="54" spans="2:50" ht="19.5" customHeight="1" x14ac:dyDescent="0.25">
      <c r="B54" s="554" t="str">
        <f>IF(AQ8&gt;0,AQ8,"-")</f>
        <v>-</v>
      </c>
      <c r="C54" s="554"/>
      <c r="D54" s="287">
        <f>IFERROR(((D55/1000)*$E$18),0)</f>
        <v>0</v>
      </c>
      <c r="E54" s="391" t="str">
        <f>IF(J46&gt;0,"quilos para área total","-")</f>
        <v>-</v>
      </c>
      <c r="F54" s="391"/>
      <c r="G54" s="391"/>
      <c r="H54" s="272" t="s">
        <v>598</v>
      </c>
      <c r="I54" s="272">
        <f>I55*$E$18*$I$18</f>
        <v>0</v>
      </c>
      <c r="J54" s="282"/>
      <c r="K54" s="282"/>
      <c r="M54" s="212"/>
      <c r="N54" s="213"/>
      <c r="O54" s="213"/>
      <c r="P54" s="213"/>
      <c r="Q54" s="213"/>
      <c r="R54" s="214"/>
      <c r="U54" s="572" t="s">
        <v>136</v>
      </c>
      <c r="V54" s="572" t="s">
        <v>76</v>
      </c>
      <c r="W54" s="572" t="s">
        <v>77</v>
      </c>
      <c r="X54" s="572" t="s">
        <v>78</v>
      </c>
      <c r="Y54" s="572"/>
      <c r="Z54" s="572"/>
      <c r="AA54" s="572"/>
      <c r="AP54" s="540"/>
      <c r="AQ54" s="540"/>
      <c r="AS54" s="540"/>
      <c r="AT54" s="221" t="s">
        <v>291</v>
      </c>
      <c r="AU54" s="291" t="str">
        <f t="shared" si="10"/>
        <v>Esterco Bovino curtido</v>
      </c>
      <c r="AV54" s="221">
        <v>12</v>
      </c>
    </row>
    <row r="55" spans="2:50" ht="19.5" customHeight="1" x14ac:dyDescent="0.25">
      <c r="B55" s="554"/>
      <c r="C55" s="554"/>
      <c r="D55" s="288" t="str">
        <f>IF(J46&gt;0,J46,"-")</f>
        <v>-</v>
      </c>
      <c r="E55" s="391" t="str">
        <f>IF(J46&gt;0,"gramas por planta","-")</f>
        <v>-</v>
      </c>
      <c r="F55" s="391"/>
      <c r="G55" s="391"/>
      <c r="H55" s="272" t="s">
        <v>603</v>
      </c>
      <c r="I55" s="272">
        <f>IFERROR((D55/1000)*VLOOKUP(B54,$V$100:$W$179,2,0),0)</f>
        <v>0</v>
      </c>
      <c r="J55" s="282"/>
      <c r="K55" s="282"/>
      <c r="M55" s="376" t="s">
        <v>214</v>
      </c>
      <c r="N55" s="391"/>
      <c r="O55" s="563" t="s">
        <v>307</v>
      </c>
      <c r="P55" s="564"/>
      <c r="Q55" s="565"/>
      <c r="R55" s="216"/>
      <c r="U55" s="572"/>
      <c r="V55" s="572"/>
      <c r="W55" s="572"/>
      <c r="X55" s="293" t="s">
        <v>105</v>
      </c>
      <c r="Y55" s="293" t="s">
        <v>106</v>
      </c>
      <c r="Z55" s="293" t="s">
        <v>107</v>
      </c>
      <c r="AA55" s="293" t="s">
        <v>195</v>
      </c>
      <c r="AP55" s="540"/>
      <c r="AQ55" s="540"/>
      <c r="AS55" s="540"/>
      <c r="AT55" s="221" t="s">
        <v>291</v>
      </c>
      <c r="AU55" s="291" t="str">
        <f t="shared" si="10"/>
        <v>Esterco de equino</v>
      </c>
      <c r="AV55" s="221">
        <v>12</v>
      </c>
    </row>
    <row r="56" spans="2:50" ht="19.5" customHeight="1" x14ac:dyDescent="0.25">
      <c r="J56" s="282"/>
      <c r="K56" s="282"/>
      <c r="M56" s="376"/>
      <c r="N56" s="391"/>
      <c r="O56" s="448" t="s">
        <v>188</v>
      </c>
      <c r="P56" s="448"/>
      <c r="Q56" s="448"/>
      <c r="R56" s="216"/>
      <c r="U56" s="573" t="s">
        <v>185</v>
      </c>
      <c r="V56" s="294" t="str">
        <f>'[1]Adubos e corretivos'!C87</f>
        <v>AGROSILICIO</v>
      </c>
      <c r="W56" s="294">
        <f>'[1]Adubos e corretivos'!D87</f>
        <v>0.56000000000000005</v>
      </c>
      <c r="X56" s="294">
        <f>'[1]Adubos e corretivos'!E87</f>
        <v>36</v>
      </c>
      <c r="Y56" s="294">
        <f>'[1]Adubos e corretivos'!F87</f>
        <v>9</v>
      </c>
      <c r="Z56" s="294">
        <f>'[1]Adubos e corretivos'!G87</f>
        <v>64.599999999999994</v>
      </c>
      <c r="AA56" s="294">
        <f>'[1]Adubos e corretivos'!H87</f>
        <v>45</v>
      </c>
      <c r="AP56" s="215"/>
      <c r="AQ56" s="215"/>
      <c r="AS56" s="215"/>
      <c r="AT56" s="221" t="s">
        <v>291</v>
      </c>
      <c r="AU56" s="291" t="str">
        <f t="shared" si="10"/>
        <v>Esterco de suínos</v>
      </c>
      <c r="AV56" s="221">
        <v>4</v>
      </c>
    </row>
    <row r="57" spans="2:50" ht="19.5" customHeight="1" x14ac:dyDescent="0.25">
      <c r="B57" s="554" t="str">
        <f>IF(AQ12&gt;0,AQ12,"-")</f>
        <v>Kmag</v>
      </c>
      <c r="C57" s="554"/>
      <c r="D57" s="287">
        <f>IFERROR(((D58/1000)*$E$18),0)</f>
        <v>952.38095238095241</v>
      </c>
      <c r="E57" s="555" t="str">
        <f>IF(J47&gt;0,"quilos para área total","-")</f>
        <v>quilos para área total</v>
      </c>
      <c r="F57" s="555"/>
      <c r="G57" s="555"/>
      <c r="H57" s="272" t="s">
        <v>598</v>
      </c>
      <c r="I57" s="272">
        <f>I58*$E$18*$I$18</f>
        <v>2761.9047619047619</v>
      </c>
      <c r="J57" s="282"/>
      <c r="K57" s="282"/>
      <c r="M57" s="376"/>
      <c r="N57" s="391"/>
      <c r="R57" s="216"/>
      <c r="U57" s="573"/>
      <c r="V57" s="294" t="str">
        <f>'[1]Adubos e corretivos'!C88</f>
        <v>BRITACAL Dolomítico</v>
      </c>
      <c r="W57" s="294">
        <f>'[1]Adubos e corretivos'!D88</f>
        <v>0</v>
      </c>
      <c r="X57" s="294">
        <f>'[1]Adubos e corretivos'!E88</f>
        <v>28</v>
      </c>
      <c r="Y57" s="294">
        <f>'[1]Adubos e corretivos'!F88</f>
        <v>15</v>
      </c>
      <c r="Z57" s="294">
        <f>'[1]Adubos e corretivos'!G88</f>
        <v>80</v>
      </c>
      <c r="AA57" s="294">
        <f>'[1]Adubos e corretivos'!H88</f>
        <v>43</v>
      </c>
      <c r="AP57" s="215"/>
      <c r="AQ57" s="448" t="s">
        <v>302</v>
      </c>
      <c r="AR57" s="448"/>
      <c r="AS57" s="215"/>
      <c r="AT57" s="221" t="s">
        <v>291</v>
      </c>
      <c r="AU57" s="291" t="str">
        <f t="shared" si="10"/>
        <v>Esterco de ovinos</v>
      </c>
      <c r="AV57" s="221">
        <v>4</v>
      </c>
    </row>
    <row r="58" spans="2:50" ht="19.5" customHeight="1" x14ac:dyDescent="0.25">
      <c r="B58" s="554"/>
      <c r="C58" s="554"/>
      <c r="D58" s="287">
        <f>IF(J47&gt;0,J47,"-")</f>
        <v>571.42857142857144</v>
      </c>
      <c r="E58" s="391" t="str">
        <f>IF(J47&gt;0,"gramas por planta","-")</f>
        <v>gramas por planta</v>
      </c>
      <c r="F58" s="391"/>
      <c r="G58" s="391"/>
      <c r="H58" s="272" t="s">
        <v>603</v>
      </c>
      <c r="I58" s="272">
        <f>IFERROR((D58/1000)*VLOOKUP(B57,$V$100:$W$179,2,0),0)</f>
        <v>1.657142857142857</v>
      </c>
      <c r="J58" s="282"/>
      <c r="K58" s="282"/>
      <c r="M58" s="376"/>
      <c r="N58" s="391"/>
      <c r="O58" s="566" t="s">
        <v>609</v>
      </c>
      <c r="P58" s="567"/>
      <c r="Q58" s="568"/>
      <c r="R58" s="216"/>
      <c r="U58" s="573"/>
      <c r="V58" s="294" t="str">
        <f>'[1]Adubos e corretivos'!C89</f>
        <v>BRITACAL Filler</v>
      </c>
      <c r="W58" s="294">
        <f>'[1]Adubos e corretivos'!D89</f>
        <v>0</v>
      </c>
      <c r="X58" s="294">
        <f>'[1]Adubos e corretivos'!E89</f>
        <v>32</v>
      </c>
      <c r="Y58" s="294">
        <f>'[1]Adubos e corretivos'!F89</f>
        <v>15</v>
      </c>
      <c r="Z58" s="294">
        <f>'[1]Adubos e corretivos'!G89</f>
        <v>94</v>
      </c>
      <c r="AA58" s="294">
        <f>'[1]Adubos e corretivos'!H89</f>
        <v>47</v>
      </c>
      <c r="AP58" s="215"/>
      <c r="AQ58" s="448">
        <f>IFERROR(VLOOKUP($O$42,AU51:AV59,2,0),0)</f>
        <v>0</v>
      </c>
      <c r="AR58" s="448"/>
      <c r="AS58" s="215"/>
      <c r="AT58" s="221" t="s">
        <v>291</v>
      </c>
      <c r="AU58" s="291" t="str">
        <f t="shared" si="10"/>
        <v>Lodo de esgosto</v>
      </c>
      <c r="AV58" s="221">
        <v>4</v>
      </c>
    </row>
    <row r="59" spans="2:50" ht="19.5" customHeight="1" x14ac:dyDescent="0.25">
      <c r="J59" s="282"/>
      <c r="K59" s="282"/>
      <c r="M59" s="376"/>
      <c r="N59" s="391"/>
      <c r="O59" s="569"/>
      <c r="P59" s="570"/>
      <c r="Q59" s="571"/>
      <c r="R59" s="216"/>
      <c r="U59" s="573"/>
      <c r="V59" s="294">
        <f>'[1]Adubos e corretivos'!C90</f>
        <v>0</v>
      </c>
      <c r="W59" s="294">
        <f>'[1]Adubos e corretivos'!D90</f>
        <v>0</v>
      </c>
      <c r="X59" s="294">
        <f>'[1]Adubos e corretivos'!E90</f>
        <v>0</v>
      </c>
      <c r="Y59" s="294">
        <f>'[1]Adubos e corretivos'!F90</f>
        <v>0</v>
      </c>
      <c r="Z59" s="294">
        <f>'[1]Adubos e corretivos'!G90</f>
        <v>0</v>
      </c>
      <c r="AA59" s="294">
        <f>'[1]Adubos e corretivos'!H90</f>
        <v>0</v>
      </c>
      <c r="AP59" s="215"/>
      <c r="AS59" s="215"/>
      <c r="AT59" s="221" t="s">
        <v>291</v>
      </c>
      <c r="AU59" s="291" t="str">
        <f t="shared" si="10"/>
        <v>Compostos orgânicos</v>
      </c>
      <c r="AV59" s="221">
        <v>4</v>
      </c>
    </row>
    <row r="60" spans="2:50" ht="19.5" customHeight="1" x14ac:dyDescent="0.25">
      <c r="B60" s="554" t="str">
        <f>IF(AQ13&gt;0,AQ13,"-")</f>
        <v>-</v>
      </c>
      <c r="C60" s="554"/>
      <c r="D60" s="287">
        <f>IFERROR(((D61/1000)*$E$18),0)</f>
        <v>0</v>
      </c>
      <c r="E60" s="555" t="str">
        <f>IF(J48&gt;0,"quilos para área total","-")</f>
        <v>-</v>
      </c>
      <c r="F60" s="555"/>
      <c r="G60" s="555"/>
      <c r="H60" s="272" t="s">
        <v>598</v>
      </c>
      <c r="I60" s="272">
        <f>I61*$E$18*$I$18</f>
        <v>0</v>
      </c>
      <c r="J60" s="282"/>
      <c r="K60" s="282"/>
      <c r="M60" s="376"/>
      <c r="N60" s="391"/>
      <c r="O60" s="483" t="s">
        <v>189</v>
      </c>
      <c r="P60" s="513"/>
      <c r="Q60" s="484"/>
      <c r="R60" s="216"/>
      <c r="U60" s="573"/>
      <c r="V60" s="294">
        <f>'[1]Adubos e corretivos'!C91</f>
        <v>0</v>
      </c>
      <c r="W60" s="294">
        <f>'[1]Adubos e corretivos'!D91</f>
        <v>0</v>
      </c>
      <c r="X60" s="294">
        <f>'[1]Adubos e corretivos'!E91</f>
        <v>0</v>
      </c>
      <c r="Y60" s="294">
        <f>'[1]Adubos e corretivos'!F91</f>
        <v>0</v>
      </c>
      <c r="Z60" s="294">
        <f>'[1]Adubos e corretivos'!G91</f>
        <v>0</v>
      </c>
      <c r="AA60" s="294">
        <f>'[1]Adubos e corretivos'!H91</f>
        <v>0</v>
      </c>
      <c r="AP60" s="215"/>
      <c r="AQ60" s="215"/>
      <c r="AS60" s="215"/>
      <c r="AT60" s="215"/>
      <c r="AU60" s="215"/>
      <c r="AV60" s="215"/>
      <c r="AW60" s="215"/>
      <c r="AX60" s="215"/>
    </row>
    <row r="61" spans="2:50" ht="19.5" customHeight="1" x14ac:dyDescent="0.25">
      <c r="B61" s="554"/>
      <c r="C61" s="554"/>
      <c r="D61" s="287" t="str">
        <f>IF(J48&gt;0,J48,"-")</f>
        <v>-</v>
      </c>
      <c r="E61" s="391" t="str">
        <f>IF(J48&gt;0,"gramas por planta","-")</f>
        <v>-</v>
      </c>
      <c r="F61" s="391"/>
      <c r="G61" s="391"/>
      <c r="H61" s="272" t="s">
        <v>603</v>
      </c>
      <c r="I61" s="272">
        <f>IFERROR((D61/1000)*VLOOKUP(B60,$V$100:$W$179,2,0),0)</f>
        <v>0</v>
      </c>
      <c r="J61" s="282"/>
      <c r="K61" s="282"/>
      <c r="M61" s="376"/>
      <c r="N61" s="391"/>
      <c r="R61" s="216"/>
      <c r="U61" s="573"/>
      <c r="V61" s="294">
        <f>'[1]Adubos e corretivos'!C92</f>
        <v>0</v>
      </c>
      <c r="W61" s="294">
        <f>'[1]Adubos e corretivos'!D92</f>
        <v>0</v>
      </c>
      <c r="X61" s="294">
        <f>'[1]Adubos e corretivos'!E92</f>
        <v>0</v>
      </c>
      <c r="Y61" s="294">
        <f>'[1]Adubos e corretivos'!F92</f>
        <v>0</v>
      </c>
      <c r="Z61" s="294">
        <f>'[1]Adubos e corretivos'!G92</f>
        <v>0</v>
      </c>
      <c r="AA61" s="294">
        <f>'[1]Adubos e corretivos'!H92</f>
        <v>0</v>
      </c>
      <c r="AP61" s="215"/>
      <c r="AQ61" s="215"/>
      <c r="AS61" s="215"/>
      <c r="AT61" s="215"/>
      <c r="AU61" s="215"/>
      <c r="AV61" s="215"/>
      <c r="AW61" s="215"/>
      <c r="AX61" s="215"/>
    </row>
    <row r="62" spans="2:50" ht="19.5" customHeight="1" x14ac:dyDescent="0.25">
      <c r="J62" s="282"/>
      <c r="K62" s="282"/>
      <c r="M62" s="376"/>
      <c r="N62" s="391"/>
      <c r="O62" s="563" t="s">
        <v>610</v>
      </c>
      <c r="P62" s="564"/>
      <c r="Q62" s="565"/>
      <c r="R62" s="216"/>
      <c r="U62" s="573"/>
      <c r="V62" s="294">
        <f>'[1]Adubos e corretivos'!C93</f>
        <v>0</v>
      </c>
      <c r="W62" s="294">
        <f>'[1]Adubos e corretivos'!D93</f>
        <v>0</v>
      </c>
      <c r="X62" s="294">
        <f>'[1]Adubos e corretivos'!E93</f>
        <v>0</v>
      </c>
      <c r="Y62" s="294">
        <f>'[1]Adubos e corretivos'!F93</f>
        <v>0</v>
      </c>
      <c r="Z62" s="294">
        <f>'[1]Adubos e corretivos'!G93</f>
        <v>0</v>
      </c>
      <c r="AA62" s="294">
        <f>'[1]Adubos e corretivos'!H93</f>
        <v>0</v>
      </c>
      <c r="AS62" s="215"/>
      <c r="AT62" s="215"/>
      <c r="AU62" s="215"/>
      <c r="AV62" s="215"/>
      <c r="AW62" s="215"/>
      <c r="AX62" s="215"/>
    </row>
    <row r="63" spans="2:50" ht="19.5" customHeight="1" x14ac:dyDescent="0.25">
      <c r="B63" s="554" t="str">
        <f>IF(AQ14&gt;0,AQ14,"-")</f>
        <v>-</v>
      </c>
      <c r="C63" s="554"/>
      <c r="D63" s="287">
        <f>IFERROR(((D64/1000)*$E$18),0)</f>
        <v>0</v>
      </c>
      <c r="E63" s="555" t="str">
        <f>IF(J49&gt;0,"quilos para área total","-")</f>
        <v>-</v>
      </c>
      <c r="F63" s="555"/>
      <c r="G63" s="555"/>
      <c r="H63" s="272" t="s">
        <v>598</v>
      </c>
      <c r="I63" s="272">
        <f>I64*$E$18*$I$18</f>
        <v>0</v>
      </c>
      <c r="J63" s="282"/>
      <c r="K63" s="282"/>
      <c r="M63" s="376"/>
      <c r="N63" s="391"/>
      <c r="O63" s="21" t="s">
        <v>3</v>
      </c>
      <c r="P63" s="56">
        <v>2</v>
      </c>
      <c r="Q63" s="21" t="s">
        <v>55</v>
      </c>
      <c r="R63" s="216"/>
      <c r="U63" s="573"/>
      <c r="V63" s="294">
        <f>'[1]Adubos e corretivos'!C94</f>
        <v>0</v>
      </c>
      <c r="W63" s="294">
        <f>'[1]Adubos e corretivos'!D94</f>
        <v>0</v>
      </c>
      <c r="X63" s="294">
        <f>'[1]Adubos e corretivos'!E94</f>
        <v>0</v>
      </c>
      <c r="Y63" s="294">
        <f>'[1]Adubos e corretivos'!F94</f>
        <v>0</v>
      </c>
      <c r="Z63" s="294">
        <f>'[1]Adubos e corretivos'!G94</f>
        <v>0</v>
      </c>
      <c r="AA63" s="294">
        <f>'[1]Adubos e corretivos'!H94</f>
        <v>0</v>
      </c>
      <c r="AS63" s="215"/>
      <c r="AT63" s="215"/>
      <c r="AU63" s="215"/>
      <c r="AV63" s="215"/>
      <c r="AW63" s="215"/>
      <c r="AX63" s="215"/>
    </row>
    <row r="64" spans="2:50" ht="19.5" customHeight="1" x14ac:dyDescent="0.25">
      <c r="B64" s="554"/>
      <c r="C64" s="554"/>
      <c r="D64" s="287" t="str">
        <f>IF(J49&gt;0,J49,"-")</f>
        <v>-</v>
      </c>
      <c r="E64" s="391" t="str">
        <f>IF(J49&gt;0,"gramas por planta","-")</f>
        <v>-</v>
      </c>
      <c r="F64" s="391"/>
      <c r="G64" s="391"/>
      <c r="H64" s="272" t="s">
        <v>603</v>
      </c>
      <c r="I64" s="272">
        <f>IFERROR((D64/1000)*VLOOKUP(B63,$V$100:$W$179,2,0),0)</f>
        <v>0</v>
      </c>
      <c r="J64" s="282"/>
      <c r="K64" s="282"/>
      <c r="M64" s="376"/>
      <c r="N64" s="391"/>
      <c r="O64" s="21" t="s">
        <v>7</v>
      </c>
      <c r="P64" s="56">
        <v>0.4</v>
      </c>
      <c r="Q64" s="21" t="s">
        <v>55</v>
      </c>
      <c r="R64" s="216"/>
      <c r="U64" s="573"/>
      <c r="V64" s="294">
        <f>'[1]Adubos e corretivos'!C95</f>
        <v>0</v>
      </c>
      <c r="W64" s="294">
        <f>'[1]Adubos e corretivos'!D95</f>
        <v>0</v>
      </c>
      <c r="X64" s="294">
        <f>'[1]Adubos e corretivos'!E95</f>
        <v>0</v>
      </c>
      <c r="Y64" s="294">
        <f>'[1]Adubos e corretivos'!F95</f>
        <v>0</v>
      </c>
      <c r="Z64" s="294">
        <f>'[1]Adubos e corretivos'!G95</f>
        <v>0</v>
      </c>
      <c r="AA64" s="294">
        <f>'[1]Adubos e corretivos'!H95</f>
        <v>0</v>
      </c>
      <c r="AS64" s="215"/>
      <c r="AT64" s="215"/>
      <c r="AU64" s="215"/>
      <c r="AV64" s="215"/>
      <c r="AW64" s="215"/>
      <c r="AX64" s="215"/>
    </row>
    <row r="65" spans="2:50" ht="19.5" customHeight="1" x14ac:dyDescent="0.25">
      <c r="H65" s="272"/>
      <c r="I65" s="45"/>
      <c r="J65" s="282"/>
      <c r="K65" s="282"/>
      <c r="M65" s="376"/>
      <c r="N65" s="391"/>
      <c r="O65" s="21" t="s">
        <v>611</v>
      </c>
      <c r="P65" s="32">
        <v>25</v>
      </c>
      <c r="Q65" s="21" t="s">
        <v>23</v>
      </c>
      <c r="R65" s="216"/>
      <c r="U65" s="573"/>
      <c r="V65" s="294">
        <f>'[1]Adubos e corretivos'!C96</f>
        <v>0</v>
      </c>
      <c r="W65" s="294">
        <f>'[1]Adubos e corretivos'!D96</f>
        <v>0</v>
      </c>
      <c r="X65" s="294">
        <f>'[1]Adubos e corretivos'!E96</f>
        <v>0</v>
      </c>
      <c r="Y65" s="294">
        <f>'[1]Adubos e corretivos'!F96</f>
        <v>0</v>
      </c>
      <c r="Z65" s="294">
        <f>'[1]Adubos e corretivos'!G96</f>
        <v>0</v>
      </c>
      <c r="AA65" s="294">
        <f>'[1]Adubos e corretivos'!H96</f>
        <v>0</v>
      </c>
      <c r="AS65" s="215"/>
      <c r="AT65" s="215"/>
      <c r="AU65" s="215"/>
      <c r="AV65" s="215"/>
      <c r="AW65" s="215"/>
      <c r="AX65" s="215"/>
    </row>
    <row r="66" spans="2:50" ht="19.5" customHeight="1" thickBot="1" x14ac:dyDescent="0.3">
      <c r="B66" s="554" t="str">
        <f>IF(AQ18&gt;0,AQ18,"-")</f>
        <v>Torta de mamona Hortibraz</v>
      </c>
      <c r="C66" s="554"/>
      <c r="D66" s="287">
        <f>IFERROR(((D67/1000)*$E$18),0)</f>
        <v>0</v>
      </c>
      <c r="E66" s="555" t="str">
        <f>IF(J50&gt;0,"quilos para área total","-")</f>
        <v>-</v>
      </c>
      <c r="F66" s="555"/>
      <c r="G66" s="555"/>
      <c r="H66" s="272" t="s">
        <v>598</v>
      </c>
      <c r="I66" s="272">
        <f>I67*$E$18*$I$18</f>
        <v>0</v>
      </c>
      <c r="M66" s="217"/>
      <c r="N66" s="218"/>
      <c r="O66" s="218"/>
      <c r="P66" s="218"/>
      <c r="Q66" s="218"/>
      <c r="R66" s="219"/>
      <c r="U66" s="573"/>
      <c r="V66" s="294">
        <f>'[1]Adubos e corretivos'!C97</f>
        <v>0</v>
      </c>
      <c r="W66" s="294">
        <f>'[1]Adubos e corretivos'!D97</f>
        <v>0</v>
      </c>
      <c r="X66" s="294">
        <f>'[1]Adubos e corretivos'!E97</f>
        <v>0</v>
      </c>
      <c r="Y66" s="294">
        <f>'[1]Adubos e corretivos'!F97</f>
        <v>0</v>
      </c>
      <c r="Z66" s="294">
        <f>'[1]Adubos e corretivos'!G97</f>
        <v>0</v>
      </c>
      <c r="AA66" s="294">
        <f>'[1]Adubos e corretivos'!H97</f>
        <v>0</v>
      </c>
      <c r="AS66" s="215"/>
      <c r="AT66" s="215"/>
      <c r="AU66" s="215"/>
      <c r="AV66" s="215"/>
      <c r="AW66" s="215"/>
      <c r="AX66" s="215"/>
    </row>
    <row r="67" spans="2:50" ht="19.5" customHeight="1" thickBot="1" x14ac:dyDescent="0.3">
      <c r="B67" s="554"/>
      <c r="C67" s="554"/>
      <c r="D67" s="287" t="str">
        <f>IF(J50&gt;0,J50,"-")</f>
        <v>-</v>
      </c>
      <c r="E67" s="391" t="str">
        <f>IF(J50&gt;0,"gramas por planta","-")</f>
        <v>-</v>
      </c>
      <c r="F67" s="391"/>
      <c r="G67" s="391"/>
      <c r="H67" s="272" t="s">
        <v>603</v>
      </c>
      <c r="I67" s="272">
        <f>IFERROR((D67/1000)*VLOOKUP(B66,$V$100:$W$179,2,0),0)</f>
        <v>0</v>
      </c>
      <c r="U67" s="573"/>
      <c r="V67" s="294">
        <f>'[1]Adubos e corretivos'!C98</f>
        <v>0</v>
      </c>
      <c r="W67" s="294">
        <f>'[1]Adubos e corretivos'!D98</f>
        <v>0</v>
      </c>
      <c r="X67" s="294">
        <f>'[1]Adubos e corretivos'!E98</f>
        <v>0</v>
      </c>
      <c r="Y67" s="294">
        <f>'[1]Adubos e corretivos'!F98</f>
        <v>0</v>
      </c>
      <c r="Z67" s="294">
        <f>'[1]Adubos e corretivos'!G98</f>
        <v>0</v>
      </c>
      <c r="AA67" s="294">
        <f>'[1]Adubos e corretivos'!H98</f>
        <v>0</v>
      </c>
      <c r="AS67" s="215"/>
      <c r="AT67" s="215"/>
      <c r="AU67" s="215"/>
      <c r="AV67" s="215"/>
      <c r="AW67" s="215"/>
      <c r="AX67" s="215"/>
    </row>
    <row r="68" spans="2:50" ht="19.5" customHeight="1" x14ac:dyDescent="0.25">
      <c r="H68" s="272"/>
      <c r="I68" s="45"/>
      <c r="M68" s="212"/>
      <c r="N68" s="213"/>
      <c r="O68" s="213"/>
      <c r="P68" s="213"/>
      <c r="Q68" s="213"/>
      <c r="R68" s="214"/>
      <c r="U68" s="573"/>
      <c r="V68" s="294">
        <f>'[1]Adubos e corretivos'!C99</f>
        <v>0</v>
      </c>
      <c r="W68" s="294">
        <f>'[1]Adubos e corretivos'!D99</f>
        <v>0</v>
      </c>
      <c r="X68" s="294">
        <f>'[1]Adubos e corretivos'!E99</f>
        <v>0</v>
      </c>
      <c r="Y68" s="294">
        <f>'[1]Adubos e corretivos'!F99</f>
        <v>0</v>
      </c>
      <c r="Z68" s="294">
        <f>'[1]Adubos e corretivos'!G99</f>
        <v>0</v>
      </c>
      <c r="AA68" s="294">
        <f>'[1]Adubos e corretivos'!H99</f>
        <v>0</v>
      </c>
      <c r="AS68" s="215"/>
      <c r="AT68" s="215"/>
      <c r="AU68" s="215"/>
      <c r="AV68" s="215"/>
      <c r="AW68" s="215"/>
      <c r="AX68" s="215"/>
    </row>
    <row r="69" spans="2:50" ht="19.5" customHeight="1" x14ac:dyDescent="0.25">
      <c r="B69" s="554" t="str">
        <f>IF(AQ19&gt;0,AQ19,"-")</f>
        <v>-</v>
      </c>
      <c r="C69" s="554"/>
      <c r="D69" s="287">
        <f>IFERROR(((D70/1000)*$E$18),0)</f>
        <v>0</v>
      </c>
      <c r="E69" s="555" t="str">
        <f>IF(J51&gt;0,"quilos para área total","-")</f>
        <v>-</v>
      </c>
      <c r="F69" s="555"/>
      <c r="G69" s="555"/>
      <c r="H69" s="272" t="s">
        <v>598</v>
      </c>
      <c r="I69" s="272">
        <f>I70*$E$18*$I$18</f>
        <v>0</v>
      </c>
      <c r="M69" s="376" t="s">
        <v>215</v>
      </c>
      <c r="N69" s="391"/>
      <c r="O69" s="557" t="s">
        <v>252</v>
      </c>
      <c r="P69" s="558"/>
      <c r="Q69" s="559"/>
      <c r="R69" s="216"/>
      <c r="AS69" s="215"/>
      <c r="AT69" s="215"/>
      <c r="AU69" s="215"/>
      <c r="AV69" s="215"/>
      <c r="AW69" s="215"/>
      <c r="AX69" s="215"/>
    </row>
    <row r="70" spans="2:50" ht="19.5" customHeight="1" x14ac:dyDescent="0.25">
      <c r="B70" s="554"/>
      <c r="C70" s="554"/>
      <c r="D70" s="287" t="str">
        <f>IF(J51&gt;0,J51,"-")</f>
        <v>-</v>
      </c>
      <c r="E70" s="391" t="str">
        <f>IF(J51&gt;0,"gramas por planta","-")</f>
        <v>-</v>
      </c>
      <c r="F70" s="391"/>
      <c r="G70" s="391"/>
      <c r="H70" s="272" t="s">
        <v>603</v>
      </c>
      <c r="I70" s="272">
        <f>IFERROR((D70/1000)*VLOOKUP(B69,$V$100:$W$179,2,0),0)</f>
        <v>0</v>
      </c>
      <c r="M70" s="376"/>
      <c r="N70" s="391"/>
      <c r="O70" s="557" t="s">
        <v>251</v>
      </c>
      <c r="P70" s="558"/>
      <c r="Q70" s="559"/>
      <c r="R70" s="216"/>
      <c r="AS70" s="215"/>
      <c r="AT70" s="215"/>
      <c r="AU70" s="215"/>
      <c r="AV70" s="215"/>
      <c r="AW70" s="215"/>
      <c r="AX70" s="215"/>
    </row>
    <row r="71" spans="2:50" ht="19.5" customHeight="1" x14ac:dyDescent="0.25">
      <c r="M71" s="376"/>
      <c r="N71" s="391"/>
      <c r="O71" s="448"/>
      <c r="P71" s="448"/>
      <c r="Q71" s="92"/>
      <c r="R71" s="216"/>
      <c r="U71" s="561" t="s">
        <v>136</v>
      </c>
      <c r="V71" s="561" t="s">
        <v>76</v>
      </c>
      <c r="W71" s="561" t="s">
        <v>77</v>
      </c>
      <c r="X71" s="561" t="s">
        <v>284</v>
      </c>
      <c r="Y71" s="561"/>
      <c r="Z71" s="561"/>
      <c r="AS71" s="215"/>
      <c r="AT71" s="215"/>
      <c r="AU71" s="215"/>
      <c r="AV71" s="215"/>
      <c r="AW71" s="215"/>
      <c r="AX71" s="215"/>
    </row>
    <row r="72" spans="2:50" ht="19.5" customHeight="1" x14ac:dyDescent="0.25">
      <c r="B72" s="554" t="str">
        <f>IF(AQ20&gt;0,AQ20,"-")</f>
        <v>-</v>
      </c>
      <c r="C72" s="554"/>
      <c r="D72" s="287">
        <f>IFERROR(((D73/1000)*$E$18),0)</f>
        <v>0</v>
      </c>
      <c r="E72" s="555" t="str">
        <f>IF(J52&gt;0,"quilos para área total","-")</f>
        <v>-</v>
      </c>
      <c r="F72" s="555"/>
      <c r="G72" s="555"/>
      <c r="H72" s="272" t="s">
        <v>598</v>
      </c>
      <c r="I72" s="272">
        <f>I73*$E$18*$I$18</f>
        <v>0</v>
      </c>
      <c r="M72" s="376"/>
      <c r="N72" s="391"/>
      <c r="O72" s="448" t="s">
        <v>229</v>
      </c>
      <c r="P72" s="448"/>
      <c r="Q72" s="92">
        <v>1</v>
      </c>
      <c r="R72" s="216"/>
      <c r="U72" s="561"/>
      <c r="V72" s="561"/>
      <c r="W72" s="561"/>
      <c r="X72" s="295" t="s">
        <v>81</v>
      </c>
      <c r="Y72" s="295" t="s">
        <v>82</v>
      </c>
      <c r="Z72" s="295" t="s">
        <v>83</v>
      </c>
      <c r="AS72" s="215"/>
      <c r="AT72" s="215"/>
      <c r="AU72" s="215"/>
      <c r="AV72" s="215"/>
      <c r="AW72" s="215"/>
      <c r="AX72" s="215"/>
    </row>
    <row r="73" spans="2:50" ht="19.5" customHeight="1" x14ac:dyDescent="0.25">
      <c r="B73" s="554"/>
      <c r="C73" s="554"/>
      <c r="D73" s="287" t="str">
        <f>IF(J52&gt;0,J52,"-")</f>
        <v>-</v>
      </c>
      <c r="E73" s="391" t="str">
        <f>IF(J52&gt;0,"gramas por planta","-")</f>
        <v>-</v>
      </c>
      <c r="F73" s="391"/>
      <c r="G73" s="391"/>
      <c r="H73" s="272" t="s">
        <v>603</v>
      </c>
      <c r="I73" s="272">
        <f>IFERROR((D73/1000)*VLOOKUP(B72,$V$100:$W$179,2,0),0)</f>
        <v>0</v>
      </c>
      <c r="M73" s="376"/>
      <c r="N73" s="391"/>
      <c r="O73" s="448"/>
      <c r="P73" s="448"/>
      <c r="Q73" s="92"/>
      <c r="R73" s="216"/>
      <c r="U73" s="562" t="s">
        <v>152</v>
      </c>
      <c r="V73" s="296" t="str">
        <f>'[1]Adubos e corretivos'!C104</f>
        <v>Gesso Agronelli</v>
      </c>
      <c r="W73" s="296">
        <f>'[1]Adubos e corretivos'!D104</f>
        <v>0.76</v>
      </c>
      <c r="X73" s="296">
        <f>'[1]Adubos e corretivos'!E104</f>
        <v>14</v>
      </c>
      <c r="Y73" s="296">
        <f>'[1]Adubos e corretivos'!F104</f>
        <v>0</v>
      </c>
      <c r="Z73" s="296">
        <f>'[1]Adubos e corretivos'!G104</f>
        <v>17</v>
      </c>
      <c r="AS73" s="215"/>
      <c r="AT73" s="215"/>
      <c r="AU73" s="215"/>
      <c r="AV73" s="215"/>
      <c r="AW73" s="215"/>
      <c r="AX73" s="215"/>
    </row>
    <row r="74" spans="2:50" ht="19.5" customHeight="1" x14ac:dyDescent="0.25">
      <c r="M74" s="376"/>
      <c r="N74" s="391"/>
      <c r="O74" s="215"/>
      <c r="P74" s="215"/>
      <c r="Q74" s="215"/>
      <c r="R74" s="216"/>
      <c r="U74" s="562"/>
      <c r="V74" s="296" t="str">
        <f>'[1]Adubos e corretivos'!C105</f>
        <v>Siligesso Agronelli</v>
      </c>
      <c r="W74" s="296">
        <f>'[1]Adubos e corretivos'!D105</f>
        <v>0</v>
      </c>
      <c r="X74" s="296">
        <f>'[1]Adubos e corretivos'!E105</f>
        <v>9.9</v>
      </c>
      <c r="Y74" s="296">
        <f>'[1]Adubos e corretivos'!F105</f>
        <v>0</v>
      </c>
      <c r="Z74" s="296">
        <f>'[1]Adubos e corretivos'!G105</f>
        <v>20.3</v>
      </c>
      <c r="AS74" s="215"/>
      <c r="AT74" s="215"/>
      <c r="AU74" s="215"/>
      <c r="AV74" s="215"/>
      <c r="AW74" s="215"/>
      <c r="AX74" s="215"/>
    </row>
    <row r="75" spans="2:50" ht="19.5" customHeight="1" x14ac:dyDescent="0.25">
      <c r="B75" s="553" t="s">
        <v>535</v>
      </c>
      <c r="C75" s="553"/>
      <c r="D75" s="553"/>
      <c r="E75" s="553"/>
      <c r="F75" s="553"/>
      <c r="G75" s="553"/>
      <c r="H75" s="553"/>
      <c r="I75" s="553"/>
      <c r="M75" s="376"/>
      <c r="N75" s="391"/>
      <c r="O75" s="391" t="s">
        <v>264</v>
      </c>
      <c r="P75" s="391"/>
      <c r="Q75" s="391"/>
      <c r="R75" s="216"/>
      <c r="U75" s="562"/>
      <c r="V75" s="296">
        <f>'[1]Adubos e corretivos'!C106</f>
        <v>0</v>
      </c>
      <c r="W75" s="296">
        <f>'[1]Adubos e corretivos'!D106</f>
        <v>0</v>
      </c>
      <c r="X75" s="296">
        <f>'[1]Adubos e corretivos'!E106</f>
        <v>0</v>
      </c>
      <c r="Y75" s="296">
        <f>'[1]Adubos e corretivos'!F106</f>
        <v>0</v>
      </c>
      <c r="Z75" s="296">
        <f>'[1]Adubos e corretivos'!G106</f>
        <v>0</v>
      </c>
      <c r="AS75" s="215"/>
      <c r="AT75" s="215"/>
      <c r="AU75" s="215"/>
      <c r="AV75" s="215"/>
      <c r="AW75" s="215"/>
      <c r="AX75" s="215"/>
    </row>
    <row r="76" spans="2:50" ht="19.5" customHeight="1" x14ac:dyDescent="0.25">
      <c r="B76" s="553"/>
      <c r="C76" s="553"/>
      <c r="D76" s="553"/>
      <c r="E76" s="553"/>
      <c r="F76" s="553"/>
      <c r="G76" s="553"/>
      <c r="H76" s="553"/>
      <c r="I76" s="553"/>
      <c r="M76" s="376"/>
      <c r="N76" s="391"/>
      <c r="O76" s="215"/>
      <c r="P76" s="215"/>
      <c r="Q76" s="215"/>
      <c r="R76" s="216"/>
      <c r="U76" s="562"/>
      <c r="V76" s="296">
        <f>'[1]Adubos e corretivos'!C107</f>
        <v>0</v>
      </c>
      <c r="W76" s="296">
        <f>'[1]Adubos e corretivos'!D107</f>
        <v>0</v>
      </c>
      <c r="X76" s="296">
        <f>'[1]Adubos e corretivos'!E107</f>
        <v>0</v>
      </c>
      <c r="Y76" s="296">
        <f>'[1]Adubos e corretivos'!F107</f>
        <v>0</v>
      </c>
      <c r="Z76" s="296">
        <f>'[1]Adubos e corretivos'!G107</f>
        <v>0</v>
      </c>
      <c r="AS76" s="215"/>
      <c r="AT76" s="215"/>
      <c r="AU76" s="215"/>
      <c r="AV76" s="215"/>
      <c r="AW76" s="215"/>
      <c r="AX76" s="215"/>
    </row>
    <row r="77" spans="2:50" ht="19.5" customHeight="1" x14ac:dyDescent="0.25">
      <c r="B77" s="553"/>
      <c r="C77" s="553"/>
      <c r="D77" s="553"/>
      <c r="E77" s="553"/>
      <c r="F77" s="553"/>
      <c r="G77" s="553"/>
      <c r="H77" s="553"/>
      <c r="I77" s="553"/>
      <c r="M77" s="376"/>
      <c r="N77" s="391"/>
      <c r="O77" s="557" t="s">
        <v>253</v>
      </c>
      <c r="P77" s="558"/>
      <c r="Q77" s="559"/>
      <c r="R77" s="216"/>
      <c r="U77" s="562"/>
      <c r="V77" s="296">
        <f>'[1]Adubos e corretivos'!C108</f>
        <v>0</v>
      </c>
      <c r="W77" s="296">
        <f>'[1]Adubos e corretivos'!D108</f>
        <v>0</v>
      </c>
      <c r="X77" s="296">
        <f>'[1]Adubos e corretivos'!E108</f>
        <v>0</v>
      </c>
      <c r="Y77" s="296">
        <f>'[1]Adubos e corretivos'!F108</f>
        <v>0</v>
      </c>
      <c r="Z77" s="296">
        <f>'[1]Adubos e corretivos'!G108</f>
        <v>0</v>
      </c>
      <c r="AS77" s="215"/>
      <c r="AT77" s="215"/>
      <c r="AU77" s="215"/>
      <c r="AV77" s="215"/>
      <c r="AW77" s="215"/>
      <c r="AX77" s="215"/>
    </row>
    <row r="78" spans="2:50" ht="19.5" customHeight="1" x14ac:dyDescent="0.25">
      <c r="B78" s="553"/>
      <c r="C78" s="553"/>
      <c r="D78" s="553"/>
      <c r="E78" s="553"/>
      <c r="F78" s="553"/>
      <c r="G78" s="553"/>
      <c r="H78" s="553"/>
      <c r="I78" s="553"/>
      <c r="M78" s="376"/>
      <c r="N78" s="391"/>
      <c r="O78" s="557" t="s">
        <v>251</v>
      </c>
      <c r="P78" s="558"/>
      <c r="Q78" s="559"/>
      <c r="R78" s="216"/>
      <c r="U78" s="562"/>
      <c r="V78" s="296">
        <f>'[1]Adubos e corretivos'!C109</f>
        <v>0</v>
      </c>
      <c r="W78" s="296">
        <f>'[1]Adubos e corretivos'!D109</f>
        <v>0</v>
      </c>
      <c r="X78" s="296">
        <f>'[1]Adubos e corretivos'!E109</f>
        <v>0</v>
      </c>
      <c r="Y78" s="296">
        <f>'[1]Adubos e corretivos'!F109</f>
        <v>0</v>
      </c>
      <c r="Z78" s="296">
        <f>'[1]Adubos e corretivos'!G109</f>
        <v>0</v>
      </c>
      <c r="AS78" s="215"/>
      <c r="AT78" s="215"/>
      <c r="AU78" s="215"/>
      <c r="AV78" s="215"/>
      <c r="AW78" s="215"/>
      <c r="AX78" s="215"/>
    </row>
    <row r="79" spans="2:50" ht="19.5" customHeight="1" thickBot="1" x14ac:dyDescent="0.3">
      <c r="M79" s="376"/>
      <c r="N79" s="391"/>
      <c r="O79" s="448" t="s">
        <v>161</v>
      </c>
      <c r="P79" s="448"/>
      <c r="Q79" s="92">
        <v>1</v>
      </c>
      <c r="R79" s="216"/>
      <c r="U79" s="562"/>
      <c r="V79" s="296">
        <f>'[1]Adubos e corretivos'!C110</f>
        <v>0</v>
      </c>
      <c r="W79" s="296">
        <f>'[1]Adubos e corretivos'!D110</f>
        <v>0</v>
      </c>
      <c r="X79" s="296">
        <f>'[1]Adubos e corretivos'!E110</f>
        <v>0</v>
      </c>
      <c r="Y79" s="296">
        <f>'[1]Adubos e corretivos'!F110</f>
        <v>0</v>
      </c>
      <c r="Z79" s="296">
        <f>'[1]Adubos e corretivos'!G110</f>
        <v>0</v>
      </c>
      <c r="AS79" s="215"/>
      <c r="AT79" s="215"/>
      <c r="AU79" s="215"/>
      <c r="AV79" s="215"/>
      <c r="AW79" s="215"/>
      <c r="AX79" s="215"/>
    </row>
    <row r="80" spans="2:50" ht="19.5" customHeight="1" thickBot="1" x14ac:dyDescent="0.3">
      <c r="B80" s="373" t="s">
        <v>256</v>
      </c>
      <c r="C80" s="374"/>
      <c r="D80" s="374"/>
      <c r="E80" s="374"/>
      <c r="F80" s="374"/>
      <c r="G80" s="374"/>
      <c r="H80" s="374"/>
      <c r="I80" s="375"/>
      <c r="M80" s="376"/>
      <c r="N80" s="391"/>
      <c r="O80" s="448"/>
      <c r="P80" s="448"/>
      <c r="Q80" s="92"/>
      <c r="R80" s="216"/>
      <c r="U80" s="562"/>
      <c r="V80" s="296">
        <f>'[1]Adubos e corretivos'!C111</f>
        <v>0</v>
      </c>
      <c r="W80" s="296">
        <f>'[1]Adubos e corretivos'!D111</f>
        <v>0</v>
      </c>
      <c r="X80" s="296">
        <f>'[1]Adubos e corretivos'!E111</f>
        <v>0</v>
      </c>
      <c r="Y80" s="296">
        <f>'[1]Adubos e corretivos'!F111</f>
        <v>0</v>
      </c>
      <c r="Z80" s="296">
        <f>'[1]Adubos e corretivos'!G111</f>
        <v>0</v>
      </c>
      <c r="AS80" s="215"/>
      <c r="AT80" s="215"/>
      <c r="AU80" s="215"/>
      <c r="AV80" s="215"/>
      <c r="AW80" s="215"/>
      <c r="AX80" s="215"/>
    </row>
    <row r="81" spans="2:50" ht="19.5" customHeight="1" x14ac:dyDescent="0.25">
      <c r="M81" s="376"/>
      <c r="N81" s="391"/>
      <c r="O81" s="448"/>
      <c r="P81" s="448"/>
      <c r="Q81" s="92"/>
      <c r="R81" s="216"/>
      <c r="U81" s="562"/>
      <c r="V81" s="296">
        <f>'[1]Adubos e corretivos'!C112</f>
        <v>0</v>
      </c>
      <c r="W81" s="296">
        <f>'[1]Adubos e corretivos'!D112</f>
        <v>0</v>
      </c>
      <c r="X81" s="296">
        <f>'[1]Adubos e corretivos'!E112</f>
        <v>0</v>
      </c>
      <c r="Y81" s="296">
        <f>'[1]Adubos e corretivos'!F112</f>
        <v>0</v>
      </c>
      <c r="Z81" s="296">
        <f>'[1]Adubos e corretivos'!G112</f>
        <v>0</v>
      </c>
      <c r="AS81" s="215"/>
      <c r="AT81" s="215"/>
      <c r="AU81" s="215"/>
      <c r="AV81" s="215"/>
      <c r="AW81" s="215"/>
      <c r="AX81" s="215"/>
    </row>
    <row r="82" spans="2:50" ht="19.5" customHeight="1" x14ac:dyDescent="0.25">
      <c r="B82" s="554" t="str">
        <f>IF(AP40&gt;0,AP40,"-")</f>
        <v>Ácido Bórico</v>
      </c>
      <c r="C82" s="554"/>
      <c r="D82" s="287">
        <f>IFERROR(((D83/1000)*$E$18),0)</f>
        <v>11.428571428571427</v>
      </c>
      <c r="E82" s="555" t="str">
        <f>IF(AV40&gt;0,"quilos para área total","-")</f>
        <v>quilos para área total</v>
      </c>
      <c r="F82" s="555"/>
      <c r="G82" s="555"/>
      <c r="H82" s="272" t="s">
        <v>598</v>
      </c>
      <c r="I82" s="272">
        <f>I83*$E$18*$I$18</f>
        <v>63.085714285714275</v>
      </c>
      <c r="M82" s="376"/>
      <c r="N82" s="391"/>
      <c r="O82" s="215"/>
      <c r="P82" s="215"/>
      <c r="Q82" s="215"/>
      <c r="R82" s="216"/>
      <c r="U82" s="562"/>
      <c r="V82" s="296">
        <f>'[1]Adubos e corretivos'!C113</f>
        <v>0</v>
      </c>
      <c r="W82" s="296">
        <f>'[1]Adubos e corretivos'!D113</f>
        <v>0</v>
      </c>
      <c r="X82" s="296">
        <f>'[1]Adubos e corretivos'!E113</f>
        <v>0</v>
      </c>
      <c r="Y82" s="296">
        <f>'[1]Adubos e corretivos'!F113</f>
        <v>0</v>
      </c>
      <c r="Z82" s="296">
        <f>'[1]Adubos e corretivos'!G113</f>
        <v>0</v>
      </c>
      <c r="AS82" s="215"/>
      <c r="AT82" s="215"/>
      <c r="AU82" s="215"/>
      <c r="AV82" s="215"/>
      <c r="AW82" s="215"/>
      <c r="AX82" s="215"/>
    </row>
    <row r="83" spans="2:50" ht="19.5" customHeight="1" x14ac:dyDescent="0.25">
      <c r="B83" s="554"/>
      <c r="C83" s="554"/>
      <c r="D83" s="287">
        <f>IF(AV40&gt;0,AV40,"-")</f>
        <v>6.8571428571428559</v>
      </c>
      <c r="E83" s="391" t="str">
        <f>IF(AV40&gt;0,"gramas por planta","-")</f>
        <v>gramas por planta</v>
      </c>
      <c r="F83" s="391"/>
      <c r="G83" s="391"/>
      <c r="H83" s="272" t="s">
        <v>603</v>
      </c>
      <c r="I83" s="272">
        <f>IFERROR((D83/1000)*VLOOKUP(B82,$V$100:$W$179,2,0),0)</f>
        <v>3.7851428571428564E-2</v>
      </c>
      <c r="M83" s="376"/>
      <c r="N83" s="391"/>
      <c r="O83" s="391" t="s">
        <v>264</v>
      </c>
      <c r="P83" s="391"/>
      <c r="Q83" s="391"/>
      <c r="R83" s="216"/>
      <c r="AS83" s="215"/>
      <c r="AT83" s="215"/>
      <c r="AU83" s="215"/>
      <c r="AV83" s="215"/>
      <c r="AW83" s="215"/>
      <c r="AX83" s="215"/>
    </row>
    <row r="84" spans="2:50" ht="19.5" customHeight="1" x14ac:dyDescent="0.25">
      <c r="M84" s="376"/>
      <c r="N84" s="391"/>
      <c r="O84" s="215"/>
      <c r="P84" s="215"/>
      <c r="Q84" s="215"/>
      <c r="R84" s="216"/>
      <c r="AS84" s="215"/>
      <c r="AT84" s="215"/>
      <c r="AU84" s="215"/>
      <c r="AV84" s="215"/>
      <c r="AW84" s="215"/>
      <c r="AX84" s="215"/>
    </row>
    <row r="85" spans="2:50" ht="19.5" customHeight="1" x14ac:dyDescent="0.25">
      <c r="B85" s="554" t="str">
        <f>IF(AP41&gt;0,AP41,"-")</f>
        <v>Sulfato de cobre</v>
      </c>
      <c r="C85" s="554"/>
      <c r="D85" s="287">
        <f>IFERROR(((D86/1000)*$E$18),0)</f>
        <v>0</v>
      </c>
      <c r="E85" s="555" t="str">
        <f>IF(AV41&gt;0,"quilos para área total","-")</f>
        <v>-</v>
      </c>
      <c r="F85" s="555"/>
      <c r="G85" s="555"/>
      <c r="H85" s="272" t="s">
        <v>598</v>
      </c>
      <c r="I85" s="272">
        <f>I86*$E$18*$I$18</f>
        <v>0</v>
      </c>
      <c r="M85" s="376"/>
      <c r="N85" s="391"/>
      <c r="O85" s="557" t="s">
        <v>254</v>
      </c>
      <c r="P85" s="558"/>
      <c r="Q85" s="559"/>
      <c r="R85" s="216"/>
      <c r="U85" s="556" t="s">
        <v>136</v>
      </c>
      <c r="V85" s="556" t="s">
        <v>76</v>
      </c>
      <c r="W85" s="556" t="s">
        <v>77</v>
      </c>
      <c r="X85" s="556" t="s">
        <v>78</v>
      </c>
      <c r="Y85" s="556"/>
      <c r="Z85" s="556"/>
      <c r="AA85" s="556"/>
      <c r="AB85" s="556"/>
      <c r="AC85" s="556"/>
      <c r="AD85" s="556"/>
      <c r="AE85" s="556"/>
      <c r="AS85" s="215"/>
      <c r="AT85" s="215"/>
      <c r="AU85" s="215"/>
      <c r="AV85" s="215"/>
      <c r="AW85" s="215"/>
      <c r="AX85" s="215"/>
    </row>
    <row r="86" spans="2:50" ht="19.5" customHeight="1" x14ac:dyDescent="0.25">
      <c r="B86" s="554"/>
      <c r="C86" s="554"/>
      <c r="D86" s="287" t="str">
        <f>IF(AV41&gt;0,AV41,"-")</f>
        <v>-</v>
      </c>
      <c r="E86" s="391" t="str">
        <f>IF(AV41&gt;0,"gramas por planta","-")</f>
        <v>-</v>
      </c>
      <c r="F86" s="391"/>
      <c r="G86" s="391"/>
      <c r="H86" s="272" t="s">
        <v>603</v>
      </c>
      <c r="I86" s="272">
        <f>IFERROR(((D86/1000)*VLOOKUP(B85,$V$100:$W$179,2,0)),0)</f>
        <v>0</v>
      </c>
      <c r="M86" s="376"/>
      <c r="N86" s="391"/>
      <c r="O86" s="557" t="s">
        <v>251</v>
      </c>
      <c r="P86" s="558"/>
      <c r="Q86" s="559"/>
      <c r="R86" s="216"/>
      <c r="U86" s="556"/>
      <c r="V86" s="556"/>
      <c r="W86" s="556"/>
      <c r="X86" s="297" t="s">
        <v>117</v>
      </c>
      <c r="Y86" s="297" t="s">
        <v>79</v>
      </c>
      <c r="Z86" s="297" t="s">
        <v>66</v>
      </c>
      <c r="AA86" s="297" t="s">
        <v>80</v>
      </c>
      <c r="AB86" s="297" t="s">
        <v>67</v>
      </c>
      <c r="AC86" s="297" t="s">
        <v>191</v>
      </c>
      <c r="AD86" s="297" t="s">
        <v>192</v>
      </c>
      <c r="AE86" s="297" t="s">
        <v>204</v>
      </c>
      <c r="AS86" s="215"/>
      <c r="AT86" s="215"/>
      <c r="AU86" s="215"/>
      <c r="AV86" s="215"/>
      <c r="AW86" s="215"/>
      <c r="AX86" s="215"/>
    </row>
    <row r="87" spans="2:50" ht="19.5" customHeight="1" x14ac:dyDescent="0.25">
      <c r="J87" s="298"/>
      <c r="M87" s="376"/>
      <c r="N87" s="391"/>
      <c r="O87" s="448" t="s">
        <v>612</v>
      </c>
      <c r="P87" s="448"/>
      <c r="Q87" s="92">
        <v>1</v>
      </c>
      <c r="R87" s="216"/>
      <c r="U87" s="560" t="s">
        <v>194</v>
      </c>
      <c r="V87" s="299" t="str">
        <f>V160</f>
        <v>Micaxisto</v>
      </c>
      <c r="W87" s="299">
        <f>W160</f>
        <v>0.12</v>
      </c>
      <c r="X87" s="299">
        <f>AL160</f>
        <v>0</v>
      </c>
      <c r="Y87" s="299">
        <f t="shared" ref="Y87:AB95" si="11">Y160</f>
        <v>4.4999999999999998E-2</v>
      </c>
      <c r="Z87" s="299">
        <f t="shared" si="11"/>
        <v>0.1</v>
      </c>
      <c r="AA87" s="299">
        <f t="shared" si="11"/>
        <v>4.32</v>
      </c>
      <c r="AB87" s="299">
        <f t="shared" si="11"/>
        <v>5.2</v>
      </c>
      <c r="AC87" s="300">
        <f>AC160*0.602</f>
        <v>0.75776223776223772</v>
      </c>
      <c r="AD87" s="300">
        <f>AD160*0.715</f>
        <v>0.83139534883720934</v>
      </c>
      <c r="AE87" s="300">
        <f t="shared" ref="AE87:AE95" si="12">AB87+AC87+AD87</f>
        <v>6.7891575865994476</v>
      </c>
      <c r="AS87" s="215"/>
      <c r="AT87" s="215"/>
      <c r="AU87" s="215"/>
      <c r="AV87" s="215"/>
      <c r="AW87" s="215"/>
      <c r="AX87" s="215"/>
    </row>
    <row r="88" spans="2:50" ht="19.5" customHeight="1" x14ac:dyDescent="0.25">
      <c r="B88" s="554" t="str">
        <f>IF(AP42&gt;0,AP42,"-")</f>
        <v>Sulfato de zinco</v>
      </c>
      <c r="C88" s="554"/>
      <c r="D88" s="287">
        <f>IFERROR(((D89/1000)*$E$18),0)</f>
        <v>0</v>
      </c>
      <c r="E88" s="555" t="str">
        <f>IF(AV42&gt;0,"quilos para área total","-")</f>
        <v>-</v>
      </c>
      <c r="F88" s="555"/>
      <c r="G88" s="555"/>
      <c r="H88" s="272" t="s">
        <v>598</v>
      </c>
      <c r="I88" s="272">
        <f>I89*$E$18*$I$18</f>
        <v>0</v>
      </c>
      <c r="J88" s="298"/>
      <c r="M88" s="376"/>
      <c r="N88" s="391"/>
      <c r="O88" s="448"/>
      <c r="P88" s="448"/>
      <c r="Q88" s="92"/>
      <c r="R88" s="216"/>
      <c r="U88" s="560"/>
      <c r="V88" s="299" t="str">
        <f t="shared" ref="V88:W95" si="13">V161</f>
        <v xml:space="preserve"> Remax Mistel</v>
      </c>
      <c r="W88" s="299">
        <f t="shared" si="13"/>
        <v>0</v>
      </c>
      <c r="X88" s="299">
        <f t="shared" ref="X88:X95" si="14">AL161</f>
        <v>43.8</v>
      </c>
      <c r="Y88" s="299">
        <f t="shared" si="11"/>
        <v>4.4999999999999998E-2</v>
      </c>
      <c r="Z88" s="299">
        <f t="shared" si="11"/>
        <v>0.1</v>
      </c>
      <c r="AA88" s="299">
        <f t="shared" si="11"/>
        <v>2.1949999999999998</v>
      </c>
      <c r="AB88" s="299">
        <f t="shared" si="11"/>
        <v>2.6</v>
      </c>
      <c r="AC88" s="300">
        <f t="shared" ref="AC88:AC95" si="15">AC161*0.602</f>
        <v>11.282237762237763</v>
      </c>
      <c r="AD88" s="300">
        <f t="shared" ref="AD88:AD95" si="16">AD161*0.715</f>
        <v>8.8959302325581397</v>
      </c>
      <c r="AE88" s="300">
        <f t="shared" si="12"/>
        <v>22.778167994795901</v>
      </c>
      <c r="AS88" s="215"/>
      <c r="AT88" s="215"/>
      <c r="AU88" s="215"/>
      <c r="AV88" s="215"/>
      <c r="AW88" s="215"/>
      <c r="AX88" s="215"/>
    </row>
    <row r="89" spans="2:50" ht="19.5" customHeight="1" x14ac:dyDescent="0.25">
      <c r="B89" s="554"/>
      <c r="C89" s="554"/>
      <c r="D89" s="287" t="str">
        <f>IF(AV42&gt;0,AV42,"-")</f>
        <v>-</v>
      </c>
      <c r="E89" s="391" t="str">
        <f>IF(AV42&gt;0,"gramas por planta","-")</f>
        <v>-</v>
      </c>
      <c r="F89" s="391"/>
      <c r="G89" s="391"/>
      <c r="H89" s="272" t="s">
        <v>603</v>
      </c>
      <c r="I89" s="272">
        <f>IFERROR((D89/1000)*VLOOKUP(B88,$V$100:$W$179,2,0),0)</f>
        <v>0</v>
      </c>
      <c r="J89" s="298"/>
      <c r="M89" s="376"/>
      <c r="N89" s="391"/>
      <c r="O89" s="448"/>
      <c r="P89" s="448"/>
      <c r="Q89" s="92"/>
      <c r="R89" s="216"/>
      <c r="U89" s="560"/>
      <c r="V89" s="299" t="str">
        <f t="shared" si="13"/>
        <v>Pó de brita Fmx</v>
      </c>
      <c r="W89" s="299">
        <f t="shared" si="13"/>
        <v>0</v>
      </c>
      <c r="X89" s="299">
        <f t="shared" si="14"/>
        <v>0</v>
      </c>
      <c r="Y89" s="299">
        <f t="shared" si="11"/>
        <v>0</v>
      </c>
      <c r="Z89" s="299">
        <f t="shared" si="11"/>
        <v>0</v>
      </c>
      <c r="AA89" s="299">
        <f t="shared" si="11"/>
        <v>4.99</v>
      </c>
      <c r="AB89" s="299">
        <f t="shared" si="11"/>
        <v>6</v>
      </c>
      <c r="AC89" s="300">
        <f t="shared" si="15"/>
        <v>2.5258741258741257</v>
      </c>
      <c r="AD89" s="300">
        <f t="shared" si="16"/>
        <v>0.59385382059800662</v>
      </c>
      <c r="AE89" s="300">
        <f t="shared" si="12"/>
        <v>9.1197279464721319</v>
      </c>
      <c r="AS89" s="215"/>
      <c r="AT89" s="215"/>
      <c r="AU89" s="215"/>
      <c r="AV89" s="215"/>
      <c r="AW89" s="215"/>
      <c r="AX89" s="215"/>
    </row>
    <row r="90" spans="2:50" ht="19.5" customHeight="1" x14ac:dyDescent="0.25">
      <c r="M90" s="211"/>
      <c r="N90" s="215"/>
      <c r="O90" s="215"/>
      <c r="P90" s="215"/>
      <c r="Q90" s="215"/>
      <c r="R90" s="216"/>
      <c r="U90" s="560"/>
      <c r="V90" s="299" t="str">
        <f t="shared" si="13"/>
        <v>Biotita Xisto</v>
      </c>
      <c r="W90" s="299">
        <f t="shared" si="13"/>
        <v>0</v>
      </c>
      <c r="X90" s="299">
        <f t="shared" si="14"/>
        <v>57.8</v>
      </c>
      <c r="Y90" s="299">
        <f t="shared" si="11"/>
        <v>8.7999999999999995E-2</v>
      </c>
      <c r="Z90" s="299">
        <f t="shared" si="11"/>
        <v>0.2</v>
      </c>
      <c r="AA90" s="299">
        <f t="shared" si="11"/>
        <v>2.83</v>
      </c>
      <c r="AB90" s="299">
        <f t="shared" si="11"/>
        <v>3.4</v>
      </c>
      <c r="AC90" s="300">
        <f t="shared" si="15"/>
        <v>1.5155244755244754</v>
      </c>
      <c r="AD90" s="300">
        <f t="shared" si="16"/>
        <v>5.4634551495016606</v>
      </c>
      <c r="AE90" s="300">
        <f t="shared" si="12"/>
        <v>10.378979625026137</v>
      </c>
      <c r="AS90" s="215"/>
      <c r="AT90" s="215"/>
      <c r="AU90" s="215"/>
      <c r="AV90" s="215"/>
      <c r="AW90" s="215"/>
      <c r="AX90" s="215"/>
    </row>
    <row r="91" spans="2:50" ht="19.5" customHeight="1" x14ac:dyDescent="0.25">
      <c r="B91" s="554" t="str">
        <f>IF(AP43&gt;0,AP43,"-")</f>
        <v>Sulfato de manganês</v>
      </c>
      <c r="C91" s="554"/>
      <c r="D91" s="287">
        <f>IFERROR(((D92/1000)*$E$18),0)</f>
        <v>0</v>
      </c>
      <c r="E91" s="555" t="str">
        <f>IF(AV43&gt;0,"quilos para área total","-")</f>
        <v>-</v>
      </c>
      <c r="F91" s="555"/>
      <c r="G91" s="555"/>
      <c r="H91" s="272" t="s">
        <v>598</v>
      </c>
      <c r="I91" s="272">
        <f>I92*$E$18*$I$18</f>
        <v>0</v>
      </c>
      <c r="M91" s="211"/>
      <c r="N91" s="215"/>
      <c r="O91" s="391" t="s">
        <v>264</v>
      </c>
      <c r="P91" s="391"/>
      <c r="Q91" s="391"/>
      <c r="R91" s="216"/>
      <c r="U91" s="560"/>
      <c r="V91" s="299" t="str">
        <f t="shared" si="13"/>
        <v>Kamafugito</v>
      </c>
      <c r="W91" s="299">
        <f t="shared" si="13"/>
        <v>0</v>
      </c>
      <c r="X91" s="299">
        <f t="shared" si="14"/>
        <v>0</v>
      </c>
      <c r="Y91" s="299">
        <f t="shared" si="11"/>
        <v>1.5069999999999999</v>
      </c>
      <c r="Z91" s="299">
        <f t="shared" si="11"/>
        <v>3.5</v>
      </c>
      <c r="AA91" s="299">
        <f t="shared" si="11"/>
        <v>3.3250000000000002</v>
      </c>
      <c r="AB91" s="299">
        <f t="shared" si="11"/>
        <v>4</v>
      </c>
      <c r="AC91" s="300">
        <f t="shared" si="15"/>
        <v>1.7217199999999999</v>
      </c>
      <c r="AD91" s="300">
        <f t="shared" si="16"/>
        <v>0</v>
      </c>
      <c r="AE91" s="300">
        <f t="shared" si="12"/>
        <v>5.7217199999999995</v>
      </c>
      <c r="AS91" s="215"/>
      <c r="AT91" s="215"/>
      <c r="AU91" s="215"/>
      <c r="AV91" s="215"/>
      <c r="AW91" s="215"/>
      <c r="AX91" s="215"/>
    </row>
    <row r="92" spans="2:50" ht="19.5" customHeight="1" thickBot="1" x14ac:dyDescent="0.3">
      <c r="B92" s="554"/>
      <c r="C92" s="554"/>
      <c r="D92" s="287" t="str">
        <f>IF(AV43&gt;0,AV43,"-")</f>
        <v>-</v>
      </c>
      <c r="E92" s="391" t="str">
        <f>IF(AV43&gt;0,"gramas por planta","-")</f>
        <v>-</v>
      </c>
      <c r="F92" s="391"/>
      <c r="G92" s="391"/>
      <c r="H92" s="272" t="s">
        <v>603</v>
      </c>
      <c r="I92" s="272">
        <f>IFERROR((D92/1000)*VLOOKUP(B91,$V$100:$W$179,2,0),0)</f>
        <v>0</v>
      </c>
      <c r="M92" s="217"/>
      <c r="N92" s="218"/>
      <c r="O92" s="218"/>
      <c r="P92" s="218"/>
      <c r="Q92" s="218"/>
      <c r="R92" s="219"/>
      <c r="U92" s="560"/>
      <c r="V92" s="299">
        <f t="shared" si="13"/>
        <v>0</v>
      </c>
      <c r="W92" s="299">
        <f t="shared" si="13"/>
        <v>0</v>
      </c>
      <c r="X92" s="299">
        <f t="shared" si="14"/>
        <v>0</v>
      </c>
      <c r="Y92" s="299">
        <f t="shared" si="11"/>
        <v>0</v>
      </c>
      <c r="Z92" s="299">
        <f t="shared" si="11"/>
        <v>0</v>
      </c>
      <c r="AA92" s="299">
        <f t="shared" si="11"/>
        <v>0</v>
      </c>
      <c r="AB92" s="299">
        <f t="shared" si="11"/>
        <v>0</v>
      </c>
      <c r="AC92" s="300">
        <f t="shared" si="15"/>
        <v>0</v>
      </c>
      <c r="AD92" s="300">
        <f t="shared" si="16"/>
        <v>0</v>
      </c>
      <c r="AE92" s="300">
        <f t="shared" si="12"/>
        <v>0</v>
      </c>
      <c r="AS92" s="215"/>
      <c r="AT92" s="215"/>
      <c r="AU92" s="215"/>
      <c r="AV92" s="215"/>
      <c r="AW92" s="215"/>
      <c r="AX92" s="215"/>
    </row>
    <row r="93" spans="2:50" ht="19.5" customHeight="1" thickBot="1" x14ac:dyDescent="0.3">
      <c r="J93" s="301"/>
      <c r="U93" s="560"/>
      <c r="V93" s="299">
        <f t="shared" si="13"/>
        <v>0</v>
      </c>
      <c r="W93" s="299">
        <f t="shared" si="13"/>
        <v>0</v>
      </c>
      <c r="X93" s="299">
        <f t="shared" si="14"/>
        <v>0</v>
      </c>
      <c r="Y93" s="299">
        <f t="shared" si="11"/>
        <v>0</v>
      </c>
      <c r="Z93" s="299">
        <f t="shared" si="11"/>
        <v>0</v>
      </c>
      <c r="AA93" s="299">
        <f t="shared" si="11"/>
        <v>0</v>
      </c>
      <c r="AB93" s="299">
        <f t="shared" si="11"/>
        <v>0</v>
      </c>
      <c r="AC93" s="300">
        <f t="shared" si="15"/>
        <v>0</v>
      </c>
      <c r="AD93" s="300">
        <f t="shared" si="16"/>
        <v>0</v>
      </c>
      <c r="AE93" s="300">
        <f t="shared" si="12"/>
        <v>0</v>
      </c>
      <c r="AS93" s="215"/>
      <c r="AT93" s="215"/>
      <c r="AU93" s="215"/>
      <c r="AV93" s="215"/>
      <c r="AW93" s="215"/>
      <c r="AX93" s="215"/>
    </row>
    <row r="94" spans="2:50" ht="19.5" customHeight="1" x14ac:dyDescent="0.25">
      <c r="B94" s="554" t="str">
        <f>IF(AP44&gt;0,AP44,"-")</f>
        <v>-</v>
      </c>
      <c r="C94" s="554"/>
      <c r="D94" s="287">
        <f>IFERROR(((D95/1000)*$E$18),0)</f>
        <v>0</v>
      </c>
      <c r="E94" s="555" t="str">
        <f>IF(AV44&gt;0,"quilos para área total","-")</f>
        <v>-</v>
      </c>
      <c r="F94" s="555"/>
      <c r="G94" s="555"/>
      <c r="H94" s="272" t="s">
        <v>598</v>
      </c>
      <c r="I94" s="272">
        <f>I95*$E$18*$I$18</f>
        <v>0</v>
      </c>
      <c r="J94" s="301"/>
      <c r="M94" s="212"/>
      <c r="N94" s="213"/>
      <c r="O94" s="213"/>
      <c r="P94" s="213"/>
      <c r="Q94" s="213"/>
      <c r="R94" s="214"/>
      <c r="U94" s="560"/>
      <c r="V94" s="299">
        <f t="shared" si="13"/>
        <v>0</v>
      </c>
      <c r="W94" s="299">
        <f t="shared" si="13"/>
        <v>0</v>
      </c>
      <c r="X94" s="299">
        <f t="shared" si="14"/>
        <v>0</v>
      </c>
      <c r="Y94" s="299">
        <f t="shared" si="11"/>
        <v>0</v>
      </c>
      <c r="Z94" s="299">
        <f t="shared" si="11"/>
        <v>0</v>
      </c>
      <c r="AA94" s="299">
        <f t="shared" si="11"/>
        <v>0</v>
      </c>
      <c r="AB94" s="299">
        <f t="shared" si="11"/>
        <v>0</v>
      </c>
      <c r="AC94" s="300">
        <f t="shared" si="15"/>
        <v>0</v>
      </c>
      <c r="AD94" s="300">
        <f t="shared" si="16"/>
        <v>0</v>
      </c>
      <c r="AE94" s="300">
        <f t="shared" si="12"/>
        <v>0</v>
      </c>
      <c r="AS94" s="215"/>
      <c r="AT94" s="215"/>
      <c r="AU94" s="215"/>
      <c r="AV94" s="215"/>
      <c r="AW94" s="215"/>
      <c r="AX94" s="215"/>
    </row>
    <row r="95" spans="2:50" ht="19.5" customHeight="1" x14ac:dyDescent="0.25">
      <c r="B95" s="554"/>
      <c r="C95" s="554"/>
      <c r="D95" s="287" t="str">
        <f>IF(AV44&gt;0,AV44,"-")</f>
        <v>-</v>
      </c>
      <c r="E95" s="391" t="str">
        <f>IF(AV44&gt;0,"gramas por planta","-")</f>
        <v>-</v>
      </c>
      <c r="F95" s="391"/>
      <c r="G95" s="391"/>
      <c r="H95" s="272" t="s">
        <v>603</v>
      </c>
      <c r="I95" s="272">
        <f>IFERROR((D95/1000)*VLOOKUP(B94,$V$100:$W$179,2,0),0)</f>
        <v>0</v>
      </c>
      <c r="M95" s="376" t="s">
        <v>269</v>
      </c>
      <c r="N95" s="552"/>
      <c r="O95" s="302" t="s">
        <v>33</v>
      </c>
      <c r="P95" s="302" t="s">
        <v>223</v>
      </c>
      <c r="Q95" s="302" t="s">
        <v>224</v>
      </c>
      <c r="R95" s="216"/>
      <c r="U95" s="560"/>
      <c r="V95" s="299">
        <f t="shared" si="13"/>
        <v>0</v>
      </c>
      <c r="W95" s="299">
        <f t="shared" si="13"/>
        <v>0</v>
      </c>
      <c r="X95" s="299">
        <f t="shared" si="14"/>
        <v>0</v>
      </c>
      <c r="Y95" s="299">
        <f t="shared" si="11"/>
        <v>0</v>
      </c>
      <c r="Z95" s="299">
        <f t="shared" si="11"/>
        <v>0</v>
      </c>
      <c r="AA95" s="299">
        <f t="shared" si="11"/>
        <v>0</v>
      </c>
      <c r="AB95" s="299">
        <f t="shared" si="11"/>
        <v>0</v>
      </c>
      <c r="AC95" s="300">
        <f t="shared" si="15"/>
        <v>0</v>
      </c>
      <c r="AD95" s="300">
        <f t="shared" si="16"/>
        <v>0</v>
      </c>
      <c r="AE95" s="300">
        <f t="shared" si="12"/>
        <v>0</v>
      </c>
      <c r="AS95" s="215"/>
      <c r="AT95" s="215"/>
      <c r="AU95" s="215"/>
      <c r="AV95" s="215"/>
      <c r="AW95" s="215"/>
      <c r="AX95" s="215"/>
    </row>
    <row r="96" spans="2:50" ht="19.5" customHeight="1" x14ac:dyDescent="0.25">
      <c r="G96" s="45"/>
      <c r="H96" s="45"/>
      <c r="I96" s="45"/>
      <c r="M96" s="376" t="s">
        <v>262</v>
      </c>
      <c r="N96" s="552"/>
      <c r="O96" s="303">
        <f>$AC$30</f>
        <v>70</v>
      </c>
      <c r="P96" s="303">
        <f>$AC$31</f>
        <v>40</v>
      </c>
      <c r="Q96" s="303">
        <f>$AC$32</f>
        <v>120</v>
      </c>
      <c r="R96" s="216"/>
      <c r="AS96" s="215"/>
      <c r="AT96" s="215"/>
      <c r="AU96" s="215"/>
      <c r="AV96" s="215"/>
      <c r="AW96" s="215"/>
      <c r="AX96" s="215"/>
    </row>
    <row r="97" spans="1:50" ht="19.5" customHeight="1" x14ac:dyDescent="0.25">
      <c r="A97" s="42"/>
      <c r="B97" s="553" t="s">
        <v>536</v>
      </c>
      <c r="C97" s="553"/>
      <c r="D97" s="553"/>
      <c r="E97" s="553"/>
      <c r="F97" s="553"/>
      <c r="G97" s="553"/>
      <c r="H97" s="553"/>
      <c r="I97" s="553"/>
      <c r="M97" s="376" t="s">
        <v>270</v>
      </c>
      <c r="N97" s="552"/>
      <c r="O97" s="263">
        <f>AS21</f>
        <v>70</v>
      </c>
      <c r="P97" s="263">
        <f>AT21</f>
        <v>0</v>
      </c>
      <c r="Q97" s="263">
        <f>AU21</f>
        <v>0</v>
      </c>
      <c r="R97" s="216"/>
      <c r="AS97" s="215"/>
      <c r="AT97" s="215"/>
      <c r="AU97" s="215"/>
      <c r="AV97" s="215"/>
      <c r="AW97" s="215"/>
      <c r="AX97" s="215"/>
    </row>
    <row r="98" spans="1:50" ht="19.5" customHeight="1" thickBot="1" x14ac:dyDescent="0.3">
      <c r="A98" s="43"/>
      <c r="B98" s="553"/>
      <c r="C98" s="553"/>
      <c r="D98" s="553"/>
      <c r="E98" s="553"/>
      <c r="F98" s="553"/>
      <c r="G98" s="553"/>
      <c r="H98" s="553"/>
      <c r="I98" s="553"/>
      <c r="M98" s="217"/>
      <c r="N98" s="218"/>
      <c r="O98" s="218"/>
      <c r="P98" s="218"/>
      <c r="Q98" s="218"/>
      <c r="R98" s="219"/>
      <c r="U98" s="551" t="s">
        <v>136</v>
      </c>
      <c r="V98" s="551" t="s">
        <v>76</v>
      </c>
      <c r="W98" s="551" t="s">
        <v>77</v>
      </c>
      <c r="X98" s="551" t="s">
        <v>78</v>
      </c>
      <c r="Y98" s="551"/>
      <c r="Z98" s="551"/>
      <c r="AA98" s="551"/>
      <c r="AB98" s="551"/>
      <c r="AC98" s="551"/>
      <c r="AD98" s="551"/>
      <c r="AE98" s="551"/>
      <c r="AF98" s="551"/>
      <c r="AG98" s="551"/>
      <c r="AH98" s="551"/>
      <c r="AI98" s="551"/>
      <c r="AJ98" s="551"/>
      <c r="AK98" s="551"/>
      <c r="AL98" s="551"/>
      <c r="AM98" s="551"/>
      <c r="AN98" s="551"/>
      <c r="AO98" s="551"/>
      <c r="AS98" s="215"/>
      <c r="AT98" s="215"/>
      <c r="AU98" s="215"/>
      <c r="AV98" s="215"/>
      <c r="AW98" s="215"/>
      <c r="AX98" s="215"/>
    </row>
    <row r="99" spans="1:50" ht="19.5" customHeight="1" thickBot="1" x14ac:dyDescent="0.3">
      <c r="A99" s="43"/>
      <c r="B99" s="553"/>
      <c r="C99" s="553"/>
      <c r="D99" s="553"/>
      <c r="E99" s="553"/>
      <c r="F99" s="553"/>
      <c r="G99" s="553"/>
      <c r="H99" s="553"/>
      <c r="I99" s="553"/>
      <c r="U99" s="551"/>
      <c r="V99" s="551"/>
      <c r="W99" s="551"/>
      <c r="X99" s="304" t="s">
        <v>33</v>
      </c>
      <c r="Y99" s="304" t="s">
        <v>79</v>
      </c>
      <c r="Z99" s="304" t="s">
        <v>66</v>
      </c>
      <c r="AA99" s="304" t="s">
        <v>80</v>
      </c>
      <c r="AB99" s="304" t="s">
        <v>67</v>
      </c>
      <c r="AC99" s="304" t="s">
        <v>81</v>
      </c>
      <c r="AD99" s="304" t="s">
        <v>82</v>
      </c>
      <c r="AE99" s="304" t="s">
        <v>83</v>
      </c>
      <c r="AF99" s="304" t="s">
        <v>84</v>
      </c>
      <c r="AG99" s="304" t="s">
        <v>85</v>
      </c>
      <c r="AH99" s="304" t="s">
        <v>86</v>
      </c>
      <c r="AI99" s="304" t="s">
        <v>87</v>
      </c>
      <c r="AJ99" s="304" t="s">
        <v>88</v>
      </c>
      <c r="AK99" s="304" t="s">
        <v>89</v>
      </c>
      <c r="AL99" s="304" t="s">
        <v>117</v>
      </c>
      <c r="AM99" s="304" t="s">
        <v>90</v>
      </c>
      <c r="AN99" s="304" t="s">
        <v>91</v>
      </c>
      <c r="AO99" s="304" t="s">
        <v>92</v>
      </c>
      <c r="AS99" s="215"/>
      <c r="AT99" s="215"/>
      <c r="AU99" s="215"/>
      <c r="AV99" s="215"/>
      <c r="AW99" s="215"/>
      <c r="AX99" s="215"/>
    </row>
    <row r="100" spans="1:50" ht="19.5" customHeight="1" x14ac:dyDescent="0.25">
      <c r="A100" s="215"/>
      <c r="B100" s="553"/>
      <c r="C100" s="553"/>
      <c r="D100" s="553"/>
      <c r="E100" s="553"/>
      <c r="F100" s="553"/>
      <c r="G100" s="553"/>
      <c r="H100" s="553"/>
      <c r="I100" s="553"/>
      <c r="M100" s="212"/>
      <c r="N100" s="213"/>
      <c r="O100" s="213"/>
      <c r="P100" s="213"/>
      <c r="Q100" s="213"/>
      <c r="R100" s="214"/>
      <c r="U100" s="544" t="s">
        <v>227</v>
      </c>
      <c r="V100" s="305" t="str">
        <f>'[1]Adubos e corretivos'!C3</f>
        <v>Uréia</v>
      </c>
      <c r="W100" s="305">
        <f>'[1]Adubos e corretivos'!D3</f>
        <v>2.8</v>
      </c>
      <c r="X100" s="305">
        <f>'[1]Adubos e corretivos'!E3</f>
        <v>45</v>
      </c>
      <c r="Y100" s="305">
        <f>'[1]Adubos e corretivos'!F3</f>
        <v>0</v>
      </c>
      <c r="Z100" s="305">
        <f>'[1]Adubos e corretivos'!G3</f>
        <v>0</v>
      </c>
      <c r="AA100" s="305">
        <f>'[1]Adubos e corretivos'!H3</f>
        <v>0</v>
      </c>
      <c r="AB100" s="305">
        <f>'[1]Adubos e corretivos'!I3</f>
        <v>0</v>
      </c>
      <c r="AC100" s="305">
        <f>'[1]Adubos e corretivos'!J3</f>
        <v>0</v>
      </c>
      <c r="AD100" s="305">
        <f>'[1]Adubos e corretivos'!K3</f>
        <v>0</v>
      </c>
      <c r="AE100" s="305">
        <f>'[1]Adubos e corretivos'!L3</f>
        <v>0</v>
      </c>
      <c r="AF100" s="305">
        <f>'[1]Adubos e corretivos'!M3</f>
        <v>0</v>
      </c>
      <c r="AG100" s="305">
        <f>'[1]Adubos e corretivos'!N3</f>
        <v>0</v>
      </c>
      <c r="AH100" s="305">
        <f>'[1]Adubos e corretivos'!O3</f>
        <v>0</v>
      </c>
      <c r="AI100" s="305">
        <f>'[1]Adubos e corretivos'!P3</f>
        <v>0</v>
      </c>
      <c r="AJ100" s="305">
        <f>'[1]Adubos e corretivos'!Q3</f>
        <v>0</v>
      </c>
      <c r="AK100" s="305">
        <f>'[1]Adubos e corretivos'!R3</f>
        <v>0</v>
      </c>
      <c r="AL100" s="305">
        <f>'[1]Adubos e corretivos'!S3</f>
        <v>0</v>
      </c>
      <c r="AM100" s="305">
        <f>'[1]Adubos e corretivos'!T3</f>
        <v>45</v>
      </c>
      <c r="AN100" s="305">
        <f>'[1]Adubos e corretivos'!U3</f>
        <v>0</v>
      </c>
      <c r="AO100" s="305">
        <f>'[1]Adubos e corretivos'!V3</f>
        <v>0</v>
      </c>
      <c r="AS100" s="215"/>
      <c r="AT100" s="215"/>
      <c r="AU100" s="215"/>
      <c r="AV100" s="215"/>
      <c r="AW100" s="215"/>
      <c r="AX100" s="215"/>
    </row>
    <row r="101" spans="1:50" ht="19.5" customHeight="1" thickBot="1" x14ac:dyDescent="0.3">
      <c r="A101" s="215"/>
      <c r="B101" s="306"/>
      <c r="C101" s="306"/>
      <c r="D101" s="287"/>
      <c r="H101" s="272"/>
      <c r="I101" s="272"/>
      <c r="M101" s="376" t="s">
        <v>265</v>
      </c>
      <c r="N101" s="552"/>
      <c r="O101" s="548" t="s">
        <v>255</v>
      </c>
      <c r="P101" s="548"/>
      <c r="Q101" s="548"/>
      <c r="R101" s="216"/>
      <c r="U101" s="544"/>
      <c r="V101" s="305" t="str">
        <f>'[1]Adubos e corretivos'!C4</f>
        <v>Sulfato de amônio</v>
      </c>
      <c r="W101" s="305">
        <f>'[1]Adubos e corretivos'!D4</f>
        <v>1.72</v>
      </c>
      <c r="X101" s="305">
        <f>'[1]Adubos e corretivos'!E4</f>
        <v>20</v>
      </c>
      <c r="Y101" s="305">
        <f>'[1]Adubos e corretivos'!F4</f>
        <v>0</v>
      </c>
      <c r="Z101" s="305">
        <f>'[1]Adubos e corretivos'!G4</f>
        <v>0</v>
      </c>
      <c r="AA101" s="305">
        <f>'[1]Adubos e corretivos'!H4</f>
        <v>0</v>
      </c>
      <c r="AB101" s="305">
        <f>'[1]Adubos e corretivos'!I4</f>
        <v>0</v>
      </c>
      <c r="AC101" s="305">
        <f>'[1]Adubos e corretivos'!J4</f>
        <v>0</v>
      </c>
      <c r="AD101" s="305">
        <f>'[1]Adubos e corretivos'!K4</f>
        <v>0</v>
      </c>
      <c r="AE101" s="305">
        <f>'[1]Adubos e corretivos'!L4</f>
        <v>24</v>
      </c>
      <c r="AF101" s="305">
        <f>'[1]Adubos e corretivos'!M4</f>
        <v>0</v>
      </c>
      <c r="AG101" s="305">
        <f>'[1]Adubos e corretivos'!N4</f>
        <v>0</v>
      </c>
      <c r="AH101" s="305">
        <f>'[1]Adubos e corretivos'!O4</f>
        <v>0</v>
      </c>
      <c r="AI101" s="305">
        <f>'[1]Adubos e corretivos'!P4</f>
        <v>0</v>
      </c>
      <c r="AJ101" s="305">
        <f>'[1]Adubos e corretivos'!Q4</f>
        <v>0</v>
      </c>
      <c r="AK101" s="305">
        <f>'[1]Adubos e corretivos'!R4</f>
        <v>0</v>
      </c>
      <c r="AL101" s="305">
        <f>'[1]Adubos e corretivos'!S4</f>
        <v>0</v>
      </c>
      <c r="AM101" s="305">
        <f>'[1]Adubos e corretivos'!T4</f>
        <v>20</v>
      </c>
      <c r="AN101" s="305">
        <f>'[1]Adubos e corretivos'!U4</f>
        <v>0</v>
      </c>
      <c r="AO101" s="305">
        <f>'[1]Adubos e corretivos'!V4</f>
        <v>0</v>
      </c>
      <c r="AS101" s="215"/>
      <c r="AT101" s="215"/>
      <c r="AU101" s="215"/>
      <c r="AV101" s="215"/>
      <c r="AW101" s="215"/>
      <c r="AX101" s="215"/>
    </row>
    <row r="102" spans="1:50" ht="19.5" customHeight="1" thickBot="1" x14ac:dyDescent="0.3">
      <c r="A102" s="215"/>
      <c r="B102" s="373" t="s">
        <v>613</v>
      </c>
      <c r="C102" s="374"/>
      <c r="D102" s="374"/>
      <c r="E102" s="374"/>
      <c r="F102" s="374"/>
      <c r="G102" s="374"/>
      <c r="H102" s="374"/>
      <c r="I102" s="375"/>
      <c r="M102" s="376"/>
      <c r="N102" s="552"/>
      <c r="O102" s="448" t="s">
        <v>316</v>
      </c>
      <c r="P102" s="448"/>
      <c r="Q102" s="448"/>
      <c r="R102" s="216"/>
      <c r="U102" s="544"/>
      <c r="V102" s="305" t="str">
        <f>'[1]Adubos e corretivos'!C5</f>
        <v>Nitrato de Amônio</v>
      </c>
      <c r="W102" s="305">
        <f>'[1]Adubos e corretivos'!D5</f>
        <v>0</v>
      </c>
      <c r="X102" s="305">
        <f>'[1]Adubos e corretivos'!E5</f>
        <v>29</v>
      </c>
      <c r="Y102" s="305">
        <f>'[1]Adubos e corretivos'!F5</f>
        <v>0</v>
      </c>
      <c r="Z102" s="305">
        <f>'[1]Adubos e corretivos'!G5</f>
        <v>0</v>
      </c>
      <c r="AA102" s="305">
        <f>'[1]Adubos e corretivos'!H5</f>
        <v>0</v>
      </c>
      <c r="AB102" s="305">
        <f>'[1]Adubos e corretivos'!I5</f>
        <v>0</v>
      </c>
      <c r="AC102" s="305">
        <f>'[1]Adubos e corretivos'!J5</f>
        <v>0</v>
      </c>
      <c r="AD102" s="305">
        <f>'[1]Adubos e corretivos'!K5</f>
        <v>1</v>
      </c>
      <c r="AE102" s="305">
        <f>'[1]Adubos e corretivos'!L5</f>
        <v>1</v>
      </c>
      <c r="AF102" s="305">
        <f>'[1]Adubos e corretivos'!M5</f>
        <v>0</v>
      </c>
      <c r="AG102" s="305">
        <f>'[1]Adubos e corretivos'!N5</f>
        <v>0</v>
      </c>
      <c r="AH102" s="305">
        <f>'[1]Adubos e corretivos'!O5</f>
        <v>1</v>
      </c>
      <c r="AI102" s="305">
        <f>'[1]Adubos e corretivos'!P5</f>
        <v>0</v>
      </c>
      <c r="AJ102" s="305">
        <f>'[1]Adubos e corretivos'!Q5</f>
        <v>0</v>
      </c>
      <c r="AK102" s="305">
        <f>'[1]Adubos e corretivos'!R5</f>
        <v>0</v>
      </c>
      <c r="AL102" s="305">
        <f>'[1]Adubos e corretivos'!S5</f>
        <v>0</v>
      </c>
      <c r="AM102" s="305">
        <f>'[1]Adubos e corretivos'!T5</f>
        <v>14.5</v>
      </c>
      <c r="AN102" s="305">
        <f>'[1]Adubos e corretivos'!U5</f>
        <v>14.5</v>
      </c>
      <c r="AO102" s="305">
        <f>'[1]Adubos e corretivos'!V5</f>
        <v>1.5</v>
      </c>
      <c r="AS102" s="215"/>
      <c r="AT102" s="215"/>
      <c r="AU102" s="215"/>
      <c r="AV102" s="215"/>
      <c r="AW102" s="215"/>
      <c r="AX102" s="215"/>
    </row>
    <row r="103" spans="1:50" ht="19.5" customHeight="1" x14ac:dyDescent="0.25">
      <c r="M103" s="376"/>
      <c r="N103" s="552"/>
      <c r="O103" s="448" t="s">
        <v>257</v>
      </c>
      <c r="P103" s="448"/>
      <c r="Q103" s="448"/>
      <c r="R103" s="216"/>
      <c r="U103" s="544"/>
      <c r="V103" s="305" t="str">
        <f>'[1]Adubos e corretivos'!C6</f>
        <v>Nitrato de cálcio</v>
      </c>
      <c r="W103" s="305">
        <f>'[1]Adubos e corretivos'!D6</f>
        <v>2.56</v>
      </c>
      <c r="X103" s="305">
        <f>'[1]Adubos e corretivos'!E6</f>
        <v>15</v>
      </c>
      <c r="Y103" s="305">
        <f>'[1]Adubos e corretivos'!F6</f>
        <v>0</v>
      </c>
      <c r="Z103" s="305">
        <f>'[1]Adubos e corretivos'!G6</f>
        <v>0</v>
      </c>
      <c r="AA103" s="305">
        <f>'[1]Adubos e corretivos'!H6</f>
        <v>0</v>
      </c>
      <c r="AB103" s="305">
        <f>'[1]Adubos e corretivos'!I6</f>
        <v>0</v>
      </c>
      <c r="AC103" s="305">
        <f>'[1]Adubos e corretivos'!J6</f>
        <v>19</v>
      </c>
      <c r="AD103" s="305">
        <f>'[1]Adubos e corretivos'!K6</f>
        <v>0</v>
      </c>
      <c r="AE103" s="305">
        <f>'[1]Adubos e corretivos'!L6</f>
        <v>0</v>
      </c>
      <c r="AF103" s="305">
        <f>'[1]Adubos e corretivos'!M6</f>
        <v>0</v>
      </c>
      <c r="AG103" s="305">
        <f>'[1]Adubos e corretivos'!N6</f>
        <v>0</v>
      </c>
      <c r="AH103" s="305">
        <f>'[1]Adubos e corretivos'!O6</f>
        <v>0</v>
      </c>
      <c r="AI103" s="305">
        <f>'[1]Adubos e corretivos'!P6</f>
        <v>0</v>
      </c>
      <c r="AJ103" s="305">
        <f>'[1]Adubos e corretivos'!Q6</f>
        <v>0</v>
      </c>
      <c r="AK103" s="305">
        <f>'[1]Adubos e corretivos'!R6</f>
        <v>0</v>
      </c>
      <c r="AL103" s="305">
        <f>'[1]Adubos e corretivos'!S6</f>
        <v>0</v>
      </c>
      <c r="AM103" s="305">
        <f>'[1]Adubos e corretivos'!T6</f>
        <v>1</v>
      </c>
      <c r="AN103" s="305">
        <f>'[1]Adubos e corretivos'!U6</f>
        <v>14</v>
      </c>
      <c r="AO103" s="305">
        <f>'[1]Adubos e corretivos'!V6</f>
        <v>1.18</v>
      </c>
      <c r="AS103" s="215"/>
      <c r="AT103" s="215"/>
      <c r="AU103" s="215"/>
      <c r="AV103" s="215"/>
      <c r="AW103" s="215"/>
      <c r="AX103" s="215"/>
    </row>
    <row r="104" spans="1:50" ht="19.5" customHeight="1" x14ac:dyDescent="0.25">
      <c r="C104" s="272" t="s">
        <v>614</v>
      </c>
      <c r="D104" s="272"/>
      <c r="G104" s="549">
        <f>IFERROR((I27+I30+I38+I45+I48+I51+I54+I57+I60+I63+I66+I69+I72+I82+I85+I88+I91+I94),0)</f>
        <v>5425.6652882205499</v>
      </c>
      <c r="H104" s="549"/>
      <c r="I104" s="307"/>
      <c r="M104" s="376"/>
      <c r="N104" s="552"/>
      <c r="O104" s="448" t="s">
        <v>103</v>
      </c>
      <c r="P104" s="448"/>
      <c r="Q104" s="448"/>
      <c r="R104" s="216"/>
      <c r="U104" s="544"/>
      <c r="V104" s="305" t="str">
        <f>'[1]Adubos e corretivos'!C7</f>
        <v>Nitrato de magnésio</v>
      </c>
      <c r="W104" s="305">
        <f>'[1]Adubos e corretivos'!D7</f>
        <v>4.5999999999999996</v>
      </c>
      <c r="X104" s="305">
        <f>'[1]Adubos e corretivos'!E7</f>
        <v>11</v>
      </c>
      <c r="Y104" s="305">
        <f>'[1]Adubos e corretivos'!F7</f>
        <v>0</v>
      </c>
      <c r="Z104" s="305">
        <f>'[1]Adubos e corretivos'!G7</f>
        <v>0</v>
      </c>
      <c r="AA104" s="305">
        <f>'[1]Adubos e corretivos'!H7</f>
        <v>0</v>
      </c>
      <c r="AB104" s="305">
        <f>'[1]Adubos e corretivos'!I7</f>
        <v>0</v>
      </c>
      <c r="AC104" s="305">
        <f>'[1]Adubos e corretivos'!J7</f>
        <v>0</v>
      </c>
      <c r="AD104" s="305">
        <f>'[1]Adubos e corretivos'!K7</f>
        <v>9.5</v>
      </c>
      <c r="AE104" s="305">
        <f>'[1]Adubos e corretivos'!L7</f>
        <v>0</v>
      </c>
      <c r="AF104" s="305">
        <f>'[1]Adubos e corretivos'!M7</f>
        <v>0</v>
      </c>
      <c r="AG104" s="305">
        <f>'[1]Adubos e corretivos'!N7</f>
        <v>0</v>
      </c>
      <c r="AH104" s="305">
        <f>'[1]Adubos e corretivos'!O7</f>
        <v>0</v>
      </c>
      <c r="AI104" s="305">
        <f>'[1]Adubos e corretivos'!P7</f>
        <v>0</v>
      </c>
      <c r="AJ104" s="305">
        <f>'[1]Adubos e corretivos'!Q7</f>
        <v>0</v>
      </c>
      <c r="AK104" s="305">
        <f>'[1]Adubos e corretivos'!R7</f>
        <v>0</v>
      </c>
      <c r="AL104" s="305">
        <f>'[1]Adubos e corretivos'!S7</f>
        <v>0</v>
      </c>
      <c r="AM104" s="305">
        <f>'[1]Adubos e corretivos'!T7</f>
        <v>0</v>
      </c>
      <c r="AN104" s="305">
        <f>'[1]Adubos e corretivos'!U7</f>
        <v>11</v>
      </c>
      <c r="AO104" s="305">
        <f>'[1]Adubos e corretivos'!V7</f>
        <v>0.9</v>
      </c>
      <c r="AS104" s="215"/>
      <c r="AT104" s="215"/>
      <c r="AU104" s="215"/>
      <c r="AV104" s="215"/>
      <c r="AW104" s="215"/>
      <c r="AX104" s="215"/>
    </row>
    <row r="105" spans="1:50" ht="19.5" customHeight="1" x14ac:dyDescent="0.25">
      <c r="M105" s="376"/>
      <c r="N105" s="552"/>
      <c r="O105" s="448" t="s">
        <v>102</v>
      </c>
      <c r="P105" s="448"/>
      <c r="Q105" s="448"/>
      <c r="R105" s="216"/>
      <c r="U105" s="544"/>
      <c r="V105" s="305" t="str">
        <f>'[1]Adubos e corretivos'!C8</f>
        <v>Nitrato de potássio</v>
      </c>
      <c r="W105" s="305">
        <f>'[1]Adubos e corretivos'!D8</f>
        <v>5.92</v>
      </c>
      <c r="X105" s="305">
        <f>'[1]Adubos e corretivos'!E8</f>
        <v>12</v>
      </c>
      <c r="Y105" s="305">
        <f>'[1]Adubos e corretivos'!F8</f>
        <v>0</v>
      </c>
      <c r="Z105" s="305">
        <f>'[1]Adubos e corretivos'!G8</f>
        <v>0</v>
      </c>
      <c r="AA105" s="305">
        <f>'[1]Adubos e corretivos'!H8</f>
        <v>38</v>
      </c>
      <c r="AB105" s="305">
        <f>'[1]Adubos e corretivos'!I8</f>
        <v>0</v>
      </c>
      <c r="AC105" s="305">
        <f>'[1]Adubos e corretivos'!J8</f>
        <v>0</v>
      </c>
      <c r="AD105" s="305">
        <f>'[1]Adubos e corretivos'!K8</f>
        <v>0</v>
      </c>
      <c r="AE105" s="305">
        <f>'[1]Adubos e corretivos'!L8</f>
        <v>0</v>
      </c>
      <c r="AF105" s="305">
        <f>'[1]Adubos e corretivos'!M8</f>
        <v>0</v>
      </c>
      <c r="AG105" s="305">
        <f>'[1]Adubos e corretivos'!N8</f>
        <v>0</v>
      </c>
      <c r="AH105" s="305">
        <f>'[1]Adubos e corretivos'!O8</f>
        <v>0</v>
      </c>
      <c r="AI105" s="305">
        <f>'[1]Adubos e corretivos'!P8</f>
        <v>0</v>
      </c>
      <c r="AJ105" s="305">
        <f>'[1]Adubos e corretivos'!Q8</f>
        <v>0</v>
      </c>
      <c r="AK105" s="305">
        <f>'[1]Adubos e corretivos'!R8</f>
        <v>0</v>
      </c>
      <c r="AL105" s="305">
        <f>'[1]Adubos e corretivos'!S8</f>
        <v>0</v>
      </c>
      <c r="AM105" s="305">
        <f>'[1]Adubos e corretivos'!T8</f>
        <v>0</v>
      </c>
      <c r="AN105" s="305">
        <f>'[1]Adubos e corretivos'!U8</f>
        <v>12</v>
      </c>
      <c r="AO105" s="305">
        <f>'[1]Adubos e corretivos'!V8</f>
        <v>1.28</v>
      </c>
      <c r="AS105" s="215"/>
      <c r="AT105" s="215"/>
      <c r="AU105" s="215"/>
      <c r="AV105" s="215"/>
      <c r="AW105" s="215"/>
      <c r="AX105" s="215"/>
    </row>
    <row r="106" spans="1:50" ht="19.5" customHeight="1" x14ac:dyDescent="0.25">
      <c r="C106" s="272" t="s">
        <v>615</v>
      </c>
      <c r="D106" s="272"/>
      <c r="G106" s="549">
        <f>IFERROR((I27+I30+I38+I48+I51+I54+I57+I60+I63+I66+I69+I72+I82+I85+I88+I91+I94),0)</f>
        <v>5425.6652882205499</v>
      </c>
      <c r="H106" s="549"/>
      <c r="M106" s="376"/>
      <c r="N106" s="552"/>
      <c r="O106" s="448"/>
      <c r="P106" s="448"/>
      <c r="Q106" s="448"/>
      <c r="R106" s="216"/>
      <c r="U106" s="544"/>
      <c r="V106" s="305" t="str">
        <f>'[1]Adubos e corretivos'!C9</f>
        <v>Superfosfato simples</v>
      </c>
      <c r="W106" s="305">
        <f>'[1]Adubos e corretivos'!D9</f>
        <v>1.68</v>
      </c>
      <c r="X106" s="305">
        <f>'[1]Adubos e corretivos'!E9</f>
        <v>0</v>
      </c>
      <c r="Y106" s="305">
        <f>'[1]Adubos e corretivos'!F9</f>
        <v>7.86</v>
      </c>
      <c r="Z106" s="305">
        <f>'[1]Adubos e corretivos'!G9</f>
        <v>18</v>
      </c>
      <c r="AA106" s="305">
        <f>'[1]Adubos e corretivos'!H9</f>
        <v>0</v>
      </c>
      <c r="AB106" s="305">
        <f>'[1]Adubos e corretivos'!I9</f>
        <v>0</v>
      </c>
      <c r="AC106" s="305">
        <f>'[1]Adubos e corretivos'!J9</f>
        <v>0</v>
      </c>
      <c r="AD106" s="305">
        <f>'[1]Adubos e corretivos'!K9</f>
        <v>0</v>
      </c>
      <c r="AE106" s="305">
        <f>'[1]Adubos e corretivos'!L9</f>
        <v>0</v>
      </c>
      <c r="AF106" s="305">
        <f>'[1]Adubos e corretivos'!M9</f>
        <v>0</v>
      </c>
      <c r="AG106" s="305">
        <f>'[1]Adubos e corretivos'!N9</f>
        <v>0</v>
      </c>
      <c r="AH106" s="305">
        <f>'[1]Adubos e corretivos'!O9</f>
        <v>0</v>
      </c>
      <c r="AI106" s="305">
        <f>'[1]Adubos e corretivos'!P9</f>
        <v>0</v>
      </c>
      <c r="AJ106" s="305">
        <f>'[1]Adubos e corretivos'!Q9</f>
        <v>0</v>
      </c>
      <c r="AK106" s="305">
        <f>'[1]Adubos e corretivos'!R9</f>
        <v>0</v>
      </c>
      <c r="AL106" s="305">
        <f>'[1]Adubos e corretivos'!S9</f>
        <v>0</v>
      </c>
      <c r="AM106" s="305">
        <f>'[1]Adubos e corretivos'!T9</f>
        <v>0</v>
      </c>
      <c r="AN106" s="305">
        <f>'[1]Adubos e corretivos'!U9</f>
        <v>0</v>
      </c>
      <c r="AO106" s="305">
        <f>'[1]Adubos e corretivos'!V9</f>
        <v>0</v>
      </c>
    </row>
    <row r="107" spans="1:50" ht="19.5" customHeight="1" thickBot="1" x14ac:dyDescent="0.3">
      <c r="C107" s="550"/>
      <c r="D107" s="550"/>
      <c r="M107" s="217"/>
      <c r="N107" s="218"/>
      <c r="O107" s="218"/>
      <c r="P107" s="218"/>
      <c r="Q107" s="218"/>
      <c r="R107" s="219"/>
      <c r="U107" s="544"/>
      <c r="V107" s="305" t="str">
        <f>'[1]Adubos e corretivos'!C10</f>
        <v>Superfosfato triplo</v>
      </c>
      <c r="W107" s="305">
        <f>'[1]Adubos e corretivos'!D10</f>
        <v>3.8</v>
      </c>
      <c r="X107" s="305">
        <f>'[1]Adubos e corretivos'!E10</f>
        <v>0</v>
      </c>
      <c r="Y107" s="305">
        <f>'[1]Adubos e corretivos'!F10</f>
        <v>17.91</v>
      </c>
      <c r="Z107" s="305">
        <f>'[1]Adubos e corretivos'!G10</f>
        <v>41</v>
      </c>
      <c r="AA107" s="305">
        <f>'[1]Adubos e corretivos'!H10</f>
        <v>0</v>
      </c>
      <c r="AB107" s="305">
        <f>'[1]Adubos e corretivos'!I10</f>
        <v>0</v>
      </c>
      <c r="AC107" s="305">
        <f>'[1]Adubos e corretivos'!J10</f>
        <v>0</v>
      </c>
      <c r="AD107" s="305">
        <f>'[1]Adubos e corretivos'!K10</f>
        <v>0</v>
      </c>
      <c r="AE107" s="305">
        <f>'[1]Adubos e corretivos'!L10</f>
        <v>0</v>
      </c>
      <c r="AF107" s="305">
        <f>'[1]Adubos e corretivos'!M10</f>
        <v>0</v>
      </c>
      <c r="AG107" s="305">
        <f>'[1]Adubos e corretivos'!N10</f>
        <v>0</v>
      </c>
      <c r="AH107" s="305">
        <f>'[1]Adubos e corretivos'!O10</f>
        <v>0</v>
      </c>
      <c r="AI107" s="305">
        <f>'[1]Adubos e corretivos'!P10</f>
        <v>0</v>
      </c>
      <c r="AJ107" s="305">
        <f>'[1]Adubos e corretivos'!Q10</f>
        <v>0</v>
      </c>
      <c r="AK107" s="305">
        <f>'[1]Adubos e corretivos'!R10</f>
        <v>0</v>
      </c>
      <c r="AL107" s="305">
        <f>'[1]Adubos e corretivos'!S10</f>
        <v>0</v>
      </c>
      <c r="AM107" s="305">
        <f>'[1]Adubos e corretivos'!T10</f>
        <v>0</v>
      </c>
      <c r="AN107" s="305">
        <f>'[1]Adubos e corretivos'!U10</f>
        <v>0</v>
      </c>
      <c r="AO107" s="305">
        <f>'[1]Adubos e corretivos'!V10</f>
        <v>0</v>
      </c>
    </row>
    <row r="108" spans="1:50" ht="19.5" customHeight="1" thickBot="1" x14ac:dyDescent="0.3">
      <c r="C108" s="272" t="s">
        <v>616</v>
      </c>
      <c r="D108" s="272"/>
      <c r="G108" s="549">
        <f>IFERROR((I28+I31+I39+I46+I49+I52+I55+I58+I61+I64+I67+I70+I73+I83+I86+I89+I92+I95),0)</f>
        <v>3.2553991729323304</v>
      </c>
      <c r="H108" s="549"/>
      <c r="I108" s="307"/>
      <c r="U108" s="544"/>
      <c r="V108" s="305" t="str">
        <f>'[1]Adubos e corretivos'!C11</f>
        <v>Cloreto de potássio</v>
      </c>
      <c r="W108" s="305">
        <f>'[1]Adubos e corretivos'!D11</f>
        <v>3.48</v>
      </c>
      <c r="X108" s="305">
        <f>'[1]Adubos e corretivos'!E11</f>
        <v>0</v>
      </c>
      <c r="Y108" s="305">
        <f>'[1]Adubos e corretivos'!F11</f>
        <v>0</v>
      </c>
      <c r="Z108" s="305">
        <f>'[1]Adubos e corretivos'!G11</f>
        <v>0</v>
      </c>
      <c r="AA108" s="305">
        <f>'[1]Adubos e corretivos'!H11</f>
        <v>50</v>
      </c>
      <c r="AB108" s="305">
        <f>'[1]Adubos e corretivos'!I11</f>
        <v>60</v>
      </c>
      <c r="AC108" s="305">
        <f>'[1]Adubos e corretivos'!J11</f>
        <v>0</v>
      </c>
      <c r="AD108" s="305">
        <f>'[1]Adubos e corretivos'!K11</f>
        <v>0</v>
      </c>
      <c r="AE108" s="305">
        <f>'[1]Adubos e corretivos'!L11</f>
        <v>0</v>
      </c>
      <c r="AF108" s="305">
        <f>'[1]Adubos e corretivos'!M11</f>
        <v>0</v>
      </c>
      <c r="AG108" s="305">
        <f>'[1]Adubos e corretivos'!N11</f>
        <v>0</v>
      </c>
      <c r="AH108" s="305">
        <f>'[1]Adubos e corretivos'!O11</f>
        <v>0</v>
      </c>
      <c r="AI108" s="305">
        <f>'[1]Adubos e corretivos'!P11</f>
        <v>0</v>
      </c>
      <c r="AJ108" s="305">
        <f>'[1]Adubos e corretivos'!Q11</f>
        <v>0</v>
      </c>
      <c r="AK108" s="305">
        <f>'[1]Adubos e corretivos'!R11</f>
        <v>0</v>
      </c>
      <c r="AL108" s="305">
        <f>'[1]Adubos e corretivos'!S11</f>
        <v>0</v>
      </c>
      <c r="AM108" s="305">
        <f>'[1]Adubos e corretivos'!T11</f>
        <v>0</v>
      </c>
      <c r="AN108" s="305">
        <f>'[1]Adubos e corretivos'!U11</f>
        <v>0</v>
      </c>
      <c r="AO108" s="305">
        <f>'[1]Adubos e corretivos'!V11</f>
        <v>1.7</v>
      </c>
    </row>
    <row r="109" spans="1:50" ht="19.5" customHeight="1" x14ac:dyDescent="0.25">
      <c r="M109" s="212"/>
      <c r="N109" s="213"/>
      <c r="O109" s="213"/>
      <c r="P109" s="213"/>
      <c r="Q109" s="213"/>
      <c r="R109" s="214"/>
      <c r="U109" s="544"/>
      <c r="V109" s="305" t="str">
        <f>'[1]Adubos e corretivos'!C12</f>
        <v>Sulfato de potássio</v>
      </c>
      <c r="W109" s="305">
        <f>'[1]Adubos e corretivos'!D12</f>
        <v>5.32</v>
      </c>
      <c r="X109" s="305">
        <f>'[1]Adubos e corretivos'!E12</f>
        <v>0</v>
      </c>
      <c r="Y109" s="305">
        <f>'[1]Adubos e corretivos'!F12</f>
        <v>0</v>
      </c>
      <c r="Z109" s="305">
        <f>'[1]Adubos e corretivos'!G12</f>
        <v>0</v>
      </c>
      <c r="AA109" s="305">
        <f>'[1]Adubos e corretivos'!H12</f>
        <v>43</v>
      </c>
      <c r="AB109" s="305">
        <f>'[1]Adubos e corretivos'!I12</f>
        <v>52</v>
      </c>
      <c r="AC109" s="305">
        <f>'[1]Adubos e corretivos'!J12</f>
        <v>0</v>
      </c>
      <c r="AD109" s="305">
        <f>'[1]Adubos e corretivos'!K12</f>
        <v>0</v>
      </c>
      <c r="AE109" s="305">
        <f>'[1]Adubos e corretivos'!L12</f>
        <v>17</v>
      </c>
      <c r="AF109" s="305">
        <f>'[1]Adubos e corretivos'!M12</f>
        <v>0</v>
      </c>
      <c r="AG109" s="305">
        <f>'[1]Adubos e corretivos'!N12</f>
        <v>0</v>
      </c>
      <c r="AH109" s="305">
        <f>'[1]Adubos e corretivos'!O12</f>
        <v>0</v>
      </c>
      <c r="AI109" s="305">
        <f>'[1]Adubos e corretivos'!P12</f>
        <v>0</v>
      </c>
      <c r="AJ109" s="305">
        <f>'[1]Adubos e corretivos'!Q12</f>
        <v>0</v>
      </c>
      <c r="AK109" s="305">
        <f>'[1]Adubos e corretivos'!R12</f>
        <v>0</v>
      </c>
      <c r="AL109" s="305">
        <f>'[1]Adubos e corretivos'!S12</f>
        <v>0</v>
      </c>
      <c r="AM109" s="305">
        <f>'[1]Adubos e corretivos'!T12</f>
        <v>0</v>
      </c>
      <c r="AN109" s="305">
        <f>'[1]Adubos e corretivos'!U12</f>
        <v>0</v>
      </c>
      <c r="AO109" s="305">
        <f>'[1]Adubos e corretivos'!V12</f>
        <v>1.2</v>
      </c>
    </row>
    <row r="110" spans="1:50" ht="19.5" customHeight="1" x14ac:dyDescent="0.25">
      <c r="C110" s="272" t="s">
        <v>617</v>
      </c>
      <c r="D110" s="272"/>
      <c r="G110" s="549">
        <f>IFERROR((I28+I31+I39+I49+I52+I55+I58+I61+I64+I67+I70+I73+I83+I86+I89+I92+I95),0)</f>
        <v>3.2553991729323304</v>
      </c>
      <c r="H110" s="549"/>
      <c r="M110" s="211" t="s">
        <v>269</v>
      </c>
      <c r="N110" s="302" t="s">
        <v>84</v>
      </c>
      <c r="O110" s="302" t="s">
        <v>87</v>
      </c>
      <c r="P110" s="302" t="s">
        <v>85</v>
      </c>
      <c r="Q110" s="302" t="s">
        <v>86</v>
      </c>
      <c r="R110" s="216"/>
      <c r="U110" s="544"/>
      <c r="V110" s="305" t="str">
        <f>'[1]Adubos e corretivos'!C13</f>
        <v>DRIPSOL Alface</v>
      </c>
      <c r="W110" s="305">
        <f>'[1]Adubos e corretivos'!D13</f>
        <v>9</v>
      </c>
      <c r="X110" s="305">
        <f>'[1]Adubos e corretivos'!E13</f>
        <v>0</v>
      </c>
      <c r="Y110" s="305">
        <f>'[1]Adubos e corretivos'!F13</f>
        <v>0</v>
      </c>
      <c r="Z110" s="305">
        <f>'[1]Adubos e corretivos'!G13</f>
        <v>0</v>
      </c>
      <c r="AA110" s="305">
        <f>'[1]Adubos e corretivos'!H13</f>
        <v>43</v>
      </c>
      <c r="AB110" s="305">
        <f>'[1]Adubos e corretivos'!I13</f>
        <v>52</v>
      </c>
      <c r="AC110" s="305">
        <f>'[1]Adubos e corretivos'!J13</f>
        <v>0</v>
      </c>
      <c r="AD110" s="305">
        <f>'[1]Adubos e corretivos'!K13</f>
        <v>0</v>
      </c>
      <c r="AE110" s="305">
        <f>'[1]Adubos e corretivos'!L13</f>
        <v>0</v>
      </c>
      <c r="AF110" s="305">
        <f>'[1]Adubos e corretivos'!M13</f>
        <v>0</v>
      </c>
      <c r="AG110" s="305">
        <f>'[1]Adubos e corretivos'!N13</f>
        <v>0</v>
      </c>
      <c r="AH110" s="305">
        <f>'[1]Adubos e corretivos'!O13</f>
        <v>0</v>
      </c>
      <c r="AI110" s="305">
        <f>'[1]Adubos e corretivos'!P13</f>
        <v>0</v>
      </c>
      <c r="AJ110" s="305">
        <f>'[1]Adubos e corretivos'!Q13</f>
        <v>0</v>
      </c>
      <c r="AK110" s="305">
        <f>'[1]Adubos e corretivos'!R13</f>
        <v>0</v>
      </c>
      <c r="AL110" s="305">
        <f>'[1]Adubos e corretivos'!S13</f>
        <v>0</v>
      </c>
      <c r="AM110" s="305">
        <f>'[1]Adubos e corretivos'!T13</f>
        <v>0</v>
      </c>
      <c r="AN110" s="305">
        <f>'[1]Adubos e corretivos'!U13</f>
        <v>0</v>
      </c>
      <c r="AO110" s="305">
        <f>'[1]Adubos e corretivos'!V13</f>
        <v>0</v>
      </c>
    </row>
    <row r="111" spans="1:50" ht="19.5" customHeight="1" x14ac:dyDescent="0.25">
      <c r="M111" s="211" t="s">
        <v>262</v>
      </c>
      <c r="N111" s="303">
        <f>AS26</f>
        <v>1.2</v>
      </c>
      <c r="O111" s="303">
        <f>AT26</f>
        <v>0</v>
      </c>
      <c r="P111" s="303">
        <f>AU26</f>
        <v>0</v>
      </c>
      <c r="Q111" s="303">
        <f>AV26</f>
        <v>0</v>
      </c>
      <c r="R111" s="216"/>
      <c r="U111" s="544"/>
      <c r="V111" s="305" t="str">
        <f>'[1]Adubos e corretivos'!C14</f>
        <v>MAP</v>
      </c>
      <c r="W111" s="305">
        <f>'[1]Adubos e corretivos'!D14</f>
        <v>5.52</v>
      </c>
      <c r="X111" s="305">
        <f>'[1]Adubos e corretivos'!E14</f>
        <v>12</v>
      </c>
      <c r="Y111" s="305">
        <f>'[1]Adubos e corretivos'!F14</f>
        <v>27</v>
      </c>
      <c r="Z111" s="305">
        <f>'[1]Adubos e corretivos'!G14</f>
        <v>62</v>
      </c>
      <c r="AA111" s="305">
        <f>'[1]Adubos e corretivos'!H14</f>
        <v>0</v>
      </c>
      <c r="AB111" s="305">
        <f>'[1]Adubos e corretivos'!I14</f>
        <v>0</v>
      </c>
      <c r="AC111" s="305">
        <f>'[1]Adubos e corretivos'!J14</f>
        <v>0</v>
      </c>
      <c r="AD111" s="305">
        <f>'[1]Adubos e corretivos'!K14</f>
        <v>0</v>
      </c>
      <c r="AE111" s="305">
        <f>'[1]Adubos e corretivos'!L14</f>
        <v>0</v>
      </c>
      <c r="AF111" s="305">
        <f>'[1]Adubos e corretivos'!M14</f>
        <v>0</v>
      </c>
      <c r="AG111" s="305">
        <f>'[1]Adubos e corretivos'!N14</f>
        <v>0</v>
      </c>
      <c r="AH111" s="305">
        <f>'[1]Adubos e corretivos'!O14</f>
        <v>0</v>
      </c>
      <c r="AI111" s="305">
        <f>'[1]Adubos e corretivos'!P14</f>
        <v>0</v>
      </c>
      <c r="AJ111" s="305">
        <f>'[1]Adubos e corretivos'!Q14</f>
        <v>0</v>
      </c>
      <c r="AK111" s="305">
        <f>'[1]Adubos e corretivos'!R14</f>
        <v>0</v>
      </c>
      <c r="AL111" s="305">
        <f>'[1]Adubos e corretivos'!S14</f>
        <v>0</v>
      </c>
      <c r="AM111" s="305">
        <f>'[1]Adubos e corretivos'!T14</f>
        <v>12</v>
      </c>
      <c r="AN111" s="305">
        <f>'[1]Adubos e corretivos'!U14</f>
        <v>0</v>
      </c>
      <c r="AO111" s="305">
        <f>'[1]Adubos e corretivos'!V14</f>
        <v>0.95</v>
      </c>
    </row>
    <row r="112" spans="1:50" ht="19.5" customHeight="1" thickBot="1" x14ac:dyDescent="0.3">
      <c r="M112" s="211" t="s">
        <v>270</v>
      </c>
      <c r="N112" s="56">
        <f>AW45</f>
        <v>0</v>
      </c>
      <c r="O112" s="56">
        <f>AX45</f>
        <v>0</v>
      </c>
      <c r="P112" s="56">
        <f>AY45</f>
        <v>0</v>
      </c>
      <c r="Q112" s="56">
        <f>AZ45</f>
        <v>0</v>
      </c>
      <c r="R112" s="216"/>
      <c r="U112" s="544"/>
      <c r="V112" s="305" t="str">
        <f>'[1]Adubos e corretivos'!C15</f>
        <v>MKP</v>
      </c>
      <c r="W112" s="305">
        <f>'[1]Adubos e corretivos'!D15</f>
        <v>8.92</v>
      </c>
      <c r="X112" s="305">
        <f>'[1]Adubos e corretivos'!E15</f>
        <v>0</v>
      </c>
      <c r="Y112" s="305">
        <f>'[1]Adubos e corretivos'!F15</f>
        <v>23</v>
      </c>
      <c r="Z112" s="305">
        <f>'[1]Adubos e corretivos'!G15</f>
        <v>53</v>
      </c>
      <c r="AA112" s="305">
        <f>'[1]Adubos e corretivos'!H15</f>
        <v>28</v>
      </c>
      <c r="AB112" s="305">
        <f>'[1]Adubos e corretivos'!I15</f>
        <v>34</v>
      </c>
      <c r="AC112" s="305">
        <f>'[1]Adubos e corretivos'!J15</f>
        <v>0</v>
      </c>
      <c r="AD112" s="305">
        <f>'[1]Adubos e corretivos'!K15</f>
        <v>0</v>
      </c>
      <c r="AE112" s="305">
        <f>'[1]Adubos e corretivos'!L15</f>
        <v>0</v>
      </c>
      <c r="AF112" s="305">
        <f>'[1]Adubos e corretivos'!M15</f>
        <v>0</v>
      </c>
      <c r="AG112" s="305">
        <f>'[1]Adubos e corretivos'!N15</f>
        <v>0</v>
      </c>
      <c r="AH112" s="305">
        <f>'[1]Adubos e corretivos'!O15</f>
        <v>0</v>
      </c>
      <c r="AI112" s="305">
        <f>'[1]Adubos e corretivos'!P15</f>
        <v>0</v>
      </c>
      <c r="AJ112" s="305">
        <f>'[1]Adubos e corretivos'!Q15</f>
        <v>0</v>
      </c>
      <c r="AK112" s="305">
        <f>'[1]Adubos e corretivos'!R15</f>
        <v>0</v>
      </c>
      <c r="AL112" s="305">
        <f>'[1]Adubos e corretivos'!S15</f>
        <v>0</v>
      </c>
      <c r="AM112" s="305">
        <f>'[1]Adubos e corretivos'!T15</f>
        <v>0</v>
      </c>
      <c r="AN112" s="305">
        <f>'[1]Adubos e corretivos'!U15</f>
        <v>0</v>
      </c>
      <c r="AO112" s="305">
        <f>'[1]Adubos e corretivos'!V15</f>
        <v>0.7</v>
      </c>
    </row>
    <row r="113" spans="2:41" ht="19.5" customHeight="1" thickBot="1" x14ac:dyDescent="0.3">
      <c r="B113" s="388"/>
      <c r="C113" s="389"/>
      <c r="D113" s="389"/>
      <c r="E113" s="390"/>
      <c r="F113" s="388"/>
      <c r="G113" s="389"/>
      <c r="H113" s="389"/>
      <c r="I113" s="390"/>
      <c r="M113" s="217"/>
      <c r="N113" s="218"/>
      <c r="O113" s="218"/>
      <c r="P113" s="218"/>
      <c r="Q113" s="218"/>
      <c r="R113" s="219"/>
      <c r="U113" s="544"/>
      <c r="V113" s="305">
        <f>'[1]Adubos e corretivos'!C16</f>
        <v>0</v>
      </c>
      <c r="W113" s="305">
        <f>'[1]Adubos e corretivos'!D16</f>
        <v>0</v>
      </c>
      <c r="X113" s="305">
        <f>'[1]Adubos e corretivos'!E16</f>
        <v>0</v>
      </c>
      <c r="Y113" s="305">
        <f>'[1]Adubos e corretivos'!F16</f>
        <v>0</v>
      </c>
      <c r="Z113" s="305">
        <f>'[1]Adubos e corretivos'!G16</f>
        <v>0</v>
      </c>
      <c r="AA113" s="305">
        <f>'[1]Adubos e corretivos'!H16</f>
        <v>0</v>
      </c>
      <c r="AB113" s="305">
        <f>'[1]Adubos e corretivos'!I16</f>
        <v>0</v>
      </c>
      <c r="AC113" s="305">
        <f>'[1]Adubos e corretivos'!J16</f>
        <v>0</v>
      </c>
      <c r="AD113" s="305">
        <f>'[1]Adubos e corretivos'!K16</f>
        <v>0</v>
      </c>
      <c r="AE113" s="305">
        <f>'[1]Adubos e corretivos'!L16</f>
        <v>0</v>
      </c>
      <c r="AF113" s="305">
        <f>'[1]Adubos e corretivos'!M16</f>
        <v>0</v>
      </c>
      <c r="AG113" s="305">
        <f>'[1]Adubos e corretivos'!N16</f>
        <v>0</v>
      </c>
      <c r="AH113" s="305">
        <f>'[1]Adubos e corretivos'!O16</f>
        <v>0</v>
      </c>
      <c r="AI113" s="305">
        <f>'[1]Adubos e corretivos'!P16</f>
        <v>0</v>
      </c>
      <c r="AJ113" s="305">
        <f>'[1]Adubos e corretivos'!Q16</f>
        <v>0</v>
      </c>
      <c r="AK113" s="305">
        <f>'[1]Adubos e corretivos'!R16</f>
        <v>0</v>
      </c>
      <c r="AL113" s="305">
        <f>'[1]Adubos e corretivos'!S16</f>
        <v>0</v>
      </c>
      <c r="AM113" s="305">
        <f>'[1]Adubos e corretivos'!T16</f>
        <v>0</v>
      </c>
      <c r="AN113" s="305">
        <f>'[1]Adubos e corretivos'!U16</f>
        <v>0</v>
      </c>
      <c r="AO113" s="305">
        <f>'[1]Adubos e corretivos'!V16</f>
        <v>0</v>
      </c>
    </row>
    <row r="114" spans="2:41" ht="19.5" customHeight="1" thickBot="1" x14ac:dyDescent="0.3">
      <c r="B114" s="376"/>
      <c r="C114" s="391"/>
      <c r="D114" s="391"/>
      <c r="E114" s="392"/>
      <c r="F114" s="376"/>
      <c r="G114" s="391"/>
      <c r="H114" s="391"/>
      <c r="I114" s="392"/>
      <c r="U114" s="544"/>
      <c r="V114" s="305">
        <f>'[1]Adubos e corretivos'!C17</f>
        <v>0</v>
      </c>
      <c r="W114" s="305">
        <f>'[1]Adubos e corretivos'!D17</f>
        <v>0</v>
      </c>
      <c r="X114" s="305">
        <f>'[1]Adubos e corretivos'!E17</f>
        <v>0</v>
      </c>
      <c r="Y114" s="305">
        <f>'[1]Adubos e corretivos'!F17</f>
        <v>0</v>
      </c>
      <c r="Z114" s="305">
        <f>'[1]Adubos e corretivos'!G17</f>
        <v>0</v>
      </c>
      <c r="AA114" s="305">
        <f>'[1]Adubos e corretivos'!H17</f>
        <v>0</v>
      </c>
      <c r="AB114" s="305">
        <f>'[1]Adubos e corretivos'!I17</f>
        <v>0</v>
      </c>
      <c r="AC114" s="305">
        <f>'[1]Adubos e corretivos'!J17</f>
        <v>0</v>
      </c>
      <c r="AD114" s="305">
        <f>'[1]Adubos e corretivos'!K17</f>
        <v>0</v>
      </c>
      <c r="AE114" s="305">
        <f>'[1]Adubos e corretivos'!L17</f>
        <v>0</v>
      </c>
      <c r="AF114" s="305">
        <f>'[1]Adubos e corretivos'!M17</f>
        <v>0</v>
      </c>
      <c r="AG114" s="305">
        <f>'[1]Adubos e corretivos'!N17</f>
        <v>0</v>
      </c>
      <c r="AH114" s="305">
        <f>'[1]Adubos e corretivos'!O17</f>
        <v>0</v>
      </c>
      <c r="AI114" s="305">
        <f>'[1]Adubos e corretivos'!P17</f>
        <v>0</v>
      </c>
      <c r="AJ114" s="305">
        <f>'[1]Adubos e corretivos'!Q17</f>
        <v>0</v>
      </c>
      <c r="AK114" s="305">
        <f>'[1]Adubos e corretivos'!R17</f>
        <v>0</v>
      </c>
      <c r="AL114" s="305">
        <f>'[1]Adubos e corretivos'!S17</f>
        <v>0</v>
      </c>
      <c r="AM114" s="305">
        <f>'[1]Adubos e corretivos'!T17</f>
        <v>0</v>
      </c>
      <c r="AN114" s="305">
        <f>'[1]Adubos e corretivos'!U17</f>
        <v>0</v>
      </c>
      <c r="AO114" s="305">
        <f>'[1]Adubos e corretivos'!V17</f>
        <v>0</v>
      </c>
    </row>
    <row r="115" spans="2:41" ht="19.5" customHeight="1" thickBot="1" x14ac:dyDescent="0.3">
      <c r="B115" s="393"/>
      <c r="C115" s="394"/>
      <c r="D115" s="394"/>
      <c r="E115" s="395"/>
      <c r="F115" s="393"/>
      <c r="G115" s="394"/>
      <c r="H115" s="394"/>
      <c r="I115" s="395"/>
      <c r="M115" s="212"/>
      <c r="N115" s="213"/>
      <c r="O115" s="213"/>
      <c r="P115" s="213"/>
      <c r="Q115" s="213"/>
      <c r="R115" s="214"/>
      <c r="U115" s="543" t="s">
        <v>226</v>
      </c>
      <c r="V115" s="305" t="str">
        <f>'[1]Adubos e corretivos'!C18</f>
        <v>Formulado 03-18-05</v>
      </c>
      <c r="W115" s="305">
        <f>'[1]Adubos e corretivos'!D18</f>
        <v>1.88</v>
      </c>
      <c r="X115" s="305">
        <f>'[1]Adubos e corretivos'!E18</f>
        <v>3</v>
      </c>
      <c r="Y115" s="305">
        <f>'[1]Adubos e corretivos'!F18</f>
        <v>7.87</v>
      </c>
      <c r="Z115" s="305">
        <f>'[1]Adubos e corretivos'!G18</f>
        <v>18</v>
      </c>
      <c r="AA115" s="305">
        <f>'[1]Adubos e corretivos'!H18</f>
        <v>4.2</v>
      </c>
      <c r="AB115" s="305">
        <f>'[1]Adubos e corretivos'!I18</f>
        <v>5</v>
      </c>
      <c r="AC115" s="305">
        <f>'[1]Adubos e corretivos'!J18</f>
        <v>0</v>
      </c>
      <c r="AD115" s="305">
        <f>'[1]Adubos e corretivos'!K18</f>
        <v>0</v>
      </c>
      <c r="AE115" s="305">
        <f>'[1]Adubos e corretivos'!L18</f>
        <v>0</v>
      </c>
      <c r="AF115" s="305">
        <f>'[1]Adubos e corretivos'!M18</f>
        <v>0</v>
      </c>
      <c r="AG115" s="305">
        <f>'[1]Adubos e corretivos'!N18</f>
        <v>0</v>
      </c>
      <c r="AH115" s="305">
        <f>'[1]Adubos e corretivos'!O18</f>
        <v>0</v>
      </c>
      <c r="AI115" s="305">
        <f>'[1]Adubos e corretivos'!P18</f>
        <v>0</v>
      </c>
      <c r="AJ115" s="305">
        <f>'[1]Adubos e corretivos'!Q18</f>
        <v>0</v>
      </c>
      <c r="AK115" s="305">
        <f>'[1]Adubos e corretivos'!R18</f>
        <v>0</v>
      </c>
      <c r="AL115" s="305">
        <f>'[1]Adubos e corretivos'!S18</f>
        <v>0</v>
      </c>
      <c r="AM115" s="305">
        <f>'[1]Adubos e corretivos'!T18</f>
        <v>0</v>
      </c>
      <c r="AN115" s="305">
        <f>'[1]Adubos e corretivos'!U18</f>
        <v>0</v>
      </c>
      <c r="AO115" s="305">
        <f>'[1]Adubos e corretivos'!V18</f>
        <v>0</v>
      </c>
    </row>
    <row r="116" spans="2:41" ht="19.5" customHeight="1" x14ac:dyDescent="0.25">
      <c r="B116" s="545" t="s">
        <v>132</v>
      </c>
      <c r="C116" s="545"/>
      <c r="D116" s="545"/>
      <c r="E116" s="546"/>
      <c r="F116" s="545" t="s">
        <v>133</v>
      </c>
      <c r="G116" s="545"/>
      <c r="H116" s="545"/>
      <c r="I116" s="545"/>
      <c r="M116" s="539" t="s">
        <v>618</v>
      </c>
      <c r="N116" s="547"/>
      <c r="O116" s="548" t="s">
        <v>619</v>
      </c>
      <c r="P116" s="548"/>
      <c r="Q116" s="548"/>
      <c r="R116" s="216"/>
      <c r="U116" s="543"/>
      <c r="V116" s="305" t="str">
        <f>'[1]Adubos e corretivos'!C19</f>
        <v>Formulado 04-14-08</v>
      </c>
      <c r="W116" s="305">
        <f>'[1]Adubos e corretivos'!D19</f>
        <v>1.86</v>
      </c>
      <c r="X116" s="305">
        <f>'[1]Adubos e corretivos'!E19</f>
        <v>4</v>
      </c>
      <c r="Y116" s="305">
        <f>'[1]Adubos e corretivos'!F19</f>
        <v>6.15</v>
      </c>
      <c r="Z116" s="305">
        <f>'[1]Adubos e corretivos'!G19</f>
        <v>14</v>
      </c>
      <c r="AA116" s="305">
        <f>'[1]Adubos e corretivos'!H19</f>
        <v>6.65</v>
      </c>
      <c r="AB116" s="305">
        <f>'[1]Adubos e corretivos'!I19</f>
        <v>8</v>
      </c>
      <c r="AC116" s="305">
        <f>'[1]Adubos e corretivos'!J19</f>
        <v>0</v>
      </c>
      <c r="AD116" s="305">
        <f>'[1]Adubos e corretivos'!K19</f>
        <v>0</v>
      </c>
      <c r="AE116" s="305">
        <f>'[1]Adubos e corretivos'!L19</f>
        <v>0</v>
      </c>
      <c r="AF116" s="305">
        <f>'[1]Adubos e corretivos'!M19</f>
        <v>0</v>
      </c>
      <c r="AG116" s="305">
        <f>'[1]Adubos e corretivos'!N19</f>
        <v>0</v>
      </c>
      <c r="AH116" s="305">
        <f>'[1]Adubos e corretivos'!O19</f>
        <v>0</v>
      </c>
      <c r="AI116" s="305">
        <f>'[1]Adubos e corretivos'!P19</f>
        <v>0</v>
      </c>
      <c r="AJ116" s="305">
        <f>'[1]Adubos e corretivos'!Q19</f>
        <v>0</v>
      </c>
      <c r="AK116" s="305">
        <f>'[1]Adubos e corretivos'!R19</f>
        <v>0</v>
      </c>
      <c r="AL116" s="305">
        <f>'[1]Adubos e corretivos'!S19</f>
        <v>0</v>
      </c>
      <c r="AM116" s="305">
        <f>'[1]Adubos e corretivos'!T19</f>
        <v>0</v>
      </c>
      <c r="AN116" s="305">
        <f>'[1]Adubos e corretivos'!U19</f>
        <v>0</v>
      </c>
      <c r="AO116" s="305">
        <f>'[1]Adubos e corretivos'!V19</f>
        <v>0</v>
      </c>
    </row>
    <row r="117" spans="2:41" ht="19.5" customHeight="1" x14ac:dyDescent="0.25">
      <c r="M117" s="539"/>
      <c r="N117" s="547"/>
      <c r="O117" s="448" t="s">
        <v>158</v>
      </c>
      <c r="P117" s="448"/>
      <c r="Q117" s="266">
        <f>AA188</f>
        <v>0</v>
      </c>
      <c r="R117" s="216"/>
      <c r="U117" s="543"/>
      <c r="V117" s="305" t="str">
        <f>'[1]Adubos e corretivos'!C20</f>
        <v>Formulado 04-30-16</v>
      </c>
      <c r="W117" s="305">
        <f>'[1]Adubos e corretivos'!D20</f>
        <v>2.52</v>
      </c>
      <c r="X117" s="305">
        <f>'[1]Adubos e corretivos'!E20</f>
        <v>4</v>
      </c>
      <c r="Y117" s="305">
        <f>'[1]Adubos e corretivos'!F20</f>
        <v>13.1</v>
      </c>
      <c r="Z117" s="305">
        <f>'[1]Adubos e corretivos'!G20</f>
        <v>30</v>
      </c>
      <c r="AA117" s="305">
        <f>'[1]Adubos e corretivos'!H20</f>
        <v>13.3</v>
      </c>
      <c r="AB117" s="305">
        <f>'[1]Adubos e corretivos'!I20</f>
        <v>16</v>
      </c>
      <c r="AC117" s="305">
        <f>'[1]Adubos e corretivos'!J20</f>
        <v>0</v>
      </c>
      <c r="AD117" s="305">
        <f>'[1]Adubos e corretivos'!K20</f>
        <v>0</v>
      </c>
      <c r="AE117" s="305">
        <f>'[1]Adubos e corretivos'!L20</f>
        <v>0</v>
      </c>
      <c r="AF117" s="305">
        <f>'[1]Adubos e corretivos'!M20</f>
        <v>0</v>
      </c>
      <c r="AG117" s="305">
        <f>'[1]Adubos e corretivos'!N20</f>
        <v>0</v>
      </c>
      <c r="AH117" s="305">
        <f>'[1]Adubos e corretivos'!O20</f>
        <v>0</v>
      </c>
      <c r="AI117" s="305">
        <f>'[1]Adubos e corretivos'!P20</f>
        <v>0</v>
      </c>
      <c r="AJ117" s="305">
        <f>'[1]Adubos e corretivos'!Q20</f>
        <v>0</v>
      </c>
      <c r="AK117" s="305">
        <f>'[1]Adubos e corretivos'!R20</f>
        <v>0</v>
      </c>
      <c r="AL117" s="305">
        <f>'[1]Adubos e corretivos'!S20</f>
        <v>0</v>
      </c>
      <c r="AM117" s="305">
        <f>'[1]Adubos e corretivos'!T20</f>
        <v>0</v>
      </c>
      <c r="AN117" s="305">
        <f>'[1]Adubos e corretivos'!U20</f>
        <v>0</v>
      </c>
      <c r="AO117" s="305">
        <f>'[1]Adubos e corretivos'!V20</f>
        <v>0</v>
      </c>
    </row>
    <row r="118" spans="2:41" ht="19.5" customHeight="1" x14ac:dyDescent="0.25">
      <c r="M118" s="539"/>
      <c r="N118" s="547"/>
      <c r="O118" s="448" t="s">
        <v>166</v>
      </c>
      <c r="P118" s="448"/>
      <c r="Q118" s="266">
        <f t="shared" ref="Q118:Q143" si="17">AA189</f>
        <v>0</v>
      </c>
      <c r="R118" s="216"/>
      <c r="U118" s="543"/>
      <c r="V118" s="305" t="str">
        <f>'[1]Adubos e corretivos'!C21</f>
        <v>Formulado 05-25-15</v>
      </c>
      <c r="W118" s="305">
        <f>'[1]Adubos e corretivos'!D21</f>
        <v>2</v>
      </c>
      <c r="X118" s="305">
        <f>'[1]Adubos e corretivos'!E21</f>
        <v>5</v>
      </c>
      <c r="Y118" s="305">
        <f>'[1]Adubos e corretivos'!F21</f>
        <v>10.95</v>
      </c>
      <c r="Z118" s="305">
        <f>'[1]Adubos e corretivos'!G21</f>
        <v>25</v>
      </c>
      <c r="AA118" s="305">
        <f>'[1]Adubos e corretivos'!H21</f>
        <v>12.45</v>
      </c>
      <c r="AB118" s="305">
        <f>'[1]Adubos e corretivos'!I21</f>
        <v>15</v>
      </c>
      <c r="AC118" s="305">
        <f>'[1]Adubos e corretivos'!J21</f>
        <v>0</v>
      </c>
      <c r="AD118" s="305">
        <f>'[1]Adubos e corretivos'!K21</f>
        <v>0</v>
      </c>
      <c r="AE118" s="305">
        <f>'[1]Adubos e corretivos'!L21</f>
        <v>0</v>
      </c>
      <c r="AF118" s="305">
        <f>'[1]Adubos e corretivos'!M21</f>
        <v>0</v>
      </c>
      <c r="AG118" s="305">
        <f>'[1]Adubos e corretivos'!N21</f>
        <v>0</v>
      </c>
      <c r="AH118" s="305">
        <f>'[1]Adubos e corretivos'!O21</f>
        <v>0</v>
      </c>
      <c r="AI118" s="305">
        <f>'[1]Adubos e corretivos'!P21</f>
        <v>0</v>
      </c>
      <c r="AJ118" s="305">
        <f>'[1]Adubos e corretivos'!Q21</f>
        <v>0</v>
      </c>
      <c r="AK118" s="305">
        <f>'[1]Adubos e corretivos'!R21</f>
        <v>0</v>
      </c>
      <c r="AL118" s="305">
        <f>'[1]Adubos e corretivos'!S21</f>
        <v>0</v>
      </c>
      <c r="AM118" s="305">
        <f>'[1]Adubos e corretivos'!T21</f>
        <v>0</v>
      </c>
      <c r="AN118" s="305">
        <f>'[1]Adubos e corretivos'!U21</f>
        <v>0</v>
      </c>
      <c r="AO118" s="305">
        <f>'[1]Adubos e corretivos'!V21</f>
        <v>0</v>
      </c>
    </row>
    <row r="119" spans="2:41" ht="19.5" customHeight="1" x14ac:dyDescent="0.25">
      <c r="M119" s="539"/>
      <c r="N119" s="547"/>
      <c r="O119" s="448" t="s">
        <v>174</v>
      </c>
      <c r="P119" s="448"/>
      <c r="Q119" s="266">
        <f t="shared" si="17"/>
        <v>5.6843418860808015E-14</v>
      </c>
      <c r="R119" s="216"/>
      <c r="U119" s="543"/>
      <c r="V119" s="305" t="str">
        <f>'[1]Adubos e corretivos'!C22</f>
        <v>Formulado 04-30-10</v>
      </c>
      <c r="W119" s="305">
        <f>'[1]Adubos e corretivos'!D22</f>
        <v>2.44</v>
      </c>
      <c r="X119" s="305">
        <f>'[1]Adubos e corretivos'!E22</f>
        <v>4</v>
      </c>
      <c r="Y119" s="305">
        <f>'[1]Adubos e corretivos'!F22</f>
        <v>13.1</v>
      </c>
      <c r="Z119" s="305">
        <f>'[1]Adubos e corretivos'!G22</f>
        <v>30</v>
      </c>
      <c r="AA119" s="305">
        <f>'[1]Adubos e corretivos'!H22</f>
        <v>8.3000000000000007</v>
      </c>
      <c r="AB119" s="305">
        <f>'[1]Adubos e corretivos'!I22</f>
        <v>10</v>
      </c>
      <c r="AC119" s="305">
        <f>'[1]Adubos e corretivos'!J22</f>
        <v>0</v>
      </c>
      <c r="AD119" s="305">
        <f>'[1]Adubos e corretivos'!K22</f>
        <v>0</v>
      </c>
      <c r="AE119" s="305">
        <f>'[1]Adubos e corretivos'!L22</f>
        <v>0</v>
      </c>
      <c r="AF119" s="305">
        <f>'[1]Adubos e corretivos'!M22</f>
        <v>0</v>
      </c>
      <c r="AG119" s="305">
        <f>'[1]Adubos e corretivos'!N22</f>
        <v>0</v>
      </c>
      <c r="AH119" s="305">
        <f>'[1]Adubos e corretivos'!O22</f>
        <v>0</v>
      </c>
      <c r="AI119" s="305">
        <f>'[1]Adubos e corretivos'!P22</f>
        <v>0</v>
      </c>
      <c r="AJ119" s="305">
        <f>'[1]Adubos e corretivos'!Q22</f>
        <v>0</v>
      </c>
      <c r="AK119" s="305">
        <f>'[1]Adubos e corretivos'!R22</f>
        <v>0</v>
      </c>
      <c r="AL119" s="305">
        <f>'[1]Adubos e corretivos'!S22</f>
        <v>0</v>
      </c>
      <c r="AM119" s="305">
        <f>'[1]Adubos e corretivos'!T22</f>
        <v>0</v>
      </c>
      <c r="AN119" s="305">
        <f>'[1]Adubos e corretivos'!U22</f>
        <v>0</v>
      </c>
      <c r="AO119" s="305">
        <f>'[1]Adubos e corretivos'!V22</f>
        <v>0</v>
      </c>
    </row>
    <row r="120" spans="2:41" ht="19.5" customHeight="1" x14ac:dyDescent="0.25">
      <c r="M120" s="539"/>
      <c r="N120" s="547"/>
      <c r="O120" s="448" t="s">
        <v>179</v>
      </c>
      <c r="P120" s="448"/>
      <c r="Q120" s="266">
        <f t="shared" si="17"/>
        <v>3.6785727068673189</v>
      </c>
      <c r="R120" s="216"/>
      <c r="U120" s="543"/>
      <c r="V120" s="305" t="str">
        <f>'[1]Adubos e corretivos'!C23</f>
        <v>Formulado 00-18-00</v>
      </c>
      <c r="W120" s="305">
        <f>'[1]Adubos e corretivos'!D23</f>
        <v>0</v>
      </c>
      <c r="X120" s="305">
        <f>'[1]Adubos e corretivos'!E23</f>
        <v>0</v>
      </c>
      <c r="Y120" s="305">
        <f>'[1]Adubos e corretivos'!F23</f>
        <v>7.87</v>
      </c>
      <c r="Z120" s="305">
        <f>'[1]Adubos e corretivos'!G23</f>
        <v>18</v>
      </c>
      <c r="AA120" s="305">
        <f>'[1]Adubos e corretivos'!H23</f>
        <v>0</v>
      </c>
      <c r="AB120" s="305">
        <f>'[1]Adubos e corretivos'!I23</f>
        <v>0</v>
      </c>
      <c r="AC120" s="305">
        <f>'[1]Adubos e corretivos'!J23</f>
        <v>0</v>
      </c>
      <c r="AD120" s="305">
        <f>'[1]Adubos e corretivos'!K23</f>
        <v>0</v>
      </c>
      <c r="AE120" s="305">
        <f>'[1]Adubos e corretivos'!L23</f>
        <v>0</v>
      </c>
      <c r="AF120" s="305">
        <f>'[1]Adubos e corretivos'!M23</f>
        <v>0</v>
      </c>
      <c r="AG120" s="305">
        <f>'[1]Adubos e corretivos'!N23</f>
        <v>0</v>
      </c>
      <c r="AH120" s="305">
        <f>'[1]Adubos e corretivos'!O23</f>
        <v>0</v>
      </c>
      <c r="AI120" s="305">
        <f>'[1]Adubos e corretivos'!P23</f>
        <v>0</v>
      </c>
      <c r="AJ120" s="305">
        <f>'[1]Adubos e corretivos'!Q23</f>
        <v>0</v>
      </c>
      <c r="AK120" s="305">
        <f>'[1]Adubos e corretivos'!R23</f>
        <v>0</v>
      </c>
      <c r="AL120" s="305">
        <f>'[1]Adubos e corretivos'!S23</f>
        <v>0</v>
      </c>
      <c r="AM120" s="305">
        <f>'[1]Adubos e corretivos'!T23</f>
        <v>0</v>
      </c>
      <c r="AN120" s="305">
        <f>'[1]Adubos e corretivos'!U23</f>
        <v>0</v>
      </c>
      <c r="AO120" s="305">
        <f>'[1]Adubos e corretivos'!V23</f>
        <v>0</v>
      </c>
    </row>
    <row r="121" spans="2:41" ht="19.5" customHeight="1" x14ac:dyDescent="0.25">
      <c r="M121" s="539"/>
      <c r="N121" s="547"/>
      <c r="O121" s="448" t="s">
        <v>220</v>
      </c>
      <c r="P121" s="448"/>
      <c r="Q121" s="266">
        <f t="shared" si="17"/>
        <v>0</v>
      </c>
      <c r="R121" s="216"/>
      <c r="U121" s="543"/>
      <c r="V121" s="305" t="str">
        <f>'[1]Adubos e corretivos'!C24</f>
        <v>Formulado 08-24-08</v>
      </c>
      <c r="W121" s="305">
        <f>'[1]Adubos e corretivos'!D24</f>
        <v>4.2</v>
      </c>
      <c r="X121" s="305">
        <f>'[1]Adubos e corretivos'!E24</f>
        <v>8</v>
      </c>
      <c r="Y121" s="305">
        <f>'[1]Adubos e corretivos'!F24</f>
        <v>10.5</v>
      </c>
      <c r="Z121" s="305">
        <f>'[1]Adubos e corretivos'!G24</f>
        <v>24</v>
      </c>
      <c r="AA121" s="305">
        <f>'[1]Adubos e corretivos'!H24</f>
        <v>6.65</v>
      </c>
      <c r="AB121" s="305">
        <f>'[1]Adubos e corretivos'!I24</f>
        <v>8</v>
      </c>
      <c r="AC121" s="305">
        <f>'[1]Adubos e corretivos'!J24</f>
        <v>0</v>
      </c>
      <c r="AD121" s="305">
        <f>'[1]Adubos e corretivos'!K24</f>
        <v>0</v>
      </c>
      <c r="AE121" s="305">
        <f>'[1]Adubos e corretivos'!L24</f>
        <v>0</v>
      </c>
      <c r="AF121" s="305">
        <f>'[1]Adubos e corretivos'!M24</f>
        <v>0</v>
      </c>
      <c r="AG121" s="305">
        <f>'[1]Adubos e corretivos'!N24</f>
        <v>0</v>
      </c>
      <c r="AH121" s="305">
        <f>'[1]Adubos e corretivos'!O24</f>
        <v>0</v>
      </c>
      <c r="AI121" s="305">
        <f>'[1]Adubos e corretivos'!P24</f>
        <v>0</v>
      </c>
      <c r="AJ121" s="305">
        <f>'[1]Adubos e corretivos'!Q24</f>
        <v>0</v>
      </c>
      <c r="AK121" s="305">
        <f>'[1]Adubos e corretivos'!R24</f>
        <v>0</v>
      </c>
      <c r="AL121" s="305">
        <f>'[1]Adubos e corretivos'!S24</f>
        <v>0</v>
      </c>
      <c r="AM121" s="305">
        <f>'[1]Adubos e corretivos'!T24</f>
        <v>0</v>
      </c>
      <c r="AN121" s="305">
        <f>'[1]Adubos e corretivos'!U24</f>
        <v>0</v>
      </c>
      <c r="AO121" s="305">
        <f>'[1]Adubos e corretivos'!V24</f>
        <v>0</v>
      </c>
    </row>
    <row r="122" spans="2:41" ht="19.5" customHeight="1" x14ac:dyDescent="0.25">
      <c r="M122" s="539"/>
      <c r="N122" s="547"/>
      <c r="O122" s="448" t="s">
        <v>221</v>
      </c>
      <c r="P122" s="448"/>
      <c r="Q122" s="266">
        <f t="shared" si="17"/>
        <v>35416.666628886451</v>
      </c>
      <c r="R122" s="216"/>
      <c r="U122" s="543"/>
      <c r="V122" s="305" t="str">
        <f>'[1]Adubos e corretivos'!C25</f>
        <v>Formulado 04-26-10</v>
      </c>
      <c r="W122" s="305">
        <f>'[1]Adubos e corretivos'!D25</f>
        <v>2.52</v>
      </c>
      <c r="X122" s="305">
        <f>'[1]Adubos e corretivos'!E25</f>
        <v>4</v>
      </c>
      <c r="Y122" s="305">
        <f>'[1]Adubos e corretivos'!F25</f>
        <v>11.35</v>
      </c>
      <c r="Z122" s="305">
        <f>'[1]Adubos e corretivos'!G25</f>
        <v>26</v>
      </c>
      <c r="AA122" s="305">
        <f>'[1]Adubos e corretivos'!H25</f>
        <v>8.3000000000000007</v>
      </c>
      <c r="AB122" s="305">
        <f>'[1]Adubos e corretivos'!I25</f>
        <v>10</v>
      </c>
      <c r="AC122" s="305">
        <f>'[1]Adubos e corretivos'!J25</f>
        <v>0</v>
      </c>
      <c r="AD122" s="305">
        <f>'[1]Adubos e corretivos'!K25</f>
        <v>0</v>
      </c>
      <c r="AE122" s="305">
        <f>'[1]Adubos e corretivos'!L25</f>
        <v>0</v>
      </c>
      <c r="AF122" s="305">
        <f>'[1]Adubos e corretivos'!M25</f>
        <v>0</v>
      </c>
      <c r="AG122" s="305">
        <f>'[1]Adubos e corretivos'!N25</f>
        <v>0</v>
      </c>
      <c r="AH122" s="305">
        <f>'[1]Adubos e corretivos'!O25</f>
        <v>0</v>
      </c>
      <c r="AI122" s="305">
        <f>'[1]Adubos e corretivos'!P25</f>
        <v>0</v>
      </c>
      <c r="AJ122" s="305">
        <f>'[1]Adubos e corretivos'!Q25</f>
        <v>0</v>
      </c>
      <c r="AK122" s="305">
        <f>'[1]Adubos e corretivos'!R25</f>
        <v>0</v>
      </c>
      <c r="AL122" s="305">
        <f>'[1]Adubos e corretivos'!S25</f>
        <v>0</v>
      </c>
      <c r="AM122" s="305">
        <f>'[1]Adubos e corretivos'!T25</f>
        <v>0</v>
      </c>
      <c r="AN122" s="305">
        <f>'[1]Adubos e corretivos'!U25</f>
        <v>0</v>
      </c>
      <c r="AO122" s="305">
        <f>'[1]Adubos e corretivos'!V25</f>
        <v>0</v>
      </c>
    </row>
    <row r="123" spans="2:41" ht="19.5" customHeight="1" x14ac:dyDescent="0.25">
      <c r="M123" s="539"/>
      <c r="N123" s="547"/>
      <c r="O123" s="448" t="s">
        <v>178</v>
      </c>
      <c r="P123" s="448"/>
      <c r="Q123" s="266">
        <f t="shared" si="17"/>
        <v>4547.0477514809891</v>
      </c>
      <c r="R123" s="216"/>
      <c r="U123" s="543"/>
      <c r="V123" s="305" t="str">
        <f>'[1]Adubos e corretivos'!C26</f>
        <v>Formulado 12-03-24</v>
      </c>
      <c r="W123" s="305">
        <f>'[1]Adubos e corretivos'!D26</f>
        <v>2.72</v>
      </c>
      <c r="X123" s="305">
        <f>'[1]Adubos e corretivos'!E26</f>
        <v>12</v>
      </c>
      <c r="Y123" s="305">
        <f>'[1]Adubos e corretivos'!F26</f>
        <v>1.31</v>
      </c>
      <c r="Z123" s="305">
        <f>'[1]Adubos e corretivos'!G26</f>
        <v>3</v>
      </c>
      <c r="AA123" s="305">
        <f>'[1]Adubos e corretivos'!H26</f>
        <v>20</v>
      </c>
      <c r="AB123" s="305">
        <f>'[1]Adubos e corretivos'!I26</f>
        <v>24</v>
      </c>
      <c r="AC123" s="305">
        <f>'[1]Adubos e corretivos'!J26</f>
        <v>0</v>
      </c>
      <c r="AD123" s="305">
        <f>'[1]Adubos e corretivos'!K26</f>
        <v>0</v>
      </c>
      <c r="AE123" s="305">
        <f>'[1]Adubos e corretivos'!L26</f>
        <v>0</v>
      </c>
      <c r="AF123" s="305">
        <f>'[1]Adubos e corretivos'!M26</f>
        <v>0</v>
      </c>
      <c r="AG123" s="305">
        <f>'[1]Adubos e corretivos'!N26</f>
        <v>0</v>
      </c>
      <c r="AH123" s="305">
        <f>'[1]Adubos e corretivos'!O26</f>
        <v>0</v>
      </c>
      <c r="AI123" s="305">
        <f>'[1]Adubos e corretivos'!P26</f>
        <v>0</v>
      </c>
      <c r="AJ123" s="305">
        <f>'[1]Adubos e corretivos'!Q26</f>
        <v>0</v>
      </c>
      <c r="AK123" s="305">
        <f>'[1]Adubos e corretivos'!R26</f>
        <v>0</v>
      </c>
      <c r="AL123" s="305">
        <f>'[1]Adubos e corretivos'!S26</f>
        <v>0</v>
      </c>
      <c r="AM123" s="305">
        <f>'[1]Adubos e corretivos'!T26</f>
        <v>0</v>
      </c>
      <c r="AN123" s="305">
        <f>'[1]Adubos e corretivos'!U26</f>
        <v>0</v>
      </c>
      <c r="AO123" s="305">
        <f>'[1]Adubos e corretivos'!V26</f>
        <v>0</v>
      </c>
    </row>
    <row r="124" spans="2:41" ht="19.5" customHeight="1" x14ac:dyDescent="0.25">
      <c r="M124" s="539"/>
      <c r="N124" s="547"/>
      <c r="O124" s="448" t="s">
        <v>180</v>
      </c>
      <c r="P124" s="448"/>
      <c r="Q124" s="266">
        <f t="shared" si="17"/>
        <v>5108.9959152090014</v>
      </c>
      <c r="R124" s="216"/>
      <c r="U124" s="543"/>
      <c r="V124" s="305" t="str">
        <f>'[1]Adubos e corretivos'!C27</f>
        <v>Formulado 13-3-25</v>
      </c>
      <c r="W124" s="305">
        <f>'[1]Adubos e corretivos'!D27</f>
        <v>2.2799999999999998</v>
      </c>
      <c r="X124" s="305">
        <f>'[1]Adubos e corretivos'!E27</f>
        <v>13</v>
      </c>
      <c r="Y124" s="305">
        <f>'[1]Adubos e corretivos'!F27</f>
        <v>1.31</v>
      </c>
      <c r="Z124" s="305">
        <f>'[1]Adubos e corretivos'!G27</f>
        <v>3</v>
      </c>
      <c r="AA124" s="305">
        <f>'[1]Adubos e corretivos'!H27</f>
        <v>20.8</v>
      </c>
      <c r="AB124" s="305">
        <f>'[1]Adubos e corretivos'!I27</f>
        <v>25</v>
      </c>
      <c r="AC124" s="305">
        <f>'[1]Adubos e corretivos'!J27</f>
        <v>0</v>
      </c>
      <c r="AD124" s="305">
        <f>'[1]Adubos e corretivos'!K27</f>
        <v>0</v>
      </c>
      <c r="AE124" s="305">
        <f>'[1]Adubos e corretivos'!L27</f>
        <v>0</v>
      </c>
      <c r="AF124" s="305">
        <f>'[1]Adubos e corretivos'!M27</f>
        <v>0</v>
      </c>
      <c r="AG124" s="305">
        <f>'[1]Adubos e corretivos'!N27</f>
        <v>0</v>
      </c>
      <c r="AH124" s="305">
        <f>'[1]Adubos e corretivos'!O27</f>
        <v>0</v>
      </c>
      <c r="AI124" s="305">
        <f>'[1]Adubos e corretivos'!P27</f>
        <v>0</v>
      </c>
      <c r="AJ124" s="305">
        <f>'[1]Adubos e corretivos'!Q27</f>
        <v>0</v>
      </c>
      <c r="AK124" s="305">
        <f>'[1]Adubos e corretivos'!R27</f>
        <v>0</v>
      </c>
      <c r="AL124" s="305">
        <f>'[1]Adubos e corretivos'!S27</f>
        <v>0</v>
      </c>
      <c r="AM124" s="305">
        <f>'[1]Adubos e corretivos'!T27</f>
        <v>0</v>
      </c>
      <c r="AN124" s="305">
        <f>'[1]Adubos e corretivos'!U27</f>
        <v>0</v>
      </c>
      <c r="AO124" s="305">
        <f>'[1]Adubos e corretivos'!V27</f>
        <v>0</v>
      </c>
    </row>
    <row r="125" spans="2:41" ht="19.5" customHeight="1" x14ac:dyDescent="0.25">
      <c r="M125" s="539"/>
      <c r="N125" s="547"/>
      <c r="O125" s="448" t="s">
        <v>173</v>
      </c>
      <c r="P125" s="448"/>
      <c r="Q125" s="266">
        <f t="shared" si="17"/>
        <v>0</v>
      </c>
      <c r="R125" s="216"/>
      <c r="U125" s="543"/>
      <c r="V125" s="305" t="str">
        <f>'[1]Adubos e corretivos'!C28</f>
        <v>Formulado 10-10-10</v>
      </c>
      <c r="W125" s="305">
        <f>'[1]Adubos e corretivos'!D28</f>
        <v>2</v>
      </c>
      <c r="X125" s="305">
        <f>'[1]Adubos e corretivos'!E28</f>
        <v>10</v>
      </c>
      <c r="Y125" s="305">
        <f>'[1]Adubos e corretivos'!F28</f>
        <v>4.4000000000000004</v>
      </c>
      <c r="Z125" s="305">
        <f>'[1]Adubos e corretivos'!G28</f>
        <v>10</v>
      </c>
      <c r="AA125" s="305">
        <f>'[1]Adubos e corretivos'!H28</f>
        <v>8.3000000000000007</v>
      </c>
      <c r="AB125" s="305">
        <f>'[1]Adubos e corretivos'!I28</f>
        <v>10</v>
      </c>
      <c r="AC125" s="305">
        <f>'[1]Adubos e corretivos'!J28</f>
        <v>0</v>
      </c>
      <c r="AD125" s="305">
        <f>'[1]Adubos e corretivos'!K28</f>
        <v>0</v>
      </c>
      <c r="AE125" s="305">
        <f>'[1]Adubos e corretivos'!L28</f>
        <v>0</v>
      </c>
      <c r="AF125" s="305">
        <f>'[1]Adubos e corretivos'!M28</f>
        <v>0</v>
      </c>
      <c r="AG125" s="305">
        <f>'[1]Adubos e corretivos'!N28</f>
        <v>0</v>
      </c>
      <c r="AH125" s="305">
        <f>'[1]Adubos e corretivos'!O28</f>
        <v>0</v>
      </c>
      <c r="AI125" s="305">
        <f>'[1]Adubos e corretivos'!P28</f>
        <v>0</v>
      </c>
      <c r="AJ125" s="305">
        <f>'[1]Adubos e corretivos'!Q28</f>
        <v>0</v>
      </c>
      <c r="AK125" s="305">
        <f>'[1]Adubos e corretivos'!R28</f>
        <v>0</v>
      </c>
      <c r="AL125" s="305">
        <f>'[1]Adubos e corretivos'!S28</f>
        <v>0</v>
      </c>
      <c r="AM125" s="305">
        <f>'[1]Adubos e corretivos'!T28</f>
        <v>0</v>
      </c>
      <c r="AN125" s="305">
        <f>'[1]Adubos e corretivos'!U28</f>
        <v>0</v>
      </c>
      <c r="AO125" s="305">
        <f>'[1]Adubos e corretivos'!V28</f>
        <v>0</v>
      </c>
    </row>
    <row r="126" spans="2:41" ht="19.5" customHeight="1" x14ac:dyDescent="0.25">
      <c r="M126" s="539"/>
      <c r="N126" s="547"/>
      <c r="O126" s="448" t="s">
        <v>175</v>
      </c>
      <c r="P126" s="448"/>
      <c r="Q126" s="266">
        <f t="shared" si="17"/>
        <v>-7.1054273576010019E-15</v>
      </c>
      <c r="R126" s="216"/>
      <c r="U126" s="543"/>
      <c r="V126" s="305" t="str">
        <f>'[1]Adubos e corretivos'!C29</f>
        <v>Formulado 20-00-20</v>
      </c>
      <c r="W126" s="305">
        <f>'[1]Adubos e corretivos'!D29</f>
        <v>2.2799999999999998</v>
      </c>
      <c r="X126" s="305">
        <f>'[1]Adubos e corretivos'!E29</f>
        <v>20</v>
      </c>
      <c r="Y126" s="305">
        <f>'[1]Adubos e corretivos'!F29</f>
        <v>0</v>
      </c>
      <c r="Z126" s="305">
        <f>'[1]Adubos e corretivos'!G29</f>
        <v>0</v>
      </c>
      <c r="AA126" s="305">
        <f>'[1]Adubos e corretivos'!H29</f>
        <v>16.600000000000001</v>
      </c>
      <c r="AB126" s="305">
        <f>'[1]Adubos e corretivos'!I29</f>
        <v>20</v>
      </c>
      <c r="AC126" s="305">
        <f>'[1]Adubos e corretivos'!J29</f>
        <v>0</v>
      </c>
      <c r="AD126" s="305">
        <f>'[1]Adubos e corretivos'!K29</f>
        <v>0</v>
      </c>
      <c r="AE126" s="305">
        <f>'[1]Adubos e corretivos'!L29</f>
        <v>0</v>
      </c>
      <c r="AF126" s="305">
        <f>'[1]Adubos e corretivos'!M29</f>
        <v>0</v>
      </c>
      <c r="AG126" s="305">
        <f>'[1]Adubos e corretivos'!N29</f>
        <v>0</v>
      </c>
      <c r="AH126" s="305">
        <f>'[1]Adubos e corretivos'!O29</f>
        <v>0</v>
      </c>
      <c r="AI126" s="305">
        <f>'[1]Adubos e corretivos'!P29</f>
        <v>0</v>
      </c>
      <c r="AJ126" s="305">
        <f>'[1]Adubos e corretivos'!Q29</f>
        <v>0</v>
      </c>
      <c r="AK126" s="305">
        <f>'[1]Adubos e corretivos'!R29</f>
        <v>0</v>
      </c>
      <c r="AL126" s="305">
        <f>'[1]Adubos e corretivos'!S29</f>
        <v>0</v>
      </c>
      <c r="AM126" s="305">
        <f>'[1]Adubos e corretivos'!T29</f>
        <v>0</v>
      </c>
      <c r="AN126" s="305">
        <f>'[1]Adubos e corretivos'!U29</f>
        <v>0</v>
      </c>
      <c r="AO126" s="305">
        <f>'[1]Adubos e corretivos'!V29</f>
        <v>0</v>
      </c>
    </row>
    <row r="127" spans="2:41" ht="19.5" customHeight="1" x14ac:dyDescent="0.25">
      <c r="M127" s="539"/>
      <c r="N127" s="547"/>
      <c r="O127" s="448" t="s">
        <v>176</v>
      </c>
      <c r="P127" s="448"/>
      <c r="Q127" s="266">
        <f t="shared" si="17"/>
        <v>0</v>
      </c>
      <c r="R127" s="216"/>
      <c r="U127" s="543"/>
      <c r="V127" s="305" t="str">
        <f>'[1]Adubos e corretivos'!C30</f>
        <v>Formulado 07-00-30 + 12% Calcio</v>
      </c>
      <c r="W127" s="305">
        <f>'[1]Adubos e corretivos'!D30</f>
        <v>3.36</v>
      </c>
      <c r="X127" s="305">
        <f>'[1]Adubos e corretivos'!E30</f>
        <v>7</v>
      </c>
      <c r="Y127" s="305">
        <f>'[1]Adubos e corretivos'!F30</f>
        <v>0</v>
      </c>
      <c r="Z127" s="305">
        <f>'[1]Adubos e corretivos'!G30</f>
        <v>0</v>
      </c>
      <c r="AA127" s="305">
        <f>'[1]Adubos e corretivos'!H30</f>
        <v>24.89</v>
      </c>
      <c r="AB127" s="305">
        <f>'[1]Adubos e corretivos'!I30</f>
        <v>30</v>
      </c>
      <c r="AC127" s="305">
        <f>'[1]Adubos e corretivos'!J30</f>
        <v>12</v>
      </c>
      <c r="AD127" s="305">
        <f>'[1]Adubos e corretivos'!K30</f>
        <v>0</v>
      </c>
      <c r="AE127" s="305">
        <f>'[1]Adubos e corretivos'!L30</f>
        <v>0</v>
      </c>
      <c r="AF127" s="305">
        <f>'[1]Adubos e corretivos'!M30</f>
        <v>0</v>
      </c>
      <c r="AG127" s="305">
        <f>'[1]Adubos e corretivos'!N30</f>
        <v>0</v>
      </c>
      <c r="AH127" s="305">
        <f>'[1]Adubos e corretivos'!O30</f>
        <v>0</v>
      </c>
      <c r="AI127" s="305">
        <f>'[1]Adubos e corretivos'!P30</f>
        <v>0</v>
      </c>
      <c r="AJ127" s="305">
        <f>'[1]Adubos e corretivos'!Q30</f>
        <v>0</v>
      </c>
      <c r="AK127" s="305">
        <f>'[1]Adubos e corretivos'!R30</f>
        <v>0</v>
      </c>
      <c r="AL127" s="305">
        <f>'[1]Adubos e corretivos'!S30</f>
        <v>0</v>
      </c>
      <c r="AM127" s="305">
        <f>'[1]Adubos e corretivos'!T30</f>
        <v>0</v>
      </c>
      <c r="AN127" s="305">
        <f>'[1]Adubos e corretivos'!U30</f>
        <v>0</v>
      </c>
      <c r="AO127" s="305">
        <f>'[1]Adubos e corretivos'!V30</f>
        <v>0</v>
      </c>
    </row>
    <row r="128" spans="2:41" ht="19.5" customHeight="1" x14ac:dyDescent="0.25">
      <c r="M128" s="539"/>
      <c r="N128" s="547"/>
      <c r="O128" s="448" t="s">
        <v>181</v>
      </c>
      <c r="P128" s="448"/>
      <c r="Q128" s="266">
        <f t="shared" si="17"/>
        <v>1.1368683772161603E-13</v>
      </c>
      <c r="R128" s="216"/>
      <c r="U128" s="543"/>
      <c r="V128" s="305">
        <f>'[1]Adubos e corretivos'!C31</f>
        <v>0</v>
      </c>
      <c r="W128" s="305">
        <f>'[1]Adubos e corretivos'!D31</f>
        <v>0</v>
      </c>
      <c r="X128" s="305">
        <f>'[1]Adubos e corretivos'!E31</f>
        <v>0</v>
      </c>
      <c r="Y128" s="305">
        <f>'[1]Adubos e corretivos'!F31</f>
        <v>0</v>
      </c>
      <c r="Z128" s="305">
        <f>'[1]Adubos e corretivos'!G31</f>
        <v>0</v>
      </c>
      <c r="AA128" s="305">
        <f>'[1]Adubos e corretivos'!H31</f>
        <v>0</v>
      </c>
      <c r="AB128" s="305">
        <f>'[1]Adubos e corretivos'!I31</f>
        <v>0</v>
      </c>
      <c r="AC128" s="305">
        <f>'[1]Adubos e corretivos'!J31</f>
        <v>0</v>
      </c>
      <c r="AD128" s="305">
        <f>'[1]Adubos e corretivos'!K31</f>
        <v>0</v>
      </c>
      <c r="AE128" s="305">
        <f>'[1]Adubos e corretivos'!L31</f>
        <v>0</v>
      </c>
      <c r="AF128" s="305">
        <f>'[1]Adubos e corretivos'!M31</f>
        <v>0</v>
      </c>
      <c r="AG128" s="305">
        <f>'[1]Adubos e corretivos'!N31</f>
        <v>0</v>
      </c>
      <c r="AH128" s="305">
        <f>'[1]Adubos e corretivos'!O31</f>
        <v>0</v>
      </c>
      <c r="AI128" s="305">
        <f>'[1]Adubos e corretivos'!P31</f>
        <v>0</v>
      </c>
      <c r="AJ128" s="305">
        <f>'[1]Adubos e corretivos'!Q31</f>
        <v>0</v>
      </c>
      <c r="AK128" s="305">
        <f>'[1]Adubos e corretivos'!R31</f>
        <v>0</v>
      </c>
      <c r="AL128" s="305">
        <f>'[1]Adubos e corretivos'!S31</f>
        <v>0</v>
      </c>
      <c r="AM128" s="305">
        <f>'[1]Adubos e corretivos'!T31</f>
        <v>0</v>
      </c>
      <c r="AN128" s="305">
        <f>'[1]Adubos e corretivos'!U31</f>
        <v>0</v>
      </c>
      <c r="AO128" s="305">
        <f>'[1]Adubos e corretivos'!V31</f>
        <v>0</v>
      </c>
    </row>
    <row r="129" spans="13:41" ht="19.5" customHeight="1" x14ac:dyDescent="0.25">
      <c r="M129" s="539"/>
      <c r="N129" s="547"/>
      <c r="O129" s="448" t="s">
        <v>620</v>
      </c>
      <c r="P129" s="448"/>
      <c r="Q129" s="266">
        <f t="shared" si="17"/>
        <v>0</v>
      </c>
      <c r="R129" s="216"/>
      <c r="U129" s="543"/>
      <c r="V129" s="305">
        <f>'[1]Adubos e corretivos'!C32</f>
        <v>0</v>
      </c>
      <c r="W129" s="305">
        <f>'[1]Adubos e corretivos'!D32</f>
        <v>0</v>
      </c>
      <c r="X129" s="305">
        <f>'[1]Adubos e corretivos'!E32</f>
        <v>0</v>
      </c>
      <c r="Y129" s="305">
        <f>'[1]Adubos e corretivos'!F32</f>
        <v>0</v>
      </c>
      <c r="Z129" s="305">
        <f>'[1]Adubos e corretivos'!G32</f>
        <v>0</v>
      </c>
      <c r="AA129" s="305">
        <f>'[1]Adubos e corretivos'!H32</f>
        <v>0</v>
      </c>
      <c r="AB129" s="305">
        <f>'[1]Adubos e corretivos'!I32</f>
        <v>0</v>
      </c>
      <c r="AC129" s="305">
        <f>'[1]Adubos e corretivos'!J32</f>
        <v>0</v>
      </c>
      <c r="AD129" s="305">
        <f>'[1]Adubos e corretivos'!K32</f>
        <v>0</v>
      </c>
      <c r="AE129" s="305">
        <f>'[1]Adubos e corretivos'!L32</f>
        <v>0</v>
      </c>
      <c r="AF129" s="305">
        <f>'[1]Adubos e corretivos'!M32</f>
        <v>0</v>
      </c>
      <c r="AG129" s="305">
        <f>'[1]Adubos e corretivos'!N32</f>
        <v>0</v>
      </c>
      <c r="AH129" s="305">
        <f>'[1]Adubos e corretivos'!O32</f>
        <v>0</v>
      </c>
      <c r="AI129" s="305">
        <f>'[1]Adubos e corretivos'!P32</f>
        <v>0</v>
      </c>
      <c r="AJ129" s="305">
        <f>'[1]Adubos e corretivos'!Q32</f>
        <v>0</v>
      </c>
      <c r="AK129" s="305">
        <f>'[1]Adubos e corretivos'!R32</f>
        <v>0</v>
      </c>
      <c r="AL129" s="305">
        <f>'[1]Adubos e corretivos'!S32</f>
        <v>0</v>
      </c>
      <c r="AM129" s="305">
        <f>'[1]Adubos e corretivos'!T32</f>
        <v>0</v>
      </c>
      <c r="AN129" s="305">
        <f>'[1]Adubos e corretivos'!U32</f>
        <v>0</v>
      </c>
      <c r="AO129" s="305">
        <f>'[1]Adubos e corretivos'!V32</f>
        <v>0</v>
      </c>
    </row>
    <row r="130" spans="13:41" ht="19.5" customHeight="1" x14ac:dyDescent="0.25">
      <c r="M130" s="539"/>
      <c r="N130" s="547"/>
      <c r="O130" s="448" t="s">
        <v>229</v>
      </c>
      <c r="P130" s="448"/>
      <c r="Q130" s="266">
        <f t="shared" si="17"/>
        <v>0</v>
      </c>
      <c r="R130" s="216"/>
      <c r="U130" s="543"/>
      <c r="V130" s="305">
        <f>'[1]Adubos e corretivos'!C33</f>
        <v>0</v>
      </c>
      <c r="W130" s="305">
        <f>'[1]Adubos e corretivos'!D33</f>
        <v>0</v>
      </c>
      <c r="X130" s="305">
        <f>'[1]Adubos e corretivos'!E33</f>
        <v>0</v>
      </c>
      <c r="Y130" s="305">
        <f>'[1]Adubos e corretivos'!F33</f>
        <v>0</v>
      </c>
      <c r="Z130" s="305">
        <f>'[1]Adubos e corretivos'!G33</f>
        <v>0</v>
      </c>
      <c r="AA130" s="305">
        <f>'[1]Adubos e corretivos'!H33</f>
        <v>0</v>
      </c>
      <c r="AB130" s="305">
        <f>'[1]Adubos e corretivos'!I33</f>
        <v>0</v>
      </c>
      <c r="AC130" s="305">
        <f>'[1]Adubos e corretivos'!J33</f>
        <v>0</v>
      </c>
      <c r="AD130" s="305">
        <f>'[1]Adubos e corretivos'!K33</f>
        <v>0</v>
      </c>
      <c r="AE130" s="305">
        <f>'[1]Adubos e corretivos'!L33</f>
        <v>0</v>
      </c>
      <c r="AF130" s="305">
        <f>'[1]Adubos e corretivos'!M33</f>
        <v>0</v>
      </c>
      <c r="AG130" s="305">
        <f>'[1]Adubos e corretivos'!N33</f>
        <v>0</v>
      </c>
      <c r="AH130" s="305">
        <f>'[1]Adubos e corretivos'!O33</f>
        <v>0</v>
      </c>
      <c r="AI130" s="305">
        <f>'[1]Adubos e corretivos'!P33</f>
        <v>0</v>
      </c>
      <c r="AJ130" s="305">
        <f>'[1]Adubos e corretivos'!Q33</f>
        <v>0</v>
      </c>
      <c r="AK130" s="305">
        <f>'[1]Adubos e corretivos'!R33</f>
        <v>0</v>
      </c>
      <c r="AL130" s="305">
        <f>'[1]Adubos e corretivos'!S33</f>
        <v>0</v>
      </c>
      <c r="AM130" s="305">
        <f>'[1]Adubos e corretivos'!T33</f>
        <v>0</v>
      </c>
      <c r="AN130" s="305">
        <f>'[1]Adubos e corretivos'!U33</f>
        <v>0</v>
      </c>
      <c r="AO130" s="305">
        <f>'[1]Adubos e corretivos'!V33</f>
        <v>0</v>
      </c>
    </row>
    <row r="131" spans="13:41" ht="19.5" customHeight="1" x14ac:dyDescent="0.25">
      <c r="M131" s="539"/>
      <c r="N131" s="547"/>
      <c r="O131" s="448" t="s">
        <v>161</v>
      </c>
      <c r="P131" s="448"/>
      <c r="Q131" s="266">
        <f t="shared" si="17"/>
        <v>963.62433740756171</v>
      </c>
      <c r="R131" s="216"/>
      <c r="U131" s="536" t="s">
        <v>280</v>
      </c>
      <c r="V131" s="305" t="str">
        <f>'[1]Adubos e corretivos'!C34</f>
        <v>Esterco de galinha</v>
      </c>
      <c r="W131" s="305">
        <f>'[1]Adubos e corretivos'!D34</f>
        <v>0.25</v>
      </c>
      <c r="X131" s="305">
        <f>'[1]Adubos e corretivos'!E34</f>
        <v>3</v>
      </c>
      <c r="Y131" s="305">
        <f>'[1]Adubos e corretivos'!F34</f>
        <v>1.31</v>
      </c>
      <c r="Z131" s="305">
        <f>'[1]Adubos e corretivos'!G34</f>
        <v>3</v>
      </c>
      <c r="AA131" s="305">
        <f>'[1]Adubos e corretivos'!H34</f>
        <v>1.665</v>
      </c>
      <c r="AB131" s="305">
        <f>'[1]Adubos e corretivos'!I34</f>
        <v>2</v>
      </c>
      <c r="AC131" s="305">
        <f>'[1]Adubos e corretivos'!J34</f>
        <v>0</v>
      </c>
      <c r="AD131" s="305">
        <f>'[1]Adubos e corretivos'!K34</f>
        <v>0</v>
      </c>
      <c r="AE131" s="305">
        <f>'[1]Adubos e corretivos'!L34</f>
        <v>0</v>
      </c>
      <c r="AF131" s="305">
        <f>'[1]Adubos e corretivos'!M34</f>
        <v>0</v>
      </c>
      <c r="AG131" s="305">
        <f>'[1]Adubos e corretivos'!N34</f>
        <v>0</v>
      </c>
      <c r="AH131" s="305">
        <f>'[1]Adubos e corretivos'!O34</f>
        <v>0</v>
      </c>
      <c r="AI131" s="305">
        <f>'[1]Adubos e corretivos'!P34</f>
        <v>0</v>
      </c>
      <c r="AJ131" s="305">
        <f>'[1]Adubos e corretivos'!Q34</f>
        <v>0</v>
      </c>
      <c r="AK131" s="305">
        <f>'[1]Adubos e corretivos'!R34</f>
        <v>0</v>
      </c>
      <c r="AL131" s="305">
        <f>'[1]Adubos e corretivos'!S34</f>
        <v>0</v>
      </c>
      <c r="AM131" s="305">
        <f>'[1]Adubos e corretivos'!T34</f>
        <v>0</v>
      </c>
      <c r="AN131" s="305">
        <f>'[1]Adubos e corretivos'!U34</f>
        <v>0</v>
      </c>
      <c r="AO131" s="305">
        <f>'[1]Adubos e corretivos'!V34</f>
        <v>0</v>
      </c>
    </row>
    <row r="132" spans="13:41" ht="19.5" customHeight="1" x14ac:dyDescent="0.25">
      <c r="M132" s="539"/>
      <c r="N132" s="547"/>
      <c r="O132" s="448" t="s">
        <v>621</v>
      </c>
      <c r="P132" s="448"/>
      <c r="Q132" s="266">
        <f t="shared" si="17"/>
        <v>0</v>
      </c>
      <c r="R132" s="216"/>
      <c r="U132" s="536"/>
      <c r="V132" s="305" t="str">
        <f>'[1]Adubos e corretivos'!C35</f>
        <v>Esterco de gado</v>
      </c>
      <c r="W132" s="305">
        <f>'[1]Adubos e corretivos'!D35</f>
        <v>0.25</v>
      </c>
      <c r="X132" s="305">
        <f>'[1]Adubos e corretivos'!E35</f>
        <v>1</v>
      </c>
      <c r="Y132" s="305">
        <f>'[1]Adubos e corretivos'!F35</f>
        <v>0.4366666666666667</v>
      </c>
      <c r="Z132" s="305">
        <f>'[1]Adubos e corretivos'!G35</f>
        <v>1</v>
      </c>
      <c r="AA132" s="305">
        <f>'[1]Adubos e corretivos'!H35</f>
        <v>0.55500000000000005</v>
      </c>
      <c r="AB132" s="305">
        <f>'[1]Adubos e corretivos'!I35</f>
        <v>0.7</v>
      </c>
      <c r="AC132" s="305">
        <f>'[1]Adubos e corretivos'!J35</f>
        <v>0</v>
      </c>
      <c r="AD132" s="305">
        <f>'[1]Adubos e corretivos'!K35</f>
        <v>0</v>
      </c>
      <c r="AE132" s="305">
        <f>'[1]Adubos e corretivos'!L35</f>
        <v>0</v>
      </c>
      <c r="AF132" s="305">
        <f>'[1]Adubos e corretivos'!M35</f>
        <v>0</v>
      </c>
      <c r="AG132" s="305">
        <f>'[1]Adubos e corretivos'!N35</f>
        <v>0</v>
      </c>
      <c r="AH132" s="305">
        <f>'[1]Adubos e corretivos'!O35</f>
        <v>0</v>
      </c>
      <c r="AI132" s="305">
        <f>'[1]Adubos e corretivos'!P35</f>
        <v>0</v>
      </c>
      <c r="AJ132" s="305">
        <f>'[1]Adubos e corretivos'!Q35</f>
        <v>0</v>
      </c>
      <c r="AK132" s="305">
        <f>'[1]Adubos e corretivos'!R35</f>
        <v>0</v>
      </c>
      <c r="AL132" s="305">
        <f>'[1]Adubos e corretivos'!S35</f>
        <v>0</v>
      </c>
      <c r="AM132" s="305">
        <f>'[1]Adubos e corretivos'!T35</f>
        <v>0</v>
      </c>
      <c r="AN132" s="305">
        <f>'[1]Adubos e corretivos'!U35</f>
        <v>0</v>
      </c>
      <c r="AO132" s="305">
        <f>'[1]Adubos e corretivos'!V35</f>
        <v>0</v>
      </c>
    </row>
    <row r="133" spans="13:41" ht="19.5" customHeight="1" x14ac:dyDescent="0.25">
      <c r="M133" s="539"/>
      <c r="N133" s="547"/>
      <c r="O133" s="448" t="s">
        <v>612</v>
      </c>
      <c r="P133" s="448"/>
      <c r="Q133" s="266">
        <f t="shared" si="17"/>
        <v>0</v>
      </c>
      <c r="R133" s="216"/>
      <c r="U133" s="536"/>
      <c r="V133" s="305" t="str">
        <f>'[1]Adubos e corretivos'!C36</f>
        <v>Minhofertil</v>
      </c>
      <c r="W133" s="305">
        <f>'[1]Adubos e corretivos'!D36</f>
        <v>0</v>
      </c>
      <c r="X133" s="305">
        <f>'[1]Adubos e corretivos'!E36</f>
        <v>1</v>
      </c>
      <c r="Y133" s="305">
        <f>'[1]Adubos e corretivos'!F36</f>
        <v>0</v>
      </c>
      <c r="Z133" s="305">
        <f>'[1]Adubos e corretivos'!G36</f>
        <v>0</v>
      </c>
      <c r="AA133" s="305">
        <f>'[1]Adubos e corretivos'!H36</f>
        <v>0</v>
      </c>
      <c r="AB133" s="305">
        <f>'[1]Adubos e corretivos'!I36</f>
        <v>0</v>
      </c>
      <c r="AC133" s="305">
        <f>'[1]Adubos e corretivos'!J36</f>
        <v>0</v>
      </c>
      <c r="AD133" s="305">
        <f>'[1]Adubos e corretivos'!K36</f>
        <v>0</v>
      </c>
      <c r="AE133" s="305">
        <f>'[1]Adubos e corretivos'!L36</f>
        <v>0</v>
      </c>
      <c r="AF133" s="305">
        <f>'[1]Adubos e corretivos'!M36</f>
        <v>0</v>
      </c>
      <c r="AG133" s="305">
        <f>'[1]Adubos e corretivos'!N36</f>
        <v>0</v>
      </c>
      <c r="AH133" s="305">
        <f>'[1]Adubos e corretivos'!O36</f>
        <v>0</v>
      </c>
      <c r="AI133" s="305">
        <f>'[1]Adubos e corretivos'!P36</f>
        <v>0</v>
      </c>
      <c r="AJ133" s="305">
        <f>'[1]Adubos e corretivos'!Q36</f>
        <v>0</v>
      </c>
      <c r="AK133" s="305">
        <f>'[1]Adubos e corretivos'!R36</f>
        <v>0</v>
      </c>
      <c r="AL133" s="305">
        <f>'[1]Adubos e corretivos'!S36</f>
        <v>0</v>
      </c>
      <c r="AM133" s="305">
        <f>'[1]Adubos e corretivos'!T36</f>
        <v>0</v>
      </c>
      <c r="AN133" s="305">
        <f>'[1]Adubos e corretivos'!U36</f>
        <v>0</v>
      </c>
      <c r="AO133" s="305">
        <f>'[1]Adubos e corretivos'!V36</f>
        <v>0</v>
      </c>
    </row>
    <row r="134" spans="13:41" ht="19.5" customHeight="1" x14ac:dyDescent="0.25">
      <c r="M134" s="539"/>
      <c r="N134" s="547"/>
      <c r="O134" s="448"/>
      <c r="P134" s="448"/>
      <c r="Q134" s="266">
        <f t="shared" si="17"/>
        <v>0</v>
      </c>
      <c r="R134" s="216"/>
      <c r="U134" s="536"/>
      <c r="V134" s="305" t="str">
        <f>'[1]Adubos e corretivos'!C37</f>
        <v>Torta de mamona Super thorg</v>
      </c>
      <c r="W134" s="305">
        <f>'[1]Adubos e corretivos'!D37</f>
        <v>0</v>
      </c>
      <c r="X134" s="305">
        <f>'[1]Adubos e corretivos'!E37</f>
        <v>9.1</v>
      </c>
      <c r="Y134" s="305">
        <f>'[1]Adubos e corretivos'!F37</f>
        <v>0</v>
      </c>
      <c r="Z134" s="305">
        <f>'[1]Adubos e corretivos'!G37</f>
        <v>0</v>
      </c>
      <c r="AA134" s="305">
        <f>'[1]Adubos e corretivos'!H37</f>
        <v>0</v>
      </c>
      <c r="AB134" s="305">
        <f>'[1]Adubos e corretivos'!I37</f>
        <v>0</v>
      </c>
      <c r="AC134" s="305">
        <f>'[1]Adubos e corretivos'!J37</f>
        <v>0</v>
      </c>
      <c r="AD134" s="305">
        <f>'[1]Adubos e corretivos'!K37</f>
        <v>0</v>
      </c>
      <c r="AE134" s="305">
        <f>'[1]Adubos e corretivos'!L37</f>
        <v>0</v>
      </c>
      <c r="AF134" s="305">
        <f>'[1]Adubos e corretivos'!M37</f>
        <v>0</v>
      </c>
      <c r="AG134" s="305">
        <f>'[1]Adubos e corretivos'!N37</f>
        <v>0</v>
      </c>
      <c r="AH134" s="305">
        <f>'[1]Adubos e corretivos'!O37</f>
        <v>0</v>
      </c>
      <c r="AI134" s="305">
        <f>'[1]Adubos e corretivos'!P37</f>
        <v>0</v>
      </c>
      <c r="AJ134" s="305">
        <f>'[1]Adubos e corretivos'!Q37</f>
        <v>0</v>
      </c>
      <c r="AK134" s="305">
        <f>'[1]Adubos e corretivos'!R37</f>
        <v>0</v>
      </c>
      <c r="AL134" s="305">
        <f>'[1]Adubos e corretivos'!S37</f>
        <v>0</v>
      </c>
      <c r="AM134" s="305">
        <f>'[1]Adubos e corretivos'!T37</f>
        <v>0</v>
      </c>
      <c r="AN134" s="305">
        <f>'[1]Adubos e corretivos'!U37</f>
        <v>0</v>
      </c>
      <c r="AO134" s="305">
        <f>'[1]Adubos e corretivos'!V37</f>
        <v>0</v>
      </c>
    </row>
    <row r="135" spans="13:41" ht="19.5" customHeight="1" x14ac:dyDescent="0.25">
      <c r="M135" s="539"/>
      <c r="N135" s="547"/>
      <c r="O135" s="448"/>
      <c r="P135" s="448"/>
      <c r="Q135" s="266">
        <f t="shared" si="17"/>
        <v>0</v>
      </c>
      <c r="R135" s="216"/>
      <c r="U135" s="536"/>
      <c r="V135" s="305" t="str">
        <f>'[1]Adubos e corretivos'!C38</f>
        <v>Torta de mamona Nutrisafra</v>
      </c>
      <c r="W135" s="305">
        <f>'[1]Adubos e corretivos'!D38</f>
        <v>0</v>
      </c>
      <c r="X135" s="305">
        <f>'[1]Adubos e corretivos'!E38</f>
        <v>5</v>
      </c>
      <c r="Y135" s="305">
        <f>'[1]Adubos e corretivos'!F38</f>
        <v>0</v>
      </c>
      <c r="Z135" s="305">
        <f>'[1]Adubos e corretivos'!G38</f>
        <v>0</v>
      </c>
      <c r="AA135" s="305">
        <f>'[1]Adubos e corretivos'!H38</f>
        <v>0</v>
      </c>
      <c r="AB135" s="305">
        <f>'[1]Adubos e corretivos'!I38</f>
        <v>0</v>
      </c>
      <c r="AC135" s="305">
        <f>'[1]Adubos e corretivos'!J38</f>
        <v>0</v>
      </c>
      <c r="AD135" s="305">
        <f>'[1]Adubos e corretivos'!K38</f>
        <v>0</v>
      </c>
      <c r="AE135" s="305">
        <f>'[1]Adubos e corretivos'!L38</f>
        <v>0</v>
      </c>
      <c r="AF135" s="305">
        <f>'[1]Adubos e corretivos'!M38</f>
        <v>0</v>
      </c>
      <c r="AG135" s="305">
        <f>'[1]Adubos e corretivos'!N38</f>
        <v>0</v>
      </c>
      <c r="AH135" s="305">
        <f>'[1]Adubos e corretivos'!O38</f>
        <v>0</v>
      </c>
      <c r="AI135" s="305">
        <f>'[1]Adubos e corretivos'!P38</f>
        <v>0</v>
      </c>
      <c r="AJ135" s="305">
        <f>'[1]Adubos e corretivos'!Q38</f>
        <v>0</v>
      </c>
      <c r="AK135" s="305">
        <f>'[1]Adubos e corretivos'!R38</f>
        <v>0</v>
      </c>
      <c r="AL135" s="305">
        <f>'[1]Adubos e corretivos'!S38</f>
        <v>0</v>
      </c>
      <c r="AM135" s="305">
        <f>'[1]Adubos e corretivos'!T38</f>
        <v>0</v>
      </c>
      <c r="AN135" s="305">
        <f>'[1]Adubos e corretivos'!U38</f>
        <v>0</v>
      </c>
      <c r="AO135" s="305">
        <f>'[1]Adubos e corretivos'!V38</f>
        <v>0</v>
      </c>
    </row>
    <row r="136" spans="13:41" ht="19.5" customHeight="1" x14ac:dyDescent="0.25">
      <c r="M136" s="539"/>
      <c r="N136" s="547"/>
      <c r="O136" s="448"/>
      <c r="P136" s="448"/>
      <c r="Q136" s="266">
        <f t="shared" si="17"/>
        <v>0</v>
      </c>
      <c r="R136" s="216"/>
      <c r="U136" s="536"/>
      <c r="V136" s="305" t="str">
        <f>'[1]Adubos e corretivos'!C39</f>
        <v>Torta de mamona Vitaplan</v>
      </c>
      <c r="W136" s="305">
        <f>'[1]Adubos e corretivos'!D39</f>
        <v>0</v>
      </c>
      <c r="X136" s="305">
        <f>'[1]Adubos e corretivos'!E39</f>
        <v>8.5</v>
      </c>
      <c r="Y136" s="305">
        <f>'[1]Adubos e corretivos'!F39</f>
        <v>0</v>
      </c>
      <c r="Z136" s="305">
        <f>'[1]Adubos e corretivos'!G39</f>
        <v>0</v>
      </c>
      <c r="AA136" s="305">
        <f>'[1]Adubos e corretivos'!H39</f>
        <v>0</v>
      </c>
      <c r="AB136" s="305">
        <f>'[1]Adubos e corretivos'!I39</f>
        <v>0</v>
      </c>
      <c r="AC136" s="305">
        <f>'[1]Adubos e corretivos'!J39</f>
        <v>0</v>
      </c>
      <c r="AD136" s="305">
        <f>'[1]Adubos e corretivos'!K39</f>
        <v>0</v>
      </c>
      <c r="AE136" s="305">
        <f>'[1]Adubos e corretivos'!L39</f>
        <v>0</v>
      </c>
      <c r="AF136" s="305">
        <f>'[1]Adubos e corretivos'!M39</f>
        <v>0</v>
      </c>
      <c r="AG136" s="305">
        <f>'[1]Adubos e corretivos'!N39</f>
        <v>0</v>
      </c>
      <c r="AH136" s="305">
        <f>'[1]Adubos e corretivos'!O39</f>
        <v>0</v>
      </c>
      <c r="AI136" s="305">
        <f>'[1]Adubos e corretivos'!P39</f>
        <v>0</v>
      </c>
      <c r="AJ136" s="305">
        <f>'[1]Adubos e corretivos'!Q39</f>
        <v>0</v>
      </c>
      <c r="AK136" s="305">
        <f>'[1]Adubos e corretivos'!R39</f>
        <v>0</v>
      </c>
      <c r="AL136" s="305">
        <f>'[1]Adubos e corretivos'!S39</f>
        <v>0</v>
      </c>
      <c r="AM136" s="305">
        <f>'[1]Adubos e corretivos'!T39</f>
        <v>0</v>
      </c>
      <c r="AN136" s="305">
        <f>'[1]Adubos e corretivos'!U39</f>
        <v>0</v>
      </c>
      <c r="AO136" s="305">
        <f>'[1]Adubos e corretivos'!V39</f>
        <v>0</v>
      </c>
    </row>
    <row r="137" spans="13:41" ht="19.5" customHeight="1" x14ac:dyDescent="0.25">
      <c r="M137" s="539"/>
      <c r="N137" s="547"/>
      <c r="O137" s="448"/>
      <c r="P137" s="448"/>
      <c r="Q137" s="266">
        <f t="shared" si="17"/>
        <v>0</v>
      </c>
      <c r="R137" s="216"/>
      <c r="U137" s="536"/>
      <c r="V137" s="305" t="str">
        <f>'[1]Adubos e corretivos'!C40</f>
        <v>Farinha de osso</v>
      </c>
      <c r="W137" s="305">
        <f>'[1]Adubos e corretivos'!D40</f>
        <v>0</v>
      </c>
      <c r="X137" s="305">
        <f>'[1]Adubos e corretivos'!E40</f>
        <v>0</v>
      </c>
      <c r="Y137" s="305">
        <f>'[1]Adubos e corretivos'!F40</f>
        <v>18.2</v>
      </c>
      <c r="Z137" s="305">
        <f>'[1]Adubos e corretivos'!G40</f>
        <v>42</v>
      </c>
      <c r="AA137" s="305">
        <f>'[1]Adubos e corretivos'!H40</f>
        <v>0</v>
      </c>
      <c r="AB137" s="305">
        <f>'[1]Adubos e corretivos'!I40</f>
        <v>0</v>
      </c>
      <c r="AC137" s="305">
        <f>'[1]Adubos e corretivos'!J40</f>
        <v>39.5</v>
      </c>
      <c r="AD137" s="305">
        <f>'[1]Adubos e corretivos'!K40</f>
        <v>0</v>
      </c>
      <c r="AE137" s="305">
        <f>'[1]Adubos e corretivos'!L40</f>
        <v>0</v>
      </c>
      <c r="AF137" s="305">
        <f>'[1]Adubos e corretivos'!M40</f>
        <v>0</v>
      </c>
      <c r="AG137" s="305">
        <f>'[1]Adubos e corretivos'!N40</f>
        <v>0</v>
      </c>
      <c r="AH137" s="305">
        <f>'[1]Adubos e corretivos'!O40</f>
        <v>0</v>
      </c>
      <c r="AI137" s="305">
        <f>'[1]Adubos e corretivos'!P40</f>
        <v>0</v>
      </c>
      <c r="AJ137" s="305">
        <f>'[1]Adubos e corretivos'!Q40</f>
        <v>0</v>
      </c>
      <c r="AK137" s="305">
        <f>'[1]Adubos e corretivos'!R40</f>
        <v>0</v>
      </c>
      <c r="AL137" s="305">
        <f>'[1]Adubos e corretivos'!S40</f>
        <v>0</v>
      </c>
      <c r="AM137" s="305">
        <f>'[1]Adubos e corretivos'!T40</f>
        <v>7.5</v>
      </c>
      <c r="AN137" s="305">
        <f>'[1]Adubos e corretivos'!U40</f>
        <v>0</v>
      </c>
      <c r="AO137" s="305">
        <f>'[1]Adubos e corretivos'!V40</f>
        <v>0</v>
      </c>
    </row>
    <row r="138" spans="13:41" ht="19.5" customHeight="1" x14ac:dyDescent="0.25">
      <c r="M138" s="539"/>
      <c r="N138" s="547"/>
      <c r="O138" s="448"/>
      <c r="P138" s="448"/>
      <c r="Q138" s="266">
        <f t="shared" si="17"/>
        <v>0</v>
      </c>
      <c r="R138" s="216"/>
      <c r="U138" s="536"/>
      <c r="V138" s="305" t="str">
        <f>'[1]Adubos e corretivos'!C41</f>
        <v>Termofosfato YOORIN</v>
      </c>
      <c r="W138" s="305">
        <f>'[1]Adubos e corretivos'!D41</f>
        <v>2.3250000000000002</v>
      </c>
      <c r="X138" s="305">
        <f>'[1]Adubos e corretivos'!E41</f>
        <v>0</v>
      </c>
      <c r="Y138" s="305">
        <f>'[1]Adubos e corretivos'!F41</f>
        <v>7.6440000000000001</v>
      </c>
      <c r="Z138" s="305">
        <f>'[1]Adubos e corretivos'!G41</f>
        <v>17.5</v>
      </c>
      <c r="AA138" s="305">
        <f>'[1]Adubos e corretivos'!H41</f>
        <v>0</v>
      </c>
      <c r="AB138" s="305">
        <f>'[1]Adubos e corretivos'!I41</f>
        <v>0</v>
      </c>
      <c r="AC138" s="305">
        <f>'[1]Adubos e corretivos'!J41</f>
        <v>18</v>
      </c>
      <c r="AD138" s="305">
        <f>'[1]Adubos e corretivos'!K41</f>
        <v>7</v>
      </c>
      <c r="AE138" s="305">
        <f>'[1]Adubos e corretivos'!L41</f>
        <v>0</v>
      </c>
      <c r="AF138" s="305">
        <f>'[1]Adubos e corretivos'!M41</f>
        <v>0.1</v>
      </c>
      <c r="AG138" s="305">
        <f>'[1]Adubos e corretivos'!N41</f>
        <v>0.3</v>
      </c>
      <c r="AH138" s="305">
        <f>'[1]Adubos e corretivos'!O41</f>
        <v>5.5</v>
      </c>
      <c r="AI138" s="305">
        <f>'[1]Adubos e corretivos'!P41</f>
        <v>0.5</v>
      </c>
      <c r="AJ138" s="305">
        <f>'[1]Adubos e corretivos'!Q41</f>
        <v>0</v>
      </c>
      <c r="AK138" s="305">
        <f>'[1]Adubos e corretivos'!R41</f>
        <v>0</v>
      </c>
      <c r="AL138" s="305">
        <f>'[1]Adubos e corretivos'!S41</f>
        <v>10</v>
      </c>
      <c r="AM138" s="305">
        <f>'[1]Adubos e corretivos'!T41</f>
        <v>0</v>
      </c>
      <c r="AN138" s="305">
        <f>'[1]Adubos e corretivos'!U41</f>
        <v>0</v>
      </c>
      <c r="AO138" s="305">
        <f>'[1]Adubos e corretivos'!V41</f>
        <v>0</v>
      </c>
    </row>
    <row r="139" spans="13:41" ht="19.5" customHeight="1" x14ac:dyDescent="0.25">
      <c r="M139" s="539"/>
      <c r="N139" s="547"/>
      <c r="O139" s="448"/>
      <c r="P139" s="448"/>
      <c r="Q139" s="266">
        <f t="shared" si="17"/>
        <v>0</v>
      </c>
      <c r="R139" s="216"/>
      <c r="U139" s="536"/>
      <c r="V139" s="305" t="str">
        <f>'[1]Adubos e corretivos'!C42</f>
        <v>Kmag</v>
      </c>
      <c r="W139" s="305">
        <f>'[1]Adubos e corretivos'!D42</f>
        <v>2.9</v>
      </c>
      <c r="X139" s="305">
        <f>'[1]Adubos e corretivos'!E42</f>
        <v>0</v>
      </c>
      <c r="Y139" s="305">
        <f>'[1]Adubos e corretivos'!F42</f>
        <v>0</v>
      </c>
      <c r="Z139" s="305">
        <f>'[1]Adubos e corretivos'!G42</f>
        <v>0</v>
      </c>
      <c r="AA139" s="305">
        <f>'[1]Adubos e corretivos'!H42</f>
        <v>17.45</v>
      </c>
      <c r="AB139" s="305">
        <f>'[1]Adubos e corretivos'!I42</f>
        <v>21</v>
      </c>
      <c r="AC139" s="305">
        <f>'[1]Adubos e corretivos'!J42</f>
        <v>10</v>
      </c>
      <c r="AD139" s="305">
        <f>'[1]Adubos e corretivos'!K42</f>
        <v>21</v>
      </c>
      <c r="AE139" s="305">
        <f>'[1]Adubos e corretivos'!L42</f>
        <v>0</v>
      </c>
      <c r="AF139" s="305">
        <f>'[1]Adubos e corretivos'!M42</f>
        <v>0</v>
      </c>
      <c r="AG139" s="305">
        <f>'[1]Adubos e corretivos'!N42</f>
        <v>0</v>
      </c>
      <c r="AH139" s="305">
        <f>'[1]Adubos e corretivos'!O42</f>
        <v>0</v>
      </c>
      <c r="AI139" s="305">
        <f>'[1]Adubos e corretivos'!P42</f>
        <v>0</v>
      </c>
      <c r="AJ139" s="305">
        <f>'[1]Adubos e corretivos'!Q42</f>
        <v>0</v>
      </c>
      <c r="AK139" s="305">
        <f>'[1]Adubos e corretivos'!R42</f>
        <v>0</v>
      </c>
      <c r="AL139" s="305">
        <f>'[1]Adubos e corretivos'!S42</f>
        <v>0</v>
      </c>
      <c r="AM139" s="305">
        <f>'[1]Adubos e corretivos'!T42</f>
        <v>0</v>
      </c>
      <c r="AN139" s="305">
        <f>'[1]Adubos e corretivos'!U42</f>
        <v>0</v>
      </c>
      <c r="AO139" s="305">
        <f>'[1]Adubos e corretivos'!V42</f>
        <v>0</v>
      </c>
    </row>
    <row r="140" spans="13:41" ht="19.5" customHeight="1" x14ac:dyDescent="0.25">
      <c r="M140" s="539"/>
      <c r="N140" s="547"/>
      <c r="O140" s="448"/>
      <c r="P140" s="448"/>
      <c r="Q140" s="266">
        <f t="shared" si="17"/>
        <v>0</v>
      </c>
      <c r="R140" s="216"/>
      <c r="U140" s="536"/>
      <c r="V140" s="305" t="str">
        <f>'[1]Adubos e corretivos'!C43</f>
        <v>Algas marinhas Algen</v>
      </c>
      <c r="W140" s="305">
        <f>'[1]Adubos e corretivos'!D43</f>
        <v>1.96</v>
      </c>
      <c r="X140" s="305">
        <f>'[1]Adubos e corretivos'!E43</f>
        <v>0</v>
      </c>
      <c r="Y140" s="305">
        <f>'[1]Adubos e corretivos'!F43</f>
        <v>0</v>
      </c>
      <c r="Z140" s="305">
        <f>'[1]Adubos e corretivos'!G43</f>
        <v>0</v>
      </c>
      <c r="AA140" s="305">
        <f>'[1]Adubos e corretivos'!H43</f>
        <v>0</v>
      </c>
      <c r="AB140" s="305">
        <f>'[1]Adubos e corretivos'!I43</f>
        <v>0</v>
      </c>
      <c r="AC140" s="305">
        <f>'[1]Adubos e corretivos'!J43</f>
        <v>32</v>
      </c>
      <c r="AD140" s="305">
        <f>'[1]Adubos e corretivos'!K43</f>
        <v>2</v>
      </c>
      <c r="AE140" s="305">
        <f>'[1]Adubos e corretivos'!L43</f>
        <v>0</v>
      </c>
      <c r="AF140" s="305">
        <f>'[1]Adubos e corretivos'!M43</f>
        <v>0</v>
      </c>
      <c r="AG140" s="305">
        <f>'[1]Adubos e corretivos'!N43</f>
        <v>0</v>
      </c>
      <c r="AH140" s="305">
        <f>'[1]Adubos e corretivos'!O43</f>
        <v>0</v>
      </c>
      <c r="AI140" s="305">
        <f>'[1]Adubos e corretivos'!P43</f>
        <v>0</v>
      </c>
      <c r="AJ140" s="305">
        <f>'[1]Adubos e corretivos'!Q43</f>
        <v>0</v>
      </c>
      <c r="AK140" s="305">
        <f>'[1]Adubos e corretivos'!R43</f>
        <v>0</v>
      </c>
      <c r="AL140" s="305">
        <f>'[1]Adubos e corretivos'!S43</f>
        <v>0</v>
      </c>
      <c r="AM140" s="305">
        <f>'[1]Adubos e corretivos'!T43</f>
        <v>0</v>
      </c>
      <c r="AN140" s="305">
        <f>'[1]Adubos e corretivos'!U43</f>
        <v>0</v>
      </c>
      <c r="AO140" s="305">
        <f>'[1]Adubos e corretivos'!V43</f>
        <v>0</v>
      </c>
    </row>
    <row r="141" spans="13:41" ht="19.5" customHeight="1" x14ac:dyDescent="0.25">
      <c r="M141" s="539"/>
      <c r="N141" s="547"/>
      <c r="O141" s="448"/>
      <c r="P141" s="448"/>
      <c r="Q141" s="266">
        <f t="shared" si="17"/>
        <v>0</v>
      </c>
      <c r="R141" s="216"/>
      <c r="U141" s="536"/>
      <c r="V141" s="305" t="str">
        <f>'[1]Adubos e corretivos'!C44</f>
        <v>Sulfato de magnésio</v>
      </c>
      <c r="W141" s="305">
        <f>'[1]Adubos e corretivos'!D44</f>
        <v>1.6</v>
      </c>
      <c r="X141" s="305">
        <f>'[1]Adubos e corretivos'!E44</f>
        <v>0</v>
      </c>
      <c r="Y141" s="305">
        <f>'[1]Adubos e corretivos'!F44</f>
        <v>0</v>
      </c>
      <c r="Z141" s="305">
        <f>'[1]Adubos e corretivos'!G44</f>
        <v>0</v>
      </c>
      <c r="AA141" s="305">
        <f>'[1]Adubos e corretivos'!H44</f>
        <v>0</v>
      </c>
      <c r="AB141" s="305">
        <f>'[1]Adubos e corretivos'!I44</f>
        <v>0</v>
      </c>
      <c r="AC141" s="305">
        <f>'[1]Adubos e corretivos'!J44</f>
        <v>0</v>
      </c>
      <c r="AD141" s="305">
        <f>'[1]Adubos e corretivos'!K44</f>
        <v>9.5</v>
      </c>
      <c r="AE141" s="305">
        <f>'[1]Adubos e corretivos'!L44</f>
        <v>12</v>
      </c>
      <c r="AF141" s="305">
        <f>'[1]Adubos e corretivos'!M44</f>
        <v>0</v>
      </c>
      <c r="AG141" s="305">
        <f>'[1]Adubos e corretivos'!N44</f>
        <v>0</v>
      </c>
      <c r="AH141" s="305">
        <f>'[1]Adubos e corretivos'!O44</f>
        <v>0</v>
      </c>
      <c r="AI141" s="305">
        <f>'[1]Adubos e corretivos'!P44</f>
        <v>0</v>
      </c>
      <c r="AJ141" s="305">
        <f>'[1]Adubos e corretivos'!Q44</f>
        <v>0</v>
      </c>
      <c r="AK141" s="305">
        <f>'[1]Adubos e corretivos'!R44</f>
        <v>0</v>
      </c>
      <c r="AL141" s="305">
        <f>'[1]Adubos e corretivos'!S44</f>
        <v>0</v>
      </c>
      <c r="AM141" s="305">
        <f>'[1]Adubos e corretivos'!T44</f>
        <v>0</v>
      </c>
      <c r="AN141" s="305">
        <f>'[1]Adubos e corretivos'!U44</f>
        <v>0</v>
      </c>
      <c r="AO141" s="305">
        <f>'[1]Adubos e corretivos'!V44</f>
        <v>0</v>
      </c>
    </row>
    <row r="142" spans="13:41" ht="19.5" customHeight="1" x14ac:dyDescent="0.25">
      <c r="M142" s="539"/>
      <c r="N142" s="547"/>
      <c r="O142" s="448"/>
      <c r="P142" s="448"/>
      <c r="Q142" s="266">
        <f t="shared" si="17"/>
        <v>0</v>
      </c>
      <c r="R142" s="216"/>
      <c r="U142" s="536"/>
      <c r="V142" s="305">
        <f>'[1]Adubos e corretivos'!C45</f>
        <v>0</v>
      </c>
      <c r="W142" s="305">
        <f>'[1]Adubos e corretivos'!D45</f>
        <v>0</v>
      </c>
      <c r="X142" s="305">
        <f>'[1]Adubos e corretivos'!E45</f>
        <v>0</v>
      </c>
      <c r="Y142" s="305">
        <f>'[1]Adubos e corretivos'!F45</f>
        <v>0</v>
      </c>
      <c r="Z142" s="305">
        <f>'[1]Adubos e corretivos'!G45</f>
        <v>0</v>
      </c>
      <c r="AA142" s="305">
        <f>'[1]Adubos e corretivos'!H45</f>
        <v>0</v>
      </c>
      <c r="AB142" s="305">
        <f>'[1]Adubos e corretivos'!I45</f>
        <v>0</v>
      </c>
      <c r="AC142" s="305">
        <f>'[1]Adubos e corretivos'!J45</f>
        <v>0</v>
      </c>
      <c r="AD142" s="305">
        <f>'[1]Adubos e corretivos'!K45</f>
        <v>0</v>
      </c>
      <c r="AE142" s="305">
        <f>'[1]Adubos e corretivos'!L45</f>
        <v>0</v>
      </c>
      <c r="AF142" s="305">
        <f>'[1]Adubos e corretivos'!M45</f>
        <v>0</v>
      </c>
      <c r="AG142" s="305">
        <f>'[1]Adubos e corretivos'!N45</f>
        <v>0</v>
      </c>
      <c r="AH142" s="305">
        <f>'[1]Adubos e corretivos'!O45</f>
        <v>0</v>
      </c>
      <c r="AI142" s="305">
        <f>'[1]Adubos e corretivos'!P45</f>
        <v>0</v>
      </c>
      <c r="AJ142" s="305">
        <f>'[1]Adubos e corretivos'!Q45</f>
        <v>0</v>
      </c>
      <c r="AK142" s="305">
        <f>'[1]Adubos e corretivos'!R45</f>
        <v>0</v>
      </c>
      <c r="AL142" s="305">
        <f>'[1]Adubos e corretivos'!S45</f>
        <v>0</v>
      </c>
      <c r="AM142" s="305">
        <f>'[1]Adubos e corretivos'!T45</f>
        <v>0</v>
      </c>
      <c r="AN142" s="305">
        <f>'[1]Adubos e corretivos'!U45</f>
        <v>0</v>
      </c>
      <c r="AO142" s="305">
        <f>'[1]Adubos e corretivos'!V45</f>
        <v>0</v>
      </c>
    </row>
    <row r="143" spans="13:41" ht="19.5" customHeight="1" x14ac:dyDescent="0.25">
      <c r="M143" s="539"/>
      <c r="N143" s="547"/>
      <c r="O143" s="448"/>
      <c r="P143" s="448"/>
      <c r="Q143" s="266">
        <f t="shared" si="17"/>
        <v>0</v>
      </c>
      <c r="R143" s="216"/>
      <c r="U143" s="536"/>
      <c r="V143" s="305">
        <f>'[1]Adubos e corretivos'!C46</f>
        <v>0</v>
      </c>
      <c r="W143" s="305">
        <f>'[1]Adubos e corretivos'!D46</f>
        <v>0</v>
      </c>
      <c r="X143" s="305">
        <f>'[1]Adubos e corretivos'!E46</f>
        <v>0</v>
      </c>
      <c r="Y143" s="305">
        <f>'[1]Adubos e corretivos'!F46</f>
        <v>0</v>
      </c>
      <c r="Z143" s="305">
        <f>'[1]Adubos e corretivos'!G46</f>
        <v>0</v>
      </c>
      <c r="AA143" s="305">
        <f>'[1]Adubos e corretivos'!H46</f>
        <v>0</v>
      </c>
      <c r="AB143" s="305">
        <f>'[1]Adubos e corretivos'!I46</f>
        <v>0</v>
      </c>
      <c r="AC143" s="305">
        <f>'[1]Adubos e corretivos'!J46</f>
        <v>0</v>
      </c>
      <c r="AD143" s="305">
        <f>'[1]Adubos e corretivos'!K46</f>
        <v>0</v>
      </c>
      <c r="AE143" s="305">
        <f>'[1]Adubos e corretivos'!L46</f>
        <v>0</v>
      </c>
      <c r="AF143" s="305">
        <f>'[1]Adubos e corretivos'!M46</f>
        <v>0</v>
      </c>
      <c r="AG143" s="305">
        <f>'[1]Adubos e corretivos'!N46</f>
        <v>0</v>
      </c>
      <c r="AH143" s="305">
        <f>'[1]Adubos e corretivos'!O46</f>
        <v>0</v>
      </c>
      <c r="AI143" s="305">
        <f>'[1]Adubos e corretivos'!P46</f>
        <v>0</v>
      </c>
      <c r="AJ143" s="305">
        <f>'[1]Adubos e corretivos'!Q46</f>
        <v>0</v>
      </c>
      <c r="AK143" s="305">
        <f>'[1]Adubos e corretivos'!R46</f>
        <v>0</v>
      </c>
      <c r="AL143" s="305">
        <f>'[1]Adubos e corretivos'!S46</f>
        <v>0</v>
      </c>
      <c r="AM143" s="305">
        <f>'[1]Adubos e corretivos'!T46</f>
        <v>0</v>
      </c>
      <c r="AN143" s="305">
        <f>'[1]Adubos e corretivos'!U46</f>
        <v>0</v>
      </c>
      <c r="AO143" s="305">
        <f>'[1]Adubos e corretivos'!V46</f>
        <v>0</v>
      </c>
    </row>
    <row r="144" spans="13:41" ht="19.5" customHeight="1" x14ac:dyDescent="0.25">
      <c r="M144" s="308"/>
      <c r="N144" s="309"/>
      <c r="O144" s="215"/>
      <c r="P144" s="215"/>
      <c r="Q144" s="215"/>
      <c r="R144" s="216"/>
      <c r="U144" s="536"/>
      <c r="V144" s="305">
        <f>'[1]Adubos e corretivos'!C47</f>
        <v>0</v>
      </c>
      <c r="W144" s="305">
        <f>'[1]Adubos e corretivos'!D47</f>
        <v>0</v>
      </c>
      <c r="X144" s="305">
        <f>'[1]Adubos e corretivos'!E47</f>
        <v>0</v>
      </c>
      <c r="Y144" s="305">
        <f>'[1]Adubos e corretivos'!F47</f>
        <v>0</v>
      </c>
      <c r="Z144" s="305">
        <f>'[1]Adubos e corretivos'!G47</f>
        <v>0</v>
      </c>
      <c r="AA144" s="305">
        <f>'[1]Adubos e corretivos'!H47</f>
        <v>0</v>
      </c>
      <c r="AB144" s="305">
        <f>'[1]Adubos e corretivos'!I47</f>
        <v>0</v>
      </c>
      <c r="AC144" s="305">
        <f>'[1]Adubos e corretivos'!J47</f>
        <v>0</v>
      </c>
      <c r="AD144" s="305">
        <f>'[1]Adubos e corretivos'!K47</f>
        <v>0</v>
      </c>
      <c r="AE144" s="305">
        <f>'[1]Adubos e corretivos'!L47</f>
        <v>0</v>
      </c>
      <c r="AF144" s="305">
        <f>'[1]Adubos e corretivos'!M47</f>
        <v>0</v>
      </c>
      <c r="AG144" s="305">
        <f>'[1]Adubos e corretivos'!N47</f>
        <v>0</v>
      </c>
      <c r="AH144" s="305">
        <f>'[1]Adubos e corretivos'!O47</f>
        <v>0</v>
      </c>
      <c r="AI144" s="305">
        <f>'[1]Adubos e corretivos'!P47</f>
        <v>0</v>
      </c>
      <c r="AJ144" s="305">
        <f>'[1]Adubos e corretivos'!Q47</f>
        <v>0</v>
      </c>
      <c r="AK144" s="305">
        <f>'[1]Adubos e corretivos'!R47</f>
        <v>0</v>
      </c>
      <c r="AL144" s="305">
        <f>'[1]Adubos e corretivos'!S47</f>
        <v>0</v>
      </c>
      <c r="AM144" s="305">
        <f>'[1]Adubos e corretivos'!T47</f>
        <v>0</v>
      </c>
      <c r="AN144" s="305">
        <f>'[1]Adubos e corretivos'!U47</f>
        <v>0</v>
      </c>
      <c r="AO144" s="305">
        <f>'[1]Adubos e corretivos'!V47</f>
        <v>0</v>
      </c>
    </row>
    <row r="145" spans="11:41" ht="19.5" customHeight="1" x14ac:dyDescent="0.25">
      <c r="M145" s="539" t="s">
        <v>622</v>
      </c>
      <c r="N145" s="540"/>
      <c r="O145" s="541" t="s">
        <v>598</v>
      </c>
      <c r="P145" s="542"/>
      <c r="Q145" s="310" t="e">
        <f>$AB$215*$O$34</f>
        <v>#N/A</v>
      </c>
      <c r="R145" s="311"/>
      <c r="U145" s="536"/>
      <c r="V145" s="305">
        <f>'[1]Adubos e corretivos'!C48</f>
        <v>0</v>
      </c>
      <c r="W145" s="305">
        <f>'[1]Adubos e corretivos'!D48</f>
        <v>0</v>
      </c>
      <c r="X145" s="305">
        <f>'[1]Adubos e corretivos'!E48</f>
        <v>0</v>
      </c>
      <c r="Y145" s="305">
        <f>'[1]Adubos e corretivos'!F48</f>
        <v>0</v>
      </c>
      <c r="Z145" s="305">
        <f>'[1]Adubos e corretivos'!G48</f>
        <v>0</v>
      </c>
      <c r="AA145" s="305">
        <f>'[1]Adubos e corretivos'!H48</f>
        <v>0</v>
      </c>
      <c r="AB145" s="305">
        <f>'[1]Adubos e corretivos'!I48</f>
        <v>0</v>
      </c>
      <c r="AC145" s="305">
        <f>'[1]Adubos e corretivos'!J48</f>
        <v>0</v>
      </c>
      <c r="AD145" s="305">
        <f>'[1]Adubos e corretivos'!K48</f>
        <v>0</v>
      </c>
      <c r="AE145" s="305">
        <f>'[1]Adubos e corretivos'!L48</f>
        <v>0</v>
      </c>
      <c r="AF145" s="305">
        <f>'[1]Adubos e corretivos'!M48</f>
        <v>0</v>
      </c>
      <c r="AG145" s="305">
        <f>'[1]Adubos e corretivos'!N48</f>
        <v>0</v>
      </c>
      <c r="AH145" s="305">
        <f>'[1]Adubos e corretivos'!O48</f>
        <v>0</v>
      </c>
      <c r="AI145" s="305">
        <f>'[1]Adubos e corretivos'!P48</f>
        <v>0</v>
      </c>
      <c r="AJ145" s="305">
        <f>'[1]Adubos e corretivos'!Q48</f>
        <v>0</v>
      </c>
      <c r="AK145" s="305">
        <f>'[1]Adubos e corretivos'!R48</f>
        <v>0</v>
      </c>
      <c r="AL145" s="305">
        <f>'[1]Adubos e corretivos'!S48</f>
        <v>0</v>
      </c>
      <c r="AM145" s="305">
        <f>'[1]Adubos e corretivos'!T48</f>
        <v>0</v>
      </c>
      <c r="AN145" s="305">
        <f>'[1]Adubos e corretivos'!U48</f>
        <v>0</v>
      </c>
      <c r="AO145" s="305">
        <f>'[1]Adubos e corretivos'!V48</f>
        <v>0</v>
      </c>
    </row>
    <row r="146" spans="11:41" ht="19.5" customHeight="1" x14ac:dyDescent="0.25">
      <c r="M146" s="539"/>
      <c r="N146" s="540"/>
      <c r="O146" s="215"/>
      <c r="P146" s="215"/>
      <c r="Q146" s="215"/>
      <c r="R146" s="216"/>
      <c r="U146" s="536"/>
      <c r="V146" s="305">
        <f>'[1]Adubos e corretivos'!C49</f>
        <v>0</v>
      </c>
      <c r="W146" s="305">
        <f>'[1]Adubos e corretivos'!D49</f>
        <v>0</v>
      </c>
      <c r="X146" s="305">
        <f>'[1]Adubos e corretivos'!E49</f>
        <v>0</v>
      </c>
      <c r="Y146" s="305">
        <f>'[1]Adubos e corretivos'!F49</f>
        <v>0</v>
      </c>
      <c r="Z146" s="305">
        <f>'[1]Adubos e corretivos'!G49</f>
        <v>0</v>
      </c>
      <c r="AA146" s="305">
        <f>'[1]Adubos e corretivos'!H49</f>
        <v>0</v>
      </c>
      <c r="AB146" s="305">
        <f>'[1]Adubos e corretivos'!I49</f>
        <v>0</v>
      </c>
      <c r="AC146" s="305">
        <f>'[1]Adubos e corretivos'!J49</f>
        <v>0</v>
      </c>
      <c r="AD146" s="305">
        <f>'[1]Adubos e corretivos'!K49</f>
        <v>0</v>
      </c>
      <c r="AE146" s="305">
        <f>'[1]Adubos e corretivos'!L49</f>
        <v>0</v>
      </c>
      <c r="AF146" s="305">
        <f>'[1]Adubos e corretivos'!M49</f>
        <v>0</v>
      </c>
      <c r="AG146" s="305">
        <f>'[1]Adubos e corretivos'!N49</f>
        <v>0</v>
      </c>
      <c r="AH146" s="305">
        <f>'[1]Adubos e corretivos'!O49</f>
        <v>0</v>
      </c>
      <c r="AI146" s="305">
        <f>'[1]Adubos e corretivos'!P49</f>
        <v>0</v>
      </c>
      <c r="AJ146" s="305">
        <f>'[1]Adubos e corretivos'!Q49</f>
        <v>0</v>
      </c>
      <c r="AK146" s="305">
        <f>'[1]Adubos e corretivos'!R49</f>
        <v>0</v>
      </c>
      <c r="AL146" s="305">
        <f>'[1]Adubos e corretivos'!S49</f>
        <v>0</v>
      </c>
      <c r="AM146" s="305">
        <f>'[1]Adubos e corretivos'!T49</f>
        <v>0</v>
      </c>
      <c r="AN146" s="305">
        <f>'[1]Adubos e corretivos'!U49</f>
        <v>0</v>
      </c>
      <c r="AO146" s="305">
        <f>'[1]Adubos e corretivos'!V49</f>
        <v>0</v>
      </c>
    </row>
    <row r="147" spans="11:41" ht="19.5" customHeight="1" x14ac:dyDescent="0.25">
      <c r="M147" s="539"/>
      <c r="N147" s="540"/>
      <c r="O147" s="541" t="s">
        <v>603</v>
      </c>
      <c r="P147" s="542"/>
      <c r="Q147" s="310" t="e">
        <f>Q145/$E$18</f>
        <v>#N/A</v>
      </c>
      <c r="R147" s="311"/>
      <c r="U147" s="536"/>
      <c r="V147" s="305">
        <f>'[1]Adubos e corretivos'!C50</f>
        <v>0</v>
      </c>
      <c r="W147" s="305">
        <f>'[1]Adubos e corretivos'!D50</f>
        <v>0</v>
      </c>
      <c r="X147" s="305">
        <f>'[1]Adubos e corretivos'!E50</f>
        <v>0</v>
      </c>
      <c r="Y147" s="305">
        <f>'[1]Adubos e corretivos'!F50</f>
        <v>0</v>
      </c>
      <c r="Z147" s="305">
        <f>'[1]Adubos e corretivos'!G50</f>
        <v>0</v>
      </c>
      <c r="AA147" s="305">
        <f>'[1]Adubos e corretivos'!H50</f>
        <v>0</v>
      </c>
      <c r="AB147" s="305">
        <f>'[1]Adubos e corretivos'!I50</f>
        <v>0</v>
      </c>
      <c r="AC147" s="305">
        <f>'[1]Adubos e corretivos'!J50</f>
        <v>0</v>
      </c>
      <c r="AD147" s="305">
        <f>'[1]Adubos e corretivos'!K50</f>
        <v>0</v>
      </c>
      <c r="AE147" s="305">
        <f>'[1]Adubos e corretivos'!L50</f>
        <v>0</v>
      </c>
      <c r="AF147" s="305">
        <f>'[1]Adubos e corretivos'!M50</f>
        <v>0</v>
      </c>
      <c r="AG147" s="305">
        <f>'[1]Adubos e corretivos'!N50</f>
        <v>0</v>
      </c>
      <c r="AH147" s="305">
        <f>'[1]Adubos e corretivos'!O50</f>
        <v>0</v>
      </c>
      <c r="AI147" s="305">
        <f>'[1]Adubos e corretivos'!P50</f>
        <v>0</v>
      </c>
      <c r="AJ147" s="305">
        <f>'[1]Adubos e corretivos'!Q50</f>
        <v>0</v>
      </c>
      <c r="AK147" s="305">
        <f>'[1]Adubos e corretivos'!R50</f>
        <v>0</v>
      </c>
      <c r="AL147" s="305">
        <f>'[1]Adubos e corretivos'!S50</f>
        <v>0</v>
      </c>
      <c r="AM147" s="305">
        <f>'[1]Adubos e corretivos'!T50</f>
        <v>0</v>
      </c>
      <c r="AN147" s="305">
        <f>'[1]Adubos e corretivos'!U50</f>
        <v>0</v>
      </c>
      <c r="AO147" s="305">
        <f>'[1]Adubos e corretivos'!V50</f>
        <v>0</v>
      </c>
    </row>
    <row r="148" spans="11:41" ht="19.5" customHeight="1" thickBot="1" x14ac:dyDescent="0.3">
      <c r="M148" s="217"/>
      <c r="N148" s="218"/>
      <c r="O148" s="218"/>
      <c r="P148" s="218"/>
      <c r="Q148" s="218"/>
      <c r="R148" s="219"/>
      <c r="U148" s="536"/>
      <c r="V148" s="305">
        <f>'[1]Adubos e corretivos'!C51</f>
        <v>0</v>
      </c>
      <c r="W148" s="305">
        <f>'[1]Adubos e corretivos'!D51</f>
        <v>0</v>
      </c>
      <c r="X148" s="305">
        <f>'[1]Adubos e corretivos'!E51</f>
        <v>0</v>
      </c>
      <c r="Y148" s="305">
        <f>'[1]Adubos e corretivos'!F51</f>
        <v>0</v>
      </c>
      <c r="Z148" s="305">
        <f>'[1]Adubos e corretivos'!G51</f>
        <v>0</v>
      </c>
      <c r="AA148" s="305">
        <f>'[1]Adubos e corretivos'!H51</f>
        <v>0</v>
      </c>
      <c r="AB148" s="305">
        <f>'[1]Adubos e corretivos'!I51</f>
        <v>0</v>
      </c>
      <c r="AC148" s="305">
        <f>'[1]Adubos e corretivos'!J51</f>
        <v>0</v>
      </c>
      <c r="AD148" s="305">
        <f>'[1]Adubos e corretivos'!K51</f>
        <v>0</v>
      </c>
      <c r="AE148" s="305">
        <f>'[1]Adubos e corretivos'!L51</f>
        <v>0</v>
      </c>
      <c r="AF148" s="305">
        <f>'[1]Adubos e corretivos'!M51</f>
        <v>0</v>
      </c>
      <c r="AG148" s="305">
        <f>'[1]Adubos e corretivos'!N51</f>
        <v>0</v>
      </c>
      <c r="AH148" s="305">
        <f>'[1]Adubos e corretivos'!O51</f>
        <v>0</v>
      </c>
      <c r="AI148" s="305">
        <f>'[1]Adubos e corretivos'!P51</f>
        <v>0</v>
      </c>
      <c r="AJ148" s="305">
        <f>'[1]Adubos e corretivos'!Q51</f>
        <v>0</v>
      </c>
      <c r="AK148" s="305">
        <f>'[1]Adubos e corretivos'!R51</f>
        <v>0</v>
      </c>
      <c r="AL148" s="305">
        <f>'[1]Adubos e corretivos'!S51</f>
        <v>0</v>
      </c>
      <c r="AM148" s="305">
        <f>'[1]Adubos e corretivos'!T51</f>
        <v>0</v>
      </c>
      <c r="AN148" s="305">
        <f>'[1]Adubos e corretivos'!U51</f>
        <v>0</v>
      </c>
      <c r="AO148" s="305">
        <f>'[1]Adubos e corretivos'!V51</f>
        <v>0</v>
      </c>
    </row>
    <row r="149" spans="11:41" ht="19.5" customHeight="1" x14ac:dyDescent="0.25">
      <c r="U149" s="536"/>
      <c r="V149" s="305">
        <f>'[1]Adubos e corretivos'!C52</f>
        <v>0</v>
      </c>
      <c r="W149" s="305">
        <f>'[1]Adubos e corretivos'!D52</f>
        <v>0</v>
      </c>
      <c r="X149" s="305">
        <f>'[1]Adubos e corretivos'!E52</f>
        <v>0</v>
      </c>
      <c r="Y149" s="305">
        <f>'[1]Adubos e corretivos'!F52</f>
        <v>0</v>
      </c>
      <c r="Z149" s="305">
        <f>'[1]Adubos e corretivos'!G52</f>
        <v>0</v>
      </c>
      <c r="AA149" s="305">
        <f>'[1]Adubos e corretivos'!H52</f>
        <v>0</v>
      </c>
      <c r="AB149" s="305">
        <f>'[1]Adubos e corretivos'!I52</f>
        <v>0</v>
      </c>
      <c r="AC149" s="305">
        <f>'[1]Adubos e corretivos'!J52</f>
        <v>0</v>
      </c>
      <c r="AD149" s="305">
        <f>'[1]Adubos e corretivos'!K52</f>
        <v>0</v>
      </c>
      <c r="AE149" s="305">
        <f>'[1]Adubos e corretivos'!L52</f>
        <v>0</v>
      </c>
      <c r="AF149" s="305">
        <f>'[1]Adubos e corretivos'!M52</f>
        <v>0</v>
      </c>
      <c r="AG149" s="305">
        <f>'[1]Adubos e corretivos'!N52</f>
        <v>0</v>
      </c>
      <c r="AH149" s="305">
        <f>'[1]Adubos e corretivos'!O52</f>
        <v>0</v>
      </c>
      <c r="AI149" s="305">
        <f>'[1]Adubos e corretivos'!P52</f>
        <v>0</v>
      </c>
      <c r="AJ149" s="305">
        <f>'[1]Adubos e corretivos'!Q52</f>
        <v>0</v>
      </c>
      <c r="AK149" s="305">
        <f>'[1]Adubos e corretivos'!R52</f>
        <v>0</v>
      </c>
      <c r="AL149" s="305">
        <f>'[1]Adubos e corretivos'!S52</f>
        <v>0</v>
      </c>
      <c r="AM149" s="305">
        <f>'[1]Adubos e corretivos'!T52</f>
        <v>0</v>
      </c>
      <c r="AN149" s="305">
        <f>'[1]Adubos e corretivos'!U52</f>
        <v>0</v>
      </c>
      <c r="AO149" s="305">
        <f>'[1]Adubos e corretivos'!V52</f>
        <v>0</v>
      </c>
    </row>
    <row r="150" spans="11:41" ht="19.5" customHeight="1" x14ac:dyDescent="0.25">
      <c r="U150" s="536"/>
      <c r="V150" s="305">
        <f>'[1]Adubos e corretivos'!C53</f>
        <v>0</v>
      </c>
      <c r="W150" s="305">
        <f>'[1]Adubos e corretivos'!D53</f>
        <v>0</v>
      </c>
      <c r="X150" s="305">
        <f>'[1]Adubos e corretivos'!E53</f>
        <v>0</v>
      </c>
      <c r="Y150" s="305">
        <f>'[1]Adubos e corretivos'!F53</f>
        <v>0</v>
      </c>
      <c r="Z150" s="305">
        <f>'[1]Adubos e corretivos'!G53</f>
        <v>0</v>
      </c>
      <c r="AA150" s="305">
        <f>'[1]Adubos e corretivos'!H53</f>
        <v>0</v>
      </c>
      <c r="AB150" s="305">
        <f>'[1]Adubos e corretivos'!I53</f>
        <v>0</v>
      </c>
      <c r="AC150" s="305">
        <f>'[1]Adubos e corretivos'!J53</f>
        <v>0</v>
      </c>
      <c r="AD150" s="305">
        <f>'[1]Adubos e corretivos'!K53</f>
        <v>0</v>
      </c>
      <c r="AE150" s="305">
        <f>'[1]Adubos e corretivos'!L53</f>
        <v>0</v>
      </c>
      <c r="AF150" s="305">
        <f>'[1]Adubos e corretivos'!M53</f>
        <v>0</v>
      </c>
      <c r="AG150" s="305">
        <f>'[1]Adubos e corretivos'!N53</f>
        <v>0</v>
      </c>
      <c r="AH150" s="305">
        <f>'[1]Adubos e corretivos'!O53</f>
        <v>0</v>
      </c>
      <c r="AI150" s="305">
        <f>'[1]Adubos e corretivos'!P53</f>
        <v>0</v>
      </c>
      <c r="AJ150" s="305">
        <f>'[1]Adubos e corretivos'!Q53</f>
        <v>0</v>
      </c>
      <c r="AK150" s="305">
        <f>'[1]Adubos e corretivos'!R53</f>
        <v>0</v>
      </c>
      <c r="AL150" s="305">
        <f>'[1]Adubos e corretivos'!S53</f>
        <v>0</v>
      </c>
      <c r="AM150" s="305">
        <f>'[1]Adubos e corretivos'!T53</f>
        <v>0</v>
      </c>
      <c r="AN150" s="305">
        <f>'[1]Adubos e corretivos'!U53</f>
        <v>0</v>
      </c>
      <c r="AO150" s="305">
        <f>'[1]Adubos e corretivos'!V53</f>
        <v>0</v>
      </c>
    </row>
    <row r="151" spans="11:41" ht="19.5" customHeight="1" x14ac:dyDescent="0.25">
      <c r="U151" s="543" t="s">
        <v>150</v>
      </c>
      <c r="V151" s="305" t="str">
        <f>'[1]Adubos e corretivos'!C54</f>
        <v>EkoSil</v>
      </c>
      <c r="W151" s="305">
        <f>'[1]Adubos e corretivos'!D54</f>
        <v>0</v>
      </c>
      <c r="X151" s="305">
        <f>'[1]Adubos e corretivos'!E54</f>
        <v>0</v>
      </c>
      <c r="Y151" s="305">
        <f>'[1]Adubos e corretivos'!F54</f>
        <v>0</v>
      </c>
      <c r="Z151" s="305">
        <f>'[1]Adubos e corretivos'!G54</f>
        <v>0</v>
      </c>
      <c r="AA151" s="305">
        <f>'[1]Adubos e corretivos'!H54</f>
        <v>6.65</v>
      </c>
      <c r="AB151" s="305">
        <f>'[1]Adubos e corretivos'!I54</f>
        <v>8</v>
      </c>
      <c r="AC151" s="305">
        <f>'[1]Adubos e corretivos'!J54</f>
        <v>1.5</v>
      </c>
      <c r="AD151" s="305">
        <f>'[1]Adubos e corretivos'!K54</f>
        <v>0.2</v>
      </c>
      <c r="AE151" s="305">
        <f>'[1]Adubos e corretivos'!L54</f>
        <v>0</v>
      </c>
      <c r="AF151" s="305">
        <f>'[1]Adubos e corretivos'!M54</f>
        <v>6.4999999999999994E-5</v>
      </c>
      <c r="AG151" s="305">
        <f>'[1]Adubos e corretivos'!N54</f>
        <v>6.4999999999999994E-5</v>
      </c>
      <c r="AH151" s="305">
        <f>'[1]Adubos e corretivos'!O54</f>
        <v>1.25E-4</v>
      </c>
      <c r="AI151" s="305">
        <f>'[1]Adubos e corretivos'!P54</f>
        <v>1.4E-5</v>
      </c>
      <c r="AJ151" s="305">
        <f>'[1]Adubos e corretivos'!Q54</f>
        <v>7.9999999999999996E-6</v>
      </c>
      <c r="AK151" s="305">
        <f>'[1]Adubos e corretivos'!R54</f>
        <v>0</v>
      </c>
      <c r="AL151" s="305">
        <f>'[1]Adubos e corretivos'!S54</f>
        <v>54</v>
      </c>
      <c r="AM151" s="305">
        <f>'[1]Adubos e corretivos'!T54</f>
        <v>0</v>
      </c>
      <c r="AN151" s="305">
        <f>'[1]Adubos e corretivos'!U54</f>
        <v>0</v>
      </c>
      <c r="AO151" s="305">
        <f>'[1]Adubos e corretivos'!V54</f>
        <v>0</v>
      </c>
    </row>
    <row r="152" spans="11:41" ht="19.5" customHeight="1" x14ac:dyDescent="0.25">
      <c r="U152" s="543"/>
      <c r="V152" s="305" t="str">
        <f>'[1]Adubos e corretivos'!C55</f>
        <v>FNR Fertipar</v>
      </c>
      <c r="W152" s="305">
        <f>'[1]Adubos e corretivos'!D55</f>
        <v>0</v>
      </c>
      <c r="X152" s="305">
        <f>'[1]Adubos e corretivos'!E55</f>
        <v>0</v>
      </c>
      <c r="Y152" s="305">
        <f>'[1]Adubos e corretivos'!F55</f>
        <v>12.67</v>
      </c>
      <c r="Z152" s="305">
        <f>'[1]Adubos e corretivos'!G55</f>
        <v>29</v>
      </c>
      <c r="AA152" s="305">
        <f>'[1]Adubos e corretivos'!H55</f>
        <v>0</v>
      </c>
      <c r="AB152" s="305">
        <f>'[1]Adubos e corretivos'!I55</f>
        <v>0</v>
      </c>
      <c r="AC152" s="305">
        <f>'[1]Adubos e corretivos'!J55</f>
        <v>0</v>
      </c>
      <c r="AD152" s="305">
        <f>'[1]Adubos e corretivos'!K55</f>
        <v>0</v>
      </c>
      <c r="AE152" s="305">
        <f>'[1]Adubos e corretivos'!L55</f>
        <v>0</v>
      </c>
      <c r="AF152" s="305">
        <f>'[1]Adubos e corretivos'!M55</f>
        <v>0</v>
      </c>
      <c r="AG152" s="305">
        <f>'[1]Adubos e corretivos'!N55</f>
        <v>0</v>
      </c>
      <c r="AH152" s="305">
        <f>'[1]Adubos e corretivos'!O55</f>
        <v>0</v>
      </c>
      <c r="AI152" s="305">
        <f>'[1]Adubos e corretivos'!P55</f>
        <v>0</v>
      </c>
      <c r="AJ152" s="305">
        <f>'[1]Adubos e corretivos'!Q55</f>
        <v>0</v>
      </c>
      <c r="AK152" s="305">
        <f>'[1]Adubos e corretivos'!R55</f>
        <v>0</v>
      </c>
      <c r="AL152" s="305">
        <f>'[1]Adubos e corretivos'!S55</f>
        <v>0</v>
      </c>
      <c r="AM152" s="305">
        <f>'[1]Adubos e corretivos'!T55</f>
        <v>0</v>
      </c>
      <c r="AN152" s="305">
        <f>'[1]Adubos e corretivos'!U55</f>
        <v>0</v>
      </c>
      <c r="AO152" s="305">
        <f>'[1]Adubos e corretivos'!V55</f>
        <v>0</v>
      </c>
    </row>
    <row r="153" spans="11:41" ht="19.5" customHeight="1" x14ac:dyDescent="0.25">
      <c r="U153" s="543"/>
      <c r="V153" s="305" t="str">
        <f>'[1]Adubos e corretivos'!C56</f>
        <v>FNR Heringer</v>
      </c>
      <c r="W153" s="305">
        <f>'[1]Adubos e corretivos'!D56</f>
        <v>0</v>
      </c>
      <c r="X153" s="305">
        <f>'[1]Adubos e corretivos'!E56</f>
        <v>0</v>
      </c>
      <c r="Y153" s="305">
        <f>'[1]Adubos e corretivos'!F56</f>
        <v>13.11</v>
      </c>
      <c r="Z153" s="305">
        <f>'[1]Adubos e corretivos'!G56</f>
        <v>30</v>
      </c>
      <c r="AA153" s="305">
        <f>'[1]Adubos e corretivos'!H56</f>
        <v>0</v>
      </c>
      <c r="AB153" s="305">
        <f>'[1]Adubos e corretivos'!I56</f>
        <v>0</v>
      </c>
      <c r="AC153" s="305">
        <f>'[1]Adubos e corretivos'!J56</f>
        <v>0</v>
      </c>
      <c r="AD153" s="305">
        <f>'[1]Adubos e corretivos'!K56</f>
        <v>0</v>
      </c>
      <c r="AE153" s="305">
        <f>'[1]Adubos e corretivos'!L56</f>
        <v>0</v>
      </c>
      <c r="AF153" s="305">
        <f>'[1]Adubos e corretivos'!M56</f>
        <v>0</v>
      </c>
      <c r="AG153" s="305">
        <f>'[1]Adubos e corretivos'!N56</f>
        <v>0</v>
      </c>
      <c r="AH153" s="305">
        <f>'[1]Adubos e corretivos'!O56</f>
        <v>0</v>
      </c>
      <c r="AI153" s="305">
        <f>'[1]Adubos e corretivos'!P56</f>
        <v>0</v>
      </c>
      <c r="AJ153" s="305">
        <f>'[1]Adubos e corretivos'!Q56</f>
        <v>0</v>
      </c>
      <c r="AK153" s="305">
        <f>'[1]Adubos e corretivos'!R56</f>
        <v>0</v>
      </c>
      <c r="AL153" s="305">
        <f>'[1]Adubos e corretivos'!S56</f>
        <v>0</v>
      </c>
      <c r="AM153" s="305">
        <f>'[1]Adubos e corretivos'!T56</f>
        <v>0</v>
      </c>
      <c r="AN153" s="305">
        <f>'[1]Adubos e corretivos'!U56</f>
        <v>0</v>
      </c>
      <c r="AO153" s="305">
        <f>'[1]Adubos e corretivos'!V56</f>
        <v>0</v>
      </c>
    </row>
    <row r="154" spans="11:41" ht="19.5" customHeight="1" x14ac:dyDescent="0.25">
      <c r="K154" s="215"/>
      <c r="U154" s="543"/>
      <c r="V154" s="305" t="str">
        <f>'[1]Adubos e corretivos'!C57</f>
        <v>FNR Paulivida</v>
      </c>
      <c r="W154" s="305">
        <f>'[1]Adubos e corretivos'!D57</f>
        <v>0</v>
      </c>
      <c r="X154" s="305">
        <f>'[1]Adubos e corretivos'!E57</f>
        <v>0</v>
      </c>
      <c r="Y154" s="305">
        <f>'[1]Adubos e corretivos'!F57</f>
        <v>11.8</v>
      </c>
      <c r="Z154" s="305">
        <f>'[1]Adubos e corretivos'!G57</f>
        <v>27</v>
      </c>
      <c r="AA154" s="305">
        <f>'[1]Adubos e corretivos'!H57</f>
        <v>0</v>
      </c>
      <c r="AB154" s="305">
        <f>'[1]Adubos e corretivos'!I57</f>
        <v>0</v>
      </c>
      <c r="AC154" s="305">
        <f>'[1]Adubos e corretivos'!J57</f>
        <v>0</v>
      </c>
      <c r="AD154" s="305">
        <f>'[1]Adubos e corretivos'!K57</f>
        <v>0</v>
      </c>
      <c r="AE154" s="305">
        <f>'[1]Adubos e corretivos'!L57</f>
        <v>0</v>
      </c>
      <c r="AF154" s="305">
        <f>'[1]Adubos e corretivos'!M57</f>
        <v>0</v>
      </c>
      <c r="AG154" s="305">
        <f>'[1]Adubos e corretivos'!N57</f>
        <v>0</v>
      </c>
      <c r="AH154" s="305">
        <f>'[1]Adubos e corretivos'!O57</f>
        <v>0</v>
      </c>
      <c r="AI154" s="305">
        <f>'[1]Adubos e corretivos'!P57</f>
        <v>0</v>
      </c>
      <c r="AJ154" s="305">
        <f>'[1]Adubos e corretivos'!Q57</f>
        <v>0</v>
      </c>
      <c r="AK154" s="305">
        <f>'[1]Adubos e corretivos'!R57</f>
        <v>0</v>
      </c>
      <c r="AL154" s="305">
        <f>'[1]Adubos e corretivos'!S57</f>
        <v>0</v>
      </c>
      <c r="AM154" s="305">
        <f>'[1]Adubos e corretivos'!T57</f>
        <v>0</v>
      </c>
      <c r="AN154" s="305">
        <f>'[1]Adubos e corretivos'!U57</f>
        <v>0</v>
      </c>
      <c r="AO154" s="305">
        <f>'[1]Adubos e corretivos'!V57</f>
        <v>0</v>
      </c>
    </row>
    <row r="155" spans="11:41" ht="19.5" customHeight="1" x14ac:dyDescent="0.25">
      <c r="K155" s="215"/>
      <c r="U155" s="543"/>
      <c r="V155" s="305" t="str">
        <f>'[1]Adubos e corretivos'!C58</f>
        <v>Agroffos Agronelli</v>
      </c>
      <c r="W155" s="305">
        <f>'[1]Adubos e corretivos'!D58</f>
        <v>0</v>
      </c>
      <c r="X155" s="305">
        <f>'[1]Adubos e corretivos'!E58</f>
        <v>0</v>
      </c>
      <c r="Y155" s="305">
        <f>'[1]Adubos e corretivos'!F58</f>
        <v>6.1150000000000002</v>
      </c>
      <c r="Z155" s="305">
        <f>'[1]Adubos e corretivos'!G58</f>
        <v>14</v>
      </c>
      <c r="AA155" s="305">
        <f>'[1]Adubos e corretivos'!H58</f>
        <v>0</v>
      </c>
      <c r="AB155" s="305">
        <f>'[1]Adubos e corretivos'!I58</f>
        <v>0</v>
      </c>
      <c r="AC155" s="305">
        <f>'[1]Adubos e corretivos'!J58</f>
        <v>0</v>
      </c>
      <c r="AD155" s="305">
        <f>'[1]Adubos e corretivos'!K58</f>
        <v>0</v>
      </c>
      <c r="AE155" s="305">
        <f>'[1]Adubos e corretivos'!L58</f>
        <v>0</v>
      </c>
      <c r="AF155" s="305">
        <f>'[1]Adubos e corretivos'!M58</f>
        <v>0</v>
      </c>
      <c r="AG155" s="305">
        <f>'[1]Adubos e corretivos'!N58</f>
        <v>0</v>
      </c>
      <c r="AH155" s="305">
        <f>'[1]Adubos e corretivos'!O58</f>
        <v>0</v>
      </c>
      <c r="AI155" s="305">
        <f>'[1]Adubos e corretivos'!P58</f>
        <v>0</v>
      </c>
      <c r="AJ155" s="305">
        <f>'[1]Adubos e corretivos'!Q58</f>
        <v>0</v>
      </c>
      <c r="AK155" s="305">
        <f>'[1]Adubos e corretivos'!R58</f>
        <v>0</v>
      </c>
      <c r="AL155" s="305">
        <f>'[1]Adubos e corretivos'!S58</f>
        <v>0</v>
      </c>
      <c r="AM155" s="305">
        <f>'[1]Adubos e corretivos'!T58</f>
        <v>0</v>
      </c>
      <c r="AN155" s="305">
        <f>'[1]Adubos e corretivos'!U58</f>
        <v>0</v>
      </c>
      <c r="AO155" s="305">
        <f>'[1]Adubos e corretivos'!V58</f>
        <v>0</v>
      </c>
    </row>
    <row r="156" spans="11:41" ht="19.5" customHeight="1" x14ac:dyDescent="0.25">
      <c r="K156" s="215"/>
      <c r="U156" s="543"/>
      <c r="V156" s="305" t="str">
        <f>'[1]Adubos e corretivos'!C59</f>
        <v>Suphaphos</v>
      </c>
      <c r="W156" s="305">
        <f>'[1]Adubos e corretivos'!D59</f>
        <v>0</v>
      </c>
      <c r="X156" s="305">
        <f>'[1]Adubos e corretivos'!E59</f>
        <v>0</v>
      </c>
      <c r="Y156" s="305">
        <f>'[1]Adubos e corretivos'!F59</f>
        <v>6.1150000000000002</v>
      </c>
      <c r="Z156" s="305">
        <f>'[1]Adubos e corretivos'!G59</f>
        <v>14</v>
      </c>
      <c r="AA156" s="305">
        <f>'[1]Adubos e corretivos'!H59</f>
        <v>0</v>
      </c>
      <c r="AB156" s="305">
        <f>'[1]Adubos e corretivos'!I59</f>
        <v>0</v>
      </c>
      <c r="AC156" s="305">
        <f>'[1]Adubos e corretivos'!J59</f>
        <v>12</v>
      </c>
      <c r="AD156" s="305">
        <f>'[1]Adubos e corretivos'!K59</f>
        <v>0</v>
      </c>
      <c r="AE156" s="305">
        <f>'[1]Adubos e corretivos'!L59</f>
        <v>0</v>
      </c>
      <c r="AF156" s="305">
        <f>'[1]Adubos e corretivos'!M59</f>
        <v>0</v>
      </c>
      <c r="AG156" s="305">
        <f>'[1]Adubos e corretivos'!N59</f>
        <v>0</v>
      </c>
      <c r="AH156" s="305">
        <f>'[1]Adubos e corretivos'!O59</f>
        <v>0</v>
      </c>
      <c r="AI156" s="305">
        <f>'[1]Adubos e corretivos'!P59</f>
        <v>0</v>
      </c>
      <c r="AJ156" s="305">
        <f>'[1]Adubos e corretivos'!Q59</f>
        <v>0</v>
      </c>
      <c r="AK156" s="305">
        <f>'[1]Adubos e corretivos'!R59</f>
        <v>0</v>
      </c>
      <c r="AL156" s="305">
        <f>'[1]Adubos e corretivos'!S59</f>
        <v>0</v>
      </c>
      <c r="AM156" s="305">
        <f>'[1]Adubos e corretivos'!T59</f>
        <v>0</v>
      </c>
      <c r="AN156" s="305">
        <f>'[1]Adubos e corretivos'!U59</f>
        <v>0</v>
      </c>
      <c r="AO156" s="305">
        <f>'[1]Adubos e corretivos'!V59</f>
        <v>0</v>
      </c>
    </row>
    <row r="157" spans="11:41" ht="19.5" customHeight="1" x14ac:dyDescent="0.25">
      <c r="K157" s="215"/>
      <c r="U157" s="543"/>
      <c r="V157" s="305" t="str">
        <f>'[1]Adubos e corretivos'!C60</f>
        <v>Potomag Nutrisafra</v>
      </c>
      <c r="W157" s="305">
        <f>'[1]Adubos e corretivos'!D60</f>
        <v>0</v>
      </c>
      <c r="X157" s="305">
        <f>'[1]Adubos e corretivos'!E60</f>
        <v>0</v>
      </c>
      <c r="Y157" s="305">
        <f>'[1]Adubos e corretivos'!F60</f>
        <v>0</v>
      </c>
      <c r="Z157" s="305">
        <f>'[1]Adubos e corretivos'!G60</f>
        <v>0</v>
      </c>
      <c r="AA157" s="305">
        <f>'[1]Adubos e corretivos'!H60</f>
        <v>18.27</v>
      </c>
      <c r="AB157" s="305">
        <f>'[1]Adubos e corretivos'!I60</f>
        <v>22</v>
      </c>
      <c r="AC157" s="305">
        <f>'[1]Adubos e corretivos'!J60</f>
        <v>0</v>
      </c>
      <c r="AD157" s="305">
        <f>'[1]Adubos e corretivos'!K60</f>
        <v>11</v>
      </c>
      <c r="AE157" s="305">
        <f>'[1]Adubos e corretivos'!L60</f>
        <v>22</v>
      </c>
      <c r="AF157" s="305">
        <f>'[1]Adubos e corretivos'!M60</f>
        <v>0</v>
      </c>
      <c r="AG157" s="305">
        <f>'[1]Adubos e corretivos'!N60</f>
        <v>0</v>
      </c>
      <c r="AH157" s="305">
        <f>'[1]Adubos e corretivos'!O60</f>
        <v>0</v>
      </c>
      <c r="AI157" s="305">
        <f>'[1]Adubos e corretivos'!P60</f>
        <v>0</v>
      </c>
      <c r="AJ157" s="305">
        <f>'[1]Adubos e corretivos'!Q60</f>
        <v>0</v>
      </c>
      <c r="AK157" s="305">
        <f>'[1]Adubos e corretivos'!R60</f>
        <v>0</v>
      </c>
      <c r="AL157" s="305">
        <f>'[1]Adubos e corretivos'!S60</f>
        <v>0</v>
      </c>
      <c r="AM157" s="305">
        <f>'[1]Adubos e corretivos'!T60</f>
        <v>0</v>
      </c>
      <c r="AN157" s="305">
        <f>'[1]Adubos e corretivos'!U60</f>
        <v>0</v>
      </c>
      <c r="AO157" s="305">
        <f>'[1]Adubos e corretivos'!V60</f>
        <v>0</v>
      </c>
    </row>
    <row r="158" spans="11:41" ht="19.5" customHeight="1" x14ac:dyDescent="0.25">
      <c r="K158" s="215"/>
      <c r="L158" s="215"/>
      <c r="U158" s="543"/>
      <c r="V158" s="305">
        <f>'[1]Adubos e corretivos'!C61</f>
        <v>0</v>
      </c>
      <c r="W158" s="305">
        <f>'[1]Adubos e corretivos'!D61</f>
        <v>0</v>
      </c>
      <c r="X158" s="305">
        <f>'[1]Adubos e corretivos'!E61</f>
        <v>0</v>
      </c>
      <c r="Y158" s="305">
        <f>'[1]Adubos e corretivos'!F61</f>
        <v>0</v>
      </c>
      <c r="Z158" s="305">
        <f>'[1]Adubos e corretivos'!G61</f>
        <v>0</v>
      </c>
      <c r="AA158" s="305">
        <f>'[1]Adubos e corretivos'!H61</f>
        <v>0</v>
      </c>
      <c r="AB158" s="305">
        <f>'[1]Adubos e corretivos'!I61</f>
        <v>0</v>
      </c>
      <c r="AC158" s="305">
        <f>'[1]Adubos e corretivos'!J61</f>
        <v>0</v>
      </c>
      <c r="AD158" s="305">
        <f>'[1]Adubos e corretivos'!K61</f>
        <v>0</v>
      </c>
      <c r="AE158" s="305">
        <f>'[1]Adubos e corretivos'!L61</f>
        <v>0</v>
      </c>
      <c r="AF158" s="305">
        <f>'[1]Adubos e corretivos'!M61</f>
        <v>0</v>
      </c>
      <c r="AG158" s="305">
        <f>'[1]Adubos e corretivos'!N61</f>
        <v>0</v>
      </c>
      <c r="AH158" s="305">
        <f>'[1]Adubos e corretivos'!O61</f>
        <v>0</v>
      </c>
      <c r="AI158" s="305">
        <f>'[1]Adubos e corretivos'!P61</f>
        <v>0</v>
      </c>
      <c r="AJ158" s="305">
        <f>'[1]Adubos e corretivos'!Q61</f>
        <v>0</v>
      </c>
      <c r="AK158" s="305">
        <f>'[1]Adubos e corretivos'!R61</f>
        <v>0</v>
      </c>
      <c r="AL158" s="305">
        <f>'[1]Adubos e corretivos'!S61</f>
        <v>0</v>
      </c>
      <c r="AM158" s="305">
        <f>'[1]Adubos e corretivos'!T61</f>
        <v>0</v>
      </c>
      <c r="AN158" s="305">
        <f>'[1]Adubos e corretivos'!U61</f>
        <v>0</v>
      </c>
      <c r="AO158" s="305">
        <f>'[1]Adubos e corretivos'!V61</f>
        <v>0</v>
      </c>
    </row>
    <row r="159" spans="11:41" ht="19.5" customHeight="1" x14ac:dyDescent="0.25">
      <c r="K159" s="215"/>
      <c r="L159" s="215"/>
      <c r="U159" s="543"/>
      <c r="V159" s="305">
        <f>'[1]Adubos e corretivos'!C62</f>
        <v>0</v>
      </c>
      <c r="W159" s="305">
        <f>'[1]Adubos e corretivos'!D62</f>
        <v>0</v>
      </c>
      <c r="X159" s="305">
        <f>'[1]Adubos e corretivos'!E62</f>
        <v>0</v>
      </c>
      <c r="Y159" s="305">
        <f>'[1]Adubos e corretivos'!F62</f>
        <v>0</v>
      </c>
      <c r="Z159" s="305">
        <f>'[1]Adubos e corretivos'!G62</f>
        <v>0</v>
      </c>
      <c r="AA159" s="305">
        <f>'[1]Adubos e corretivos'!H62</f>
        <v>0</v>
      </c>
      <c r="AB159" s="305">
        <f>'[1]Adubos e corretivos'!I62</f>
        <v>0</v>
      </c>
      <c r="AC159" s="305">
        <f>'[1]Adubos e corretivos'!J62</f>
        <v>0</v>
      </c>
      <c r="AD159" s="305">
        <f>'[1]Adubos e corretivos'!K62</f>
        <v>0</v>
      </c>
      <c r="AE159" s="305">
        <f>'[1]Adubos e corretivos'!L62</f>
        <v>0</v>
      </c>
      <c r="AF159" s="305">
        <f>'[1]Adubos e corretivos'!M62</f>
        <v>0</v>
      </c>
      <c r="AG159" s="305">
        <f>'[1]Adubos e corretivos'!N62</f>
        <v>0</v>
      </c>
      <c r="AH159" s="305">
        <f>'[1]Adubos e corretivos'!O62</f>
        <v>0</v>
      </c>
      <c r="AI159" s="305">
        <f>'[1]Adubos e corretivos'!P62</f>
        <v>0</v>
      </c>
      <c r="AJ159" s="305">
        <f>'[1]Adubos e corretivos'!Q62</f>
        <v>0</v>
      </c>
      <c r="AK159" s="305">
        <f>'[1]Adubos e corretivos'!R62</f>
        <v>0</v>
      </c>
      <c r="AL159" s="305">
        <f>'[1]Adubos e corretivos'!S62</f>
        <v>0</v>
      </c>
      <c r="AM159" s="305">
        <f>'[1]Adubos e corretivos'!T62</f>
        <v>0</v>
      </c>
      <c r="AN159" s="305">
        <f>'[1]Adubos e corretivos'!U62</f>
        <v>0</v>
      </c>
      <c r="AO159" s="305">
        <f>'[1]Adubos e corretivos'!V62</f>
        <v>0</v>
      </c>
    </row>
    <row r="160" spans="11:41" ht="19.5" customHeight="1" x14ac:dyDescent="0.25">
      <c r="K160" s="215"/>
      <c r="L160" s="215"/>
      <c r="U160" s="544" t="s">
        <v>283</v>
      </c>
      <c r="V160" s="305" t="str">
        <f>'[1]Adubos e corretivos'!C63</f>
        <v>Micaxisto</v>
      </c>
      <c r="W160" s="305">
        <f>'[1]Adubos e corretivos'!D63</f>
        <v>0.12</v>
      </c>
      <c r="X160" s="305">
        <f>'[1]Adubos e corretivos'!E63</f>
        <v>0</v>
      </c>
      <c r="Y160" s="305">
        <f>'[1]Adubos e corretivos'!F63</f>
        <v>4.4999999999999998E-2</v>
      </c>
      <c r="Z160" s="305">
        <f>'[1]Adubos e corretivos'!G63</f>
        <v>0.1</v>
      </c>
      <c r="AA160" s="305">
        <f>'[1]Adubos e corretivos'!H63</f>
        <v>4.32</v>
      </c>
      <c r="AB160" s="305">
        <f>'[1]Adubos e corretivos'!I63</f>
        <v>5.2</v>
      </c>
      <c r="AC160" s="305">
        <f>'[1]Adubos e corretivos'!J63</f>
        <v>1.2587412587412588</v>
      </c>
      <c r="AD160" s="305">
        <f>'[1]Adubos e corretivos'!K63</f>
        <v>1.1627906976744187</v>
      </c>
      <c r="AE160" s="305">
        <f>'[1]Adubos e corretivos'!L63</f>
        <v>0</v>
      </c>
      <c r="AF160" s="305">
        <f>'[1]Adubos e corretivos'!M63</f>
        <v>0</v>
      </c>
      <c r="AG160" s="305">
        <f>'[1]Adubos e corretivos'!N63</f>
        <v>0</v>
      </c>
      <c r="AH160" s="305">
        <f>'[1]Adubos e corretivos'!O63</f>
        <v>0</v>
      </c>
      <c r="AI160" s="305">
        <f>'[1]Adubos e corretivos'!P63</f>
        <v>0</v>
      </c>
      <c r="AJ160" s="305">
        <f>'[1]Adubos e corretivos'!Q63</f>
        <v>0</v>
      </c>
      <c r="AK160" s="305">
        <f>'[1]Adubos e corretivos'!R63</f>
        <v>0</v>
      </c>
      <c r="AL160" s="305">
        <f>'[1]Adubos e corretivos'!S63</f>
        <v>0</v>
      </c>
      <c r="AM160" s="305">
        <f>'[1]Adubos e corretivos'!T63</f>
        <v>0</v>
      </c>
      <c r="AN160" s="305">
        <f>'[1]Adubos e corretivos'!U63</f>
        <v>0</v>
      </c>
      <c r="AO160" s="305">
        <f>'[1]Adubos e corretivos'!V63</f>
        <v>0</v>
      </c>
    </row>
    <row r="161" spans="11:44" ht="19.5" customHeight="1" x14ac:dyDescent="0.25">
      <c r="K161" s="215"/>
      <c r="L161" s="215"/>
      <c r="U161" s="544"/>
      <c r="V161" s="305" t="str">
        <f>'[1]Adubos e corretivos'!C64</f>
        <v xml:space="preserve"> Remax Mistel</v>
      </c>
      <c r="W161" s="305">
        <f>'[1]Adubos e corretivos'!D64</f>
        <v>0</v>
      </c>
      <c r="X161" s="305">
        <f>'[1]Adubos e corretivos'!E64</f>
        <v>0</v>
      </c>
      <c r="Y161" s="305">
        <f>'[1]Adubos e corretivos'!F64</f>
        <v>4.4999999999999998E-2</v>
      </c>
      <c r="Z161" s="305">
        <f>'[1]Adubos e corretivos'!G64</f>
        <v>0.1</v>
      </c>
      <c r="AA161" s="305">
        <f>'[1]Adubos e corretivos'!H64</f>
        <v>2.1949999999999998</v>
      </c>
      <c r="AB161" s="305">
        <f>'[1]Adubos e corretivos'!I64</f>
        <v>2.6</v>
      </c>
      <c r="AC161" s="305">
        <f>'[1]Adubos e corretivos'!J64</f>
        <v>18.741258741258743</v>
      </c>
      <c r="AD161" s="305">
        <f>'[1]Adubos e corretivos'!K64</f>
        <v>12.44186046511628</v>
      </c>
      <c r="AE161" s="305">
        <f>'[1]Adubos e corretivos'!L64</f>
        <v>0</v>
      </c>
      <c r="AF161" s="305">
        <f>'[1]Adubos e corretivos'!M64</f>
        <v>0</v>
      </c>
      <c r="AG161" s="305">
        <f>'[1]Adubos e corretivos'!N64</f>
        <v>0</v>
      </c>
      <c r="AH161" s="305">
        <f>'[1]Adubos e corretivos'!O64</f>
        <v>0</v>
      </c>
      <c r="AI161" s="305">
        <f>'[1]Adubos e corretivos'!P64</f>
        <v>0</v>
      </c>
      <c r="AJ161" s="305">
        <f>'[1]Adubos e corretivos'!Q64</f>
        <v>0</v>
      </c>
      <c r="AK161" s="305">
        <f>'[1]Adubos e corretivos'!R64</f>
        <v>0</v>
      </c>
      <c r="AL161" s="305">
        <f>'[1]Adubos e corretivos'!S64</f>
        <v>43.8</v>
      </c>
      <c r="AM161" s="305">
        <f>'[1]Adubos e corretivos'!T64</f>
        <v>0</v>
      </c>
      <c r="AN161" s="305">
        <f>'[1]Adubos e corretivos'!U64</f>
        <v>0</v>
      </c>
      <c r="AO161" s="305">
        <f>'[1]Adubos e corretivos'!V64</f>
        <v>0</v>
      </c>
    </row>
    <row r="162" spans="11:44" ht="19.5" customHeight="1" x14ac:dyDescent="0.25">
      <c r="K162" s="215"/>
      <c r="L162" s="215"/>
      <c r="U162" s="544"/>
      <c r="V162" s="305" t="str">
        <f>'[1]Adubos e corretivos'!C65</f>
        <v>Pó de brita Fmx</v>
      </c>
      <c r="W162" s="305">
        <f>'[1]Adubos e corretivos'!D65</f>
        <v>0</v>
      </c>
      <c r="X162" s="305">
        <f>'[1]Adubos e corretivos'!E65</f>
        <v>0</v>
      </c>
      <c r="Y162" s="305">
        <f>'[1]Adubos e corretivos'!F65</f>
        <v>0</v>
      </c>
      <c r="Z162" s="305">
        <f>'[1]Adubos e corretivos'!G65</f>
        <v>0</v>
      </c>
      <c r="AA162" s="305">
        <f>'[1]Adubos e corretivos'!H65</f>
        <v>4.99</v>
      </c>
      <c r="AB162" s="305">
        <f>'[1]Adubos e corretivos'!I65</f>
        <v>6</v>
      </c>
      <c r="AC162" s="305">
        <f>'[1]Adubos e corretivos'!J65</f>
        <v>4.1958041958041958</v>
      </c>
      <c r="AD162" s="305">
        <f>'[1]Adubos e corretivos'!K65</f>
        <v>0.83056478405315615</v>
      </c>
      <c r="AE162" s="305">
        <f>'[1]Adubos e corretivos'!L65</f>
        <v>0</v>
      </c>
      <c r="AF162" s="305">
        <f>'[1]Adubos e corretivos'!M65</f>
        <v>0</v>
      </c>
      <c r="AG162" s="305">
        <f>'[1]Adubos e corretivos'!N65</f>
        <v>0</v>
      </c>
      <c r="AH162" s="305">
        <f>'[1]Adubos e corretivos'!O65</f>
        <v>0</v>
      </c>
      <c r="AI162" s="305">
        <f>'[1]Adubos e corretivos'!P65</f>
        <v>0</v>
      </c>
      <c r="AJ162" s="305">
        <f>'[1]Adubos e corretivos'!Q65</f>
        <v>0</v>
      </c>
      <c r="AK162" s="305">
        <f>'[1]Adubos e corretivos'!R65</f>
        <v>0</v>
      </c>
      <c r="AL162" s="305">
        <f>'[1]Adubos e corretivos'!S65</f>
        <v>0</v>
      </c>
      <c r="AM162" s="305">
        <f>'[1]Adubos e corretivos'!T65</f>
        <v>0</v>
      </c>
      <c r="AN162" s="305">
        <f>'[1]Adubos e corretivos'!U65</f>
        <v>0</v>
      </c>
      <c r="AO162" s="305">
        <f>'[1]Adubos e corretivos'!V65</f>
        <v>0</v>
      </c>
    </row>
    <row r="163" spans="11:44" ht="19.5" customHeight="1" x14ac:dyDescent="0.25">
      <c r="K163" s="215"/>
      <c r="L163" s="215"/>
      <c r="U163" s="544"/>
      <c r="V163" s="305" t="str">
        <f>'[1]Adubos e corretivos'!C66</f>
        <v>Biotita Xisto</v>
      </c>
      <c r="W163" s="305">
        <f>'[1]Adubos e corretivos'!D66</f>
        <v>0</v>
      </c>
      <c r="X163" s="305">
        <f>'[1]Adubos e corretivos'!E66</f>
        <v>0</v>
      </c>
      <c r="Y163" s="305">
        <f>'[1]Adubos e corretivos'!F66</f>
        <v>8.7999999999999995E-2</v>
      </c>
      <c r="Z163" s="305">
        <f>'[1]Adubos e corretivos'!G66</f>
        <v>0.2</v>
      </c>
      <c r="AA163" s="305">
        <f>'[1]Adubos e corretivos'!H66</f>
        <v>2.83</v>
      </c>
      <c r="AB163" s="305">
        <f>'[1]Adubos e corretivos'!I66</f>
        <v>3.4</v>
      </c>
      <c r="AC163" s="305">
        <f>'[1]Adubos e corretivos'!J66</f>
        <v>2.5174825174825175</v>
      </c>
      <c r="AD163" s="305">
        <f>'[1]Adubos e corretivos'!K66</f>
        <v>7.6411960132890364</v>
      </c>
      <c r="AE163" s="305">
        <f>'[1]Adubos e corretivos'!L66</f>
        <v>0</v>
      </c>
      <c r="AF163" s="305">
        <f>'[1]Adubos e corretivos'!M66</f>
        <v>0</v>
      </c>
      <c r="AG163" s="305">
        <f>'[1]Adubos e corretivos'!N66</f>
        <v>0</v>
      </c>
      <c r="AH163" s="305">
        <f>'[1]Adubos e corretivos'!O66</f>
        <v>0</v>
      </c>
      <c r="AI163" s="305">
        <f>'[1]Adubos e corretivos'!P66</f>
        <v>0</v>
      </c>
      <c r="AJ163" s="305">
        <f>'[1]Adubos e corretivos'!Q66</f>
        <v>0</v>
      </c>
      <c r="AK163" s="305">
        <f>'[1]Adubos e corretivos'!R66</f>
        <v>0</v>
      </c>
      <c r="AL163" s="305">
        <f>'[1]Adubos e corretivos'!S66</f>
        <v>57.8</v>
      </c>
      <c r="AM163" s="305">
        <f>'[1]Adubos e corretivos'!T66</f>
        <v>0</v>
      </c>
      <c r="AN163" s="305">
        <f>'[1]Adubos e corretivos'!U66</f>
        <v>0</v>
      </c>
      <c r="AO163" s="305">
        <f>'[1]Adubos e corretivos'!V66</f>
        <v>0</v>
      </c>
    </row>
    <row r="164" spans="11:44" ht="19.5" customHeight="1" x14ac:dyDescent="0.25">
      <c r="K164" s="215"/>
      <c r="L164" s="215"/>
      <c r="U164" s="544"/>
      <c r="V164" s="305" t="str">
        <f>'[1]Adubos e corretivos'!C67</f>
        <v>Kamafugito</v>
      </c>
      <c r="W164" s="305">
        <f>'[1]Adubos e corretivos'!D67</f>
        <v>0</v>
      </c>
      <c r="X164" s="305">
        <f>'[1]Adubos e corretivos'!E67</f>
        <v>0</v>
      </c>
      <c r="Y164" s="305">
        <f>'[1]Adubos e corretivos'!F67</f>
        <v>1.5069999999999999</v>
      </c>
      <c r="Z164" s="305">
        <f>'[1]Adubos e corretivos'!G67</f>
        <v>3.5</v>
      </c>
      <c r="AA164" s="305">
        <f>'[1]Adubos e corretivos'!H67</f>
        <v>3.3250000000000002</v>
      </c>
      <c r="AB164" s="305">
        <f>'[1]Adubos e corretivos'!I67</f>
        <v>4</v>
      </c>
      <c r="AC164" s="305">
        <f>'[1]Adubos e corretivos'!J67</f>
        <v>2.86</v>
      </c>
      <c r="AD164" s="305">
        <f>'[1]Adubos e corretivos'!K67</f>
        <v>0</v>
      </c>
      <c r="AE164" s="305">
        <f>'[1]Adubos e corretivos'!L67</f>
        <v>0</v>
      </c>
      <c r="AF164" s="305">
        <f>'[1]Adubos e corretivos'!M67</f>
        <v>0</v>
      </c>
      <c r="AG164" s="305">
        <f>'[1]Adubos e corretivos'!N67</f>
        <v>0</v>
      </c>
      <c r="AH164" s="305">
        <f>'[1]Adubos e corretivos'!O67</f>
        <v>0</v>
      </c>
      <c r="AI164" s="305">
        <f>'[1]Adubos e corretivos'!P67</f>
        <v>0</v>
      </c>
      <c r="AJ164" s="305">
        <f>'[1]Adubos e corretivos'!Q67</f>
        <v>0</v>
      </c>
      <c r="AK164" s="305">
        <f>'[1]Adubos e corretivos'!R67</f>
        <v>0</v>
      </c>
      <c r="AL164" s="305">
        <f>'[1]Adubos e corretivos'!S67</f>
        <v>0</v>
      </c>
      <c r="AM164" s="305">
        <f>'[1]Adubos e corretivos'!T67</f>
        <v>0</v>
      </c>
      <c r="AN164" s="305">
        <f>'[1]Adubos e corretivos'!U67</f>
        <v>0</v>
      </c>
      <c r="AO164" s="305">
        <f>'[1]Adubos e corretivos'!V67</f>
        <v>0</v>
      </c>
    </row>
    <row r="165" spans="11:44" ht="19.5" customHeight="1" x14ac:dyDescent="0.25">
      <c r="K165" s="215"/>
      <c r="L165" s="215"/>
      <c r="U165" s="544"/>
      <c r="V165" s="305">
        <f>'[1]Adubos e corretivos'!C68</f>
        <v>0</v>
      </c>
      <c r="W165" s="305">
        <f>'[1]Adubos e corretivos'!D68</f>
        <v>0</v>
      </c>
      <c r="X165" s="305">
        <f>'[1]Adubos e corretivos'!E68</f>
        <v>0</v>
      </c>
      <c r="Y165" s="305">
        <f>'[1]Adubos e corretivos'!F68</f>
        <v>0</v>
      </c>
      <c r="Z165" s="305">
        <f>'[1]Adubos e corretivos'!G68</f>
        <v>0</v>
      </c>
      <c r="AA165" s="305">
        <f>'[1]Adubos e corretivos'!H68</f>
        <v>0</v>
      </c>
      <c r="AB165" s="305">
        <f>'[1]Adubos e corretivos'!I68</f>
        <v>0</v>
      </c>
      <c r="AC165" s="305">
        <f>'[1]Adubos e corretivos'!J68</f>
        <v>0</v>
      </c>
      <c r="AD165" s="305">
        <f>'[1]Adubos e corretivos'!K68</f>
        <v>0</v>
      </c>
      <c r="AE165" s="305">
        <f>'[1]Adubos e corretivos'!L68</f>
        <v>0</v>
      </c>
      <c r="AF165" s="305">
        <f>'[1]Adubos e corretivos'!M68</f>
        <v>0</v>
      </c>
      <c r="AG165" s="305">
        <f>'[1]Adubos e corretivos'!N68</f>
        <v>0</v>
      </c>
      <c r="AH165" s="305">
        <f>'[1]Adubos e corretivos'!O68</f>
        <v>0</v>
      </c>
      <c r="AI165" s="305">
        <f>'[1]Adubos e corretivos'!P68</f>
        <v>0</v>
      </c>
      <c r="AJ165" s="305">
        <f>'[1]Adubos e corretivos'!Q68</f>
        <v>0</v>
      </c>
      <c r="AK165" s="305">
        <f>'[1]Adubos e corretivos'!R68</f>
        <v>0</v>
      </c>
      <c r="AL165" s="305">
        <f>'[1]Adubos e corretivos'!S68</f>
        <v>0</v>
      </c>
      <c r="AM165" s="305">
        <f>'[1]Adubos e corretivos'!T68</f>
        <v>0</v>
      </c>
      <c r="AN165" s="305">
        <f>'[1]Adubos e corretivos'!U68</f>
        <v>0</v>
      </c>
      <c r="AO165" s="305">
        <f>'[1]Adubos e corretivos'!V68</f>
        <v>0</v>
      </c>
    </row>
    <row r="166" spans="11:44" ht="19.5" customHeight="1" x14ac:dyDescent="0.25">
      <c r="K166" s="215"/>
      <c r="L166" s="215"/>
      <c r="U166" s="544"/>
      <c r="V166" s="305">
        <f>'[1]Adubos e corretivos'!C69</f>
        <v>0</v>
      </c>
      <c r="W166" s="305">
        <f>'[1]Adubos e corretivos'!D69</f>
        <v>0</v>
      </c>
      <c r="X166" s="305">
        <f>'[1]Adubos e corretivos'!E69</f>
        <v>0</v>
      </c>
      <c r="Y166" s="305">
        <f>'[1]Adubos e corretivos'!F69</f>
        <v>0</v>
      </c>
      <c r="Z166" s="305">
        <f>'[1]Adubos e corretivos'!G69</f>
        <v>0</v>
      </c>
      <c r="AA166" s="305">
        <f>'[1]Adubos e corretivos'!H69</f>
        <v>0</v>
      </c>
      <c r="AB166" s="305">
        <f>'[1]Adubos e corretivos'!I69</f>
        <v>0</v>
      </c>
      <c r="AC166" s="305">
        <f>'[1]Adubos e corretivos'!J69</f>
        <v>0</v>
      </c>
      <c r="AD166" s="305">
        <f>'[1]Adubos e corretivos'!K69</f>
        <v>0</v>
      </c>
      <c r="AE166" s="305">
        <f>'[1]Adubos e corretivos'!L69</f>
        <v>0</v>
      </c>
      <c r="AF166" s="305">
        <f>'[1]Adubos e corretivos'!M69</f>
        <v>0</v>
      </c>
      <c r="AG166" s="305">
        <f>'[1]Adubos e corretivos'!N69</f>
        <v>0</v>
      </c>
      <c r="AH166" s="305">
        <f>'[1]Adubos e corretivos'!O69</f>
        <v>0</v>
      </c>
      <c r="AI166" s="305">
        <f>'[1]Adubos e corretivos'!P69</f>
        <v>0</v>
      </c>
      <c r="AJ166" s="305">
        <f>'[1]Adubos e corretivos'!Q69</f>
        <v>0</v>
      </c>
      <c r="AK166" s="305">
        <f>'[1]Adubos e corretivos'!R69</f>
        <v>0</v>
      </c>
      <c r="AL166" s="305">
        <f>'[1]Adubos e corretivos'!S69</f>
        <v>0</v>
      </c>
      <c r="AM166" s="305">
        <f>'[1]Adubos e corretivos'!T69</f>
        <v>0</v>
      </c>
      <c r="AN166" s="305">
        <f>'[1]Adubos e corretivos'!U69</f>
        <v>0</v>
      </c>
      <c r="AO166" s="305">
        <f>'[1]Adubos e corretivos'!V69</f>
        <v>0</v>
      </c>
    </row>
    <row r="167" spans="11:44" ht="19.5" customHeight="1" x14ac:dyDescent="0.25">
      <c r="K167" s="215"/>
      <c r="L167" s="215"/>
      <c r="U167" s="544"/>
      <c r="V167" s="305">
        <f>'[1]Adubos e corretivos'!C70</f>
        <v>0</v>
      </c>
      <c r="W167" s="305">
        <f>'[1]Adubos e corretivos'!D70</f>
        <v>0</v>
      </c>
      <c r="X167" s="305">
        <f>'[1]Adubos e corretivos'!E70</f>
        <v>0</v>
      </c>
      <c r="Y167" s="305">
        <f>'[1]Adubos e corretivos'!F70</f>
        <v>0</v>
      </c>
      <c r="Z167" s="305">
        <f>'[1]Adubos e corretivos'!G70</f>
        <v>0</v>
      </c>
      <c r="AA167" s="305">
        <f>'[1]Adubos e corretivos'!H70</f>
        <v>0</v>
      </c>
      <c r="AB167" s="305">
        <f>'[1]Adubos e corretivos'!I70</f>
        <v>0</v>
      </c>
      <c r="AC167" s="305">
        <f>'[1]Adubos e corretivos'!J70</f>
        <v>0</v>
      </c>
      <c r="AD167" s="305">
        <f>'[1]Adubos e corretivos'!K70</f>
        <v>0</v>
      </c>
      <c r="AE167" s="305">
        <f>'[1]Adubos e corretivos'!L70</f>
        <v>0</v>
      </c>
      <c r="AF167" s="305">
        <f>'[1]Adubos e corretivos'!M70</f>
        <v>0</v>
      </c>
      <c r="AG167" s="305">
        <f>'[1]Adubos e corretivos'!N70</f>
        <v>0</v>
      </c>
      <c r="AH167" s="305">
        <f>'[1]Adubos e corretivos'!O70</f>
        <v>0</v>
      </c>
      <c r="AI167" s="305">
        <f>'[1]Adubos e corretivos'!P70</f>
        <v>0</v>
      </c>
      <c r="AJ167" s="305">
        <f>'[1]Adubos e corretivos'!Q70</f>
        <v>0</v>
      </c>
      <c r="AK167" s="305">
        <f>'[1]Adubos e corretivos'!R70</f>
        <v>0</v>
      </c>
      <c r="AL167" s="305">
        <f>'[1]Adubos e corretivos'!S70</f>
        <v>0</v>
      </c>
      <c r="AM167" s="305">
        <f>'[1]Adubos e corretivos'!T70</f>
        <v>0</v>
      </c>
      <c r="AN167" s="305">
        <f>'[1]Adubos e corretivos'!U70</f>
        <v>0</v>
      </c>
      <c r="AO167" s="305">
        <f>'[1]Adubos e corretivos'!V70</f>
        <v>0</v>
      </c>
    </row>
    <row r="168" spans="11:44" ht="19.5" customHeight="1" x14ac:dyDescent="0.25">
      <c r="K168" s="215"/>
      <c r="L168" s="215"/>
      <c r="U168" s="544"/>
      <c r="V168" s="305">
        <f>'[1]Adubos e corretivos'!C71</f>
        <v>0</v>
      </c>
      <c r="W168" s="305">
        <f>'[1]Adubos e corretivos'!D71</f>
        <v>0</v>
      </c>
      <c r="X168" s="305">
        <f>'[1]Adubos e corretivos'!E71</f>
        <v>0</v>
      </c>
      <c r="Y168" s="305">
        <f>'[1]Adubos e corretivos'!F71</f>
        <v>0</v>
      </c>
      <c r="Z168" s="305">
        <f>'[1]Adubos e corretivos'!G71</f>
        <v>0</v>
      </c>
      <c r="AA168" s="305">
        <f>'[1]Adubos e corretivos'!H71</f>
        <v>0</v>
      </c>
      <c r="AB168" s="305">
        <f>'[1]Adubos e corretivos'!I71</f>
        <v>0</v>
      </c>
      <c r="AC168" s="305">
        <f>'[1]Adubos e corretivos'!J71</f>
        <v>0</v>
      </c>
      <c r="AD168" s="305">
        <f>'[1]Adubos e corretivos'!K71</f>
        <v>0</v>
      </c>
      <c r="AE168" s="305">
        <f>'[1]Adubos e corretivos'!L71</f>
        <v>0</v>
      </c>
      <c r="AF168" s="305">
        <f>'[1]Adubos e corretivos'!M71</f>
        <v>0</v>
      </c>
      <c r="AG168" s="305">
        <f>'[1]Adubos e corretivos'!N71</f>
        <v>0</v>
      </c>
      <c r="AH168" s="305">
        <f>'[1]Adubos e corretivos'!O71</f>
        <v>0</v>
      </c>
      <c r="AI168" s="305">
        <f>'[1]Adubos e corretivos'!P71</f>
        <v>0</v>
      </c>
      <c r="AJ168" s="305">
        <f>'[1]Adubos e corretivos'!Q71</f>
        <v>0</v>
      </c>
      <c r="AK168" s="305">
        <f>'[1]Adubos e corretivos'!R71</f>
        <v>0</v>
      </c>
      <c r="AL168" s="305">
        <f>'[1]Adubos e corretivos'!S71</f>
        <v>0</v>
      </c>
      <c r="AM168" s="305">
        <f>'[1]Adubos e corretivos'!T71</f>
        <v>0</v>
      </c>
      <c r="AN168" s="305">
        <f>'[1]Adubos e corretivos'!U71</f>
        <v>0</v>
      </c>
      <c r="AO168" s="305">
        <f>'[1]Adubos e corretivos'!V71</f>
        <v>0</v>
      </c>
    </row>
    <row r="169" spans="11:44" ht="19.5" customHeight="1" x14ac:dyDescent="0.25">
      <c r="K169" s="215"/>
      <c r="L169" s="215"/>
      <c r="U169" s="544"/>
      <c r="V169" s="305">
        <f>'[1]Adubos e corretivos'!C72</f>
        <v>0</v>
      </c>
      <c r="W169" s="305">
        <f>'[1]Adubos e corretivos'!D72</f>
        <v>0</v>
      </c>
      <c r="X169" s="305">
        <f>'[1]Adubos e corretivos'!E72</f>
        <v>0</v>
      </c>
      <c r="Y169" s="305">
        <f>'[1]Adubos e corretivos'!F72</f>
        <v>0</v>
      </c>
      <c r="Z169" s="305">
        <f>'[1]Adubos e corretivos'!G72</f>
        <v>0</v>
      </c>
      <c r="AA169" s="305">
        <f>'[1]Adubos e corretivos'!H72</f>
        <v>0</v>
      </c>
      <c r="AB169" s="305">
        <f>'[1]Adubos e corretivos'!I72</f>
        <v>0</v>
      </c>
      <c r="AC169" s="305">
        <f>'[1]Adubos e corretivos'!J72</f>
        <v>0</v>
      </c>
      <c r="AD169" s="305">
        <f>'[1]Adubos e corretivos'!K72</f>
        <v>0</v>
      </c>
      <c r="AE169" s="305">
        <f>'[1]Adubos e corretivos'!L72</f>
        <v>0</v>
      </c>
      <c r="AF169" s="305">
        <f>'[1]Adubos e corretivos'!M72</f>
        <v>0</v>
      </c>
      <c r="AG169" s="305">
        <f>'[1]Adubos e corretivos'!N72</f>
        <v>0</v>
      </c>
      <c r="AH169" s="305">
        <f>'[1]Adubos e corretivos'!O72</f>
        <v>0</v>
      </c>
      <c r="AI169" s="305">
        <f>'[1]Adubos e corretivos'!P72</f>
        <v>0</v>
      </c>
      <c r="AJ169" s="305">
        <f>'[1]Adubos e corretivos'!Q72</f>
        <v>0</v>
      </c>
      <c r="AK169" s="305">
        <f>'[1]Adubos e corretivos'!R72</f>
        <v>0</v>
      </c>
      <c r="AL169" s="305">
        <f>'[1]Adubos e corretivos'!S72</f>
        <v>0</v>
      </c>
      <c r="AM169" s="305">
        <f>'[1]Adubos e corretivos'!T72</f>
        <v>0</v>
      </c>
      <c r="AN169" s="305">
        <f>'[1]Adubos e corretivos'!U72</f>
        <v>0</v>
      </c>
      <c r="AO169" s="305">
        <f>'[1]Adubos e corretivos'!V72</f>
        <v>0</v>
      </c>
      <c r="AP169" s="215"/>
      <c r="AQ169" s="215"/>
      <c r="AR169" s="215"/>
    </row>
    <row r="170" spans="11:44" ht="19.5" customHeight="1" x14ac:dyDescent="0.25">
      <c r="K170" s="215"/>
      <c r="L170" s="215"/>
      <c r="U170" s="536" t="s">
        <v>135</v>
      </c>
      <c r="V170" s="305" t="str">
        <f>'[1]Adubos e corretivos'!C73</f>
        <v>Ácido Bórico</v>
      </c>
      <c r="W170" s="305">
        <f>'[1]Adubos e corretivos'!D73</f>
        <v>5.52</v>
      </c>
      <c r="X170" s="305">
        <f>'[1]Adubos e corretivos'!E73</f>
        <v>0</v>
      </c>
      <c r="Y170" s="305">
        <f>'[1]Adubos e corretivos'!F73</f>
        <v>0</v>
      </c>
      <c r="Z170" s="305">
        <f>'[1]Adubos e corretivos'!G73</f>
        <v>0</v>
      </c>
      <c r="AA170" s="305">
        <f>'[1]Adubos e corretivos'!H73</f>
        <v>0</v>
      </c>
      <c r="AB170" s="305">
        <f>'[1]Adubos e corretivos'!I73</f>
        <v>0</v>
      </c>
      <c r="AC170" s="305">
        <f>'[1]Adubos e corretivos'!J73</f>
        <v>0</v>
      </c>
      <c r="AD170" s="305">
        <f>'[1]Adubos e corretivos'!K73</f>
        <v>0</v>
      </c>
      <c r="AE170" s="305">
        <f>'[1]Adubos e corretivos'!L73</f>
        <v>0</v>
      </c>
      <c r="AF170" s="305">
        <f>'[1]Adubos e corretivos'!M73</f>
        <v>17.5</v>
      </c>
      <c r="AG170" s="305">
        <f>'[1]Adubos e corretivos'!N73</f>
        <v>0</v>
      </c>
      <c r="AH170" s="305">
        <f>'[1]Adubos e corretivos'!O73</f>
        <v>0</v>
      </c>
      <c r="AI170" s="305">
        <f>'[1]Adubos e corretivos'!P73</f>
        <v>0</v>
      </c>
      <c r="AJ170" s="305">
        <f>'[1]Adubos e corretivos'!Q73</f>
        <v>0</v>
      </c>
      <c r="AK170" s="305">
        <f>'[1]Adubos e corretivos'!R73</f>
        <v>0</v>
      </c>
      <c r="AL170" s="305">
        <f>'[1]Adubos e corretivos'!S73</f>
        <v>0</v>
      </c>
      <c r="AM170" s="305">
        <f>'[1]Adubos e corretivos'!T73</f>
        <v>0</v>
      </c>
      <c r="AN170" s="305">
        <f>'[1]Adubos e corretivos'!U73</f>
        <v>0</v>
      </c>
      <c r="AO170" s="305">
        <f>'[1]Adubos e corretivos'!V73</f>
        <v>0</v>
      </c>
    </row>
    <row r="171" spans="11:44" ht="19.5" customHeight="1" x14ac:dyDescent="0.25">
      <c r="K171" s="215"/>
      <c r="L171" s="215"/>
      <c r="U171" s="536"/>
      <c r="V171" s="305" t="str">
        <f>'[1]Adubos e corretivos'!C74</f>
        <v>Boráx</v>
      </c>
      <c r="W171" s="305">
        <f>'[1]Adubos e corretivos'!D74</f>
        <v>3.84</v>
      </c>
      <c r="X171" s="305">
        <f>'[1]Adubos e corretivos'!E74</f>
        <v>0</v>
      </c>
      <c r="Y171" s="305">
        <f>'[1]Adubos e corretivos'!F74</f>
        <v>0</v>
      </c>
      <c r="Z171" s="305">
        <f>'[1]Adubos e corretivos'!G74</f>
        <v>0</v>
      </c>
      <c r="AA171" s="305">
        <f>'[1]Adubos e corretivos'!H74</f>
        <v>0</v>
      </c>
      <c r="AB171" s="305">
        <f>'[1]Adubos e corretivos'!I74</f>
        <v>0</v>
      </c>
      <c r="AC171" s="305">
        <f>'[1]Adubos e corretivos'!J74</f>
        <v>0</v>
      </c>
      <c r="AD171" s="305">
        <f>'[1]Adubos e corretivos'!K74</f>
        <v>0</v>
      </c>
      <c r="AE171" s="305">
        <f>'[1]Adubos e corretivos'!L74</f>
        <v>0</v>
      </c>
      <c r="AF171" s="305">
        <f>'[1]Adubos e corretivos'!M74</f>
        <v>10.5</v>
      </c>
      <c r="AG171" s="305">
        <f>'[1]Adubos e corretivos'!N74</f>
        <v>0</v>
      </c>
      <c r="AH171" s="305">
        <f>'[1]Adubos e corretivos'!O74</f>
        <v>0</v>
      </c>
      <c r="AI171" s="305">
        <f>'[1]Adubos e corretivos'!P74</f>
        <v>0</v>
      </c>
      <c r="AJ171" s="305">
        <f>'[1]Adubos e corretivos'!Q74</f>
        <v>0</v>
      </c>
      <c r="AK171" s="305">
        <f>'[1]Adubos e corretivos'!R74</f>
        <v>0</v>
      </c>
      <c r="AL171" s="305">
        <f>'[1]Adubos e corretivos'!S74</f>
        <v>0</v>
      </c>
      <c r="AM171" s="305">
        <f>'[1]Adubos e corretivos'!T74</f>
        <v>0</v>
      </c>
      <c r="AN171" s="305">
        <f>'[1]Adubos e corretivos'!U74</f>
        <v>0</v>
      </c>
      <c r="AO171" s="305">
        <f>'[1]Adubos e corretivos'!V74</f>
        <v>0</v>
      </c>
    </row>
    <row r="172" spans="11:44" ht="19.5" customHeight="1" x14ac:dyDescent="0.25">
      <c r="K172" s="215"/>
      <c r="L172" s="215"/>
      <c r="U172" s="536"/>
      <c r="V172" s="305" t="str">
        <f>'[1]Adubos e corretivos'!C75</f>
        <v>Brexil Top</v>
      </c>
      <c r="W172" s="305">
        <f>'[1]Adubos e corretivos'!D75</f>
        <v>40</v>
      </c>
      <c r="X172" s="305">
        <f>'[1]Adubos e corretivos'!E75</f>
        <v>0</v>
      </c>
      <c r="Y172" s="305">
        <f>'[1]Adubos e corretivos'!F75</f>
        <v>0</v>
      </c>
      <c r="Z172" s="305">
        <f>'[1]Adubos e corretivos'!G75</f>
        <v>0</v>
      </c>
      <c r="AA172" s="305">
        <f>'[1]Adubos e corretivos'!H75</f>
        <v>0</v>
      </c>
      <c r="AB172" s="305">
        <f>'[1]Adubos e corretivos'!I75</f>
        <v>0</v>
      </c>
      <c r="AC172" s="305">
        <f>'[1]Adubos e corretivos'!J75</f>
        <v>0</v>
      </c>
      <c r="AD172" s="305">
        <f>'[1]Adubos e corretivos'!K75</f>
        <v>1.5</v>
      </c>
      <c r="AE172" s="305">
        <f>'[1]Adubos e corretivos'!L75</f>
        <v>10</v>
      </c>
      <c r="AF172" s="305">
        <f>'[1]Adubos e corretivos'!M75</f>
        <v>2</v>
      </c>
      <c r="AG172" s="305">
        <f>'[1]Adubos e corretivos'!N75</f>
        <v>5</v>
      </c>
      <c r="AH172" s="305">
        <f>'[1]Adubos e corretivos'!O75</f>
        <v>6</v>
      </c>
      <c r="AI172" s="305">
        <f>'[1]Adubos e corretivos'!P75</f>
        <v>0</v>
      </c>
      <c r="AJ172" s="305">
        <f>'[1]Adubos e corretivos'!Q75</f>
        <v>0.5</v>
      </c>
      <c r="AK172" s="305">
        <f>'[1]Adubos e corretivos'!R75</f>
        <v>0</v>
      </c>
      <c r="AL172" s="305">
        <f>'[1]Adubos e corretivos'!S75</f>
        <v>0</v>
      </c>
      <c r="AM172" s="305">
        <f>'[1]Adubos e corretivos'!T75</f>
        <v>0</v>
      </c>
      <c r="AN172" s="305">
        <f>'[1]Adubos e corretivos'!U75</f>
        <v>0</v>
      </c>
      <c r="AO172" s="305">
        <f>'[1]Adubos e corretivos'!V75</f>
        <v>0</v>
      </c>
    </row>
    <row r="173" spans="11:44" ht="19.5" customHeight="1" x14ac:dyDescent="0.25">
      <c r="K173" s="215"/>
      <c r="L173" s="215"/>
      <c r="U173" s="536"/>
      <c r="V173" s="305" t="str">
        <f>'[1]Adubos e corretivos'!C76</f>
        <v>Molibdato de sódio</v>
      </c>
      <c r="W173" s="305">
        <f>'[1]Adubos e corretivos'!D76</f>
        <v>154</v>
      </c>
      <c r="X173" s="305">
        <f>'[1]Adubos e corretivos'!E76</f>
        <v>0</v>
      </c>
      <c r="Y173" s="305">
        <f>'[1]Adubos e corretivos'!F76</f>
        <v>0</v>
      </c>
      <c r="Z173" s="305">
        <f>'[1]Adubos e corretivos'!G76</f>
        <v>0</v>
      </c>
      <c r="AA173" s="305">
        <f>'[1]Adubos e corretivos'!H76</f>
        <v>0</v>
      </c>
      <c r="AB173" s="305">
        <f>'[1]Adubos e corretivos'!I76</f>
        <v>0</v>
      </c>
      <c r="AC173" s="305">
        <f>'[1]Adubos e corretivos'!J76</f>
        <v>0</v>
      </c>
      <c r="AD173" s="305">
        <f>'[1]Adubos e corretivos'!K76</f>
        <v>0</v>
      </c>
      <c r="AE173" s="305">
        <f>'[1]Adubos e corretivos'!L76</f>
        <v>0</v>
      </c>
      <c r="AF173" s="305">
        <f>'[1]Adubos e corretivos'!M76</f>
        <v>0</v>
      </c>
      <c r="AG173" s="305">
        <f>'[1]Adubos e corretivos'!N76</f>
        <v>0</v>
      </c>
      <c r="AH173" s="305">
        <f>'[1]Adubos e corretivos'!O76</f>
        <v>0</v>
      </c>
      <c r="AI173" s="305">
        <f>'[1]Adubos e corretivos'!P76</f>
        <v>0</v>
      </c>
      <c r="AJ173" s="305">
        <f>'[1]Adubos e corretivos'!Q76</f>
        <v>39</v>
      </c>
      <c r="AK173" s="305">
        <f>'[1]Adubos e corretivos'!R76</f>
        <v>0</v>
      </c>
      <c r="AL173" s="305">
        <f>'[1]Adubos e corretivos'!S76</f>
        <v>0</v>
      </c>
      <c r="AM173" s="305">
        <f>'[1]Adubos e corretivos'!T76</f>
        <v>0</v>
      </c>
      <c r="AN173" s="305">
        <f>'[1]Adubos e corretivos'!U76</f>
        <v>0</v>
      </c>
      <c r="AO173" s="305">
        <f>'[1]Adubos e corretivos'!V76</f>
        <v>0</v>
      </c>
    </row>
    <row r="174" spans="11:44" ht="19.5" customHeight="1" x14ac:dyDescent="0.25">
      <c r="K174" s="215"/>
      <c r="L174" s="215"/>
      <c r="U174" s="536"/>
      <c r="V174" s="305" t="str">
        <f>'[1]Adubos e corretivos'!C77</f>
        <v>Sulfato de cobre</v>
      </c>
      <c r="W174" s="305">
        <f>'[1]Adubos e corretivos'!D77</f>
        <v>11.04</v>
      </c>
      <c r="X174" s="305">
        <f>'[1]Adubos e corretivos'!E77</f>
        <v>0</v>
      </c>
      <c r="Y174" s="305">
        <f>'[1]Adubos e corretivos'!F77</f>
        <v>0</v>
      </c>
      <c r="Z174" s="305">
        <f>'[1]Adubos e corretivos'!G77</f>
        <v>0</v>
      </c>
      <c r="AA174" s="305">
        <f>'[1]Adubos e corretivos'!H77</f>
        <v>0</v>
      </c>
      <c r="AB174" s="305">
        <f>'[1]Adubos e corretivos'!I77</f>
        <v>0</v>
      </c>
      <c r="AC174" s="305">
        <f>'[1]Adubos e corretivos'!J77</f>
        <v>0</v>
      </c>
      <c r="AD174" s="305">
        <f>'[1]Adubos e corretivos'!K77</f>
        <v>0</v>
      </c>
      <c r="AE174" s="305">
        <f>'[1]Adubos e corretivos'!L77</f>
        <v>12</v>
      </c>
      <c r="AF174" s="305">
        <f>'[1]Adubos e corretivos'!M77</f>
        <v>0</v>
      </c>
      <c r="AG174" s="305">
        <f>'[1]Adubos e corretivos'!N77</f>
        <v>0</v>
      </c>
      <c r="AH174" s="305">
        <f>'[1]Adubos e corretivos'!O77</f>
        <v>0</v>
      </c>
      <c r="AI174" s="305">
        <f>'[1]Adubos e corretivos'!P77</f>
        <v>25</v>
      </c>
      <c r="AJ174" s="305">
        <f>'[1]Adubos e corretivos'!Q77</f>
        <v>0</v>
      </c>
      <c r="AK174" s="305">
        <f>'[1]Adubos e corretivos'!R77</f>
        <v>0</v>
      </c>
      <c r="AL174" s="305">
        <f>'[1]Adubos e corretivos'!S77</f>
        <v>0</v>
      </c>
      <c r="AM174" s="305">
        <f>'[1]Adubos e corretivos'!T77</f>
        <v>0</v>
      </c>
      <c r="AN174" s="305">
        <f>'[1]Adubos e corretivos'!U77</f>
        <v>0</v>
      </c>
      <c r="AO174" s="305">
        <f>'[1]Adubos e corretivos'!V77</f>
        <v>0</v>
      </c>
    </row>
    <row r="175" spans="11:44" ht="19.5" customHeight="1" x14ac:dyDescent="0.25">
      <c r="K175" s="215"/>
      <c r="L175" s="215"/>
      <c r="U175" s="536"/>
      <c r="V175" s="305" t="str">
        <f>'[1]Adubos e corretivos'!C78</f>
        <v>Sulfato de manganês</v>
      </c>
      <c r="W175" s="305">
        <f>'[1]Adubos e corretivos'!D78</f>
        <v>6.72</v>
      </c>
      <c r="X175" s="305">
        <f>'[1]Adubos e corretivos'!E78</f>
        <v>0</v>
      </c>
      <c r="Y175" s="305">
        <f>'[1]Adubos e corretivos'!F78</f>
        <v>0</v>
      </c>
      <c r="Z175" s="305">
        <f>'[1]Adubos e corretivos'!G78</f>
        <v>0</v>
      </c>
      <c r="AA175" s="305">
        <f>'[1]Adubos e corretivos'!H78</f>
        <v>0</v>
      </c>
      <c r="AB175" s="305">
        <f>'[1]Adubos e corretivos'!I78</f>
        <v>0</v>
      </c>
      <c r="AC175" s="305">
        <f>'[1]Adubos e corretivos'!J78</f>
        <v>0</v>
      </c>
      <c r="AD175" s="305">
        <f>'[1]Adubos e corretivos'!K78</f>
        <v>0</v>
      </c>
      <c r="AE175" s="305">
        <f>'[1]Adubos e corretivos'!L78</f>
        <v>21</v>
      </c>
      <c r="AF175" s="305">
        <f>'[1]Adubos e corretivos'!M78</f>
        <v>0</v>
      </c>
      <c r="AG175" s="305">
        <f>'[1]Adubos e corretivos'!N78</f>
        <v>26</v>
      </c>
      <c r="AH175" s="305">
        <f>'[1]Adubos e corretivos'!O78</f>
        <v>0</v>
      </c>
      <c r="AI175" s="305">
        <f>'[1]Adubos e corretivos'!P78</f>
        <v>0</v>
      </c>
      <c r="AJ175" s="305">
        <f>'[1]Adubos e corretivos'!Q78</f>
        <v>0</v>
      </c>
      <c r="AK175" s="305">
        <f>'[1]Adubos e corretivos'!R78</f>
        <v>0</v>
      </c>
      <c r="AL175" s="305">
        <f>'[1]Adubos e corretivos'!S78</f>
        <v>0</v>
      </c>
      <c r="AM175" s="305">
        <f>'[1]Adubos e corretivos'!T78</f>
        <v>0</v>
      </c>
      <c r="AN175" s="305">
        <f>'[1]Adubos e corretivos'!U78</f>
        <v>0</v>
      </c>
      <c r="AO175" s="305">
        <f>'[1]Adubos e corretivos'!V78</f>
        <v>0</v>
      </c>
    </row>
    <row r="176" spans="11:44" ht="19.5" customHeight="1" x14ac:dyDescent="0.25">
      <c r="K176" s="215"/>
      <c r="L176" s="215"/>
      <c r="U176" s="536"/>
      <c r="V176" s="305" t="str">
        <f>'[1]Adubos e corretivos'!C79</f>
        <v>Sulfato de zinco</v>
      </c>
      <c r="W176" s="305">
        <f>'[1]Adubos e corretivos'!D79</f>
        <v>6.16</v>
      </c>
      <c r="X176" s="305">
        <f>'[1]Adubos e corretivos'!E79</f>
        <v>0</v>
      </c>
      <c r="Y176" s="305">
        <f>'[1]Adubos e corretivos'!F79</f>
        <v>0</v>
      </c>
      <c r="Z176" s="305">
        <f>'[1]Adubos e corretivos'!G79</f>
        <v>0</v>
      </c>
      <c r="AA176" s="305">
        <f>'[1]Adubos e corretivos'!H79</f>
        <v>0</v>
      </c>
      <c r="AB176" s="305">
        <f>'[1]Adubos e corretivos'!I79</f>
        <v>0</v>
      </c>
      <c r="AC176" s="305">
        <f>'[1]Adubos e corretivos'!J79</f>
        <v>0</v>
      </c>
      <c r="AD176" s="305">
        <f>'[1]Adubos e corretivos'!K79</f>
        <v>0</v>
      </c>
      <c r="AE176" s="305">
        <f>'[1]Adubos e corretivos'!L79</f>
        <v>17</v>
      </c>
      <c r="AF176" s="305">
        <f>'[1]Adubos e corretivos'!M79</f>
        <v>0</v>
      </c>
      <c r="AG176" s="305">
        <f>'[1]Adubos e corretivos'!N79</f>
        <v>0</v>
      </c>
      <c r="AH176" s="305">
        <f>'[1]Adubos e corretivos'!O79</f>
        <v>35</v>
      </c>
      <c r="AI176" s="305">
        <f>'[1]Adubos e corretivos'!P79</f>
        <v>0</v>
      </c>
      <c r="AJ176" s="305">
        <f>'[1]Adubos e corretivos'!Q79</f>
        <v>0</v>
      </c>
      <c r="AK176" s="305">
        <f>'[1]Adubos e corretivos'!R79</f>
        <v>0</v>
      </c>
      <c r="AL176" s="305">
        <f>'[1]Adubos e corretivos'!S79</f>
        <v>0</v>
      </c>
      <c r="AM176" s="305">
        <f>'[1]Adubos e corretivos'!T79</f>
        <v>0</v>
      </c>
      <c r="AN176" s="305">
        <f>'[1]Adubos e corretivos'!U79</f>
        <v>0</v>
      </c>
      <c r="AO176" s="305">
        <f>'[1]Adubos e corretivos'!V79</f>
        <v>0</v>
      </c>
    </row>
    <row r="177" spans="11:46" ht="19.5" customHeight="1" x14ac:dyDescent="0.25">
      <c r="K177" s="215"/>
      <c r="L177" s="215"/>
      <c r="U177" s="536"/>
      <c r="V177" s="305" t="str">
        <f>'[1]Adubos e corretivos'!C80</f>
        <v>Ferrelene</v>
      </c>
      <c r="W177" s="305">
        <f>'[1]Adubos e corretivos'!D80</f>
        <v>78</v>
      </c>
      <c r="X177" s="305">
        <f>'[1]Adubos e corretivos'!E80</f>
        <v>0</v>
      </c>
      <c r="Y177" s="305">
        <f>'[1]Adubos e corretivos'!F80</f>
        <v>0</v>
      </c>
      <c r="Z177" s="305">
        <f>'[1]Adubos e corretivos'!G80</f>
        <v>0</v>
      </c>
      <c r="AA177" s="305">
        <f>'[1]Adubos e corretivos'!H80</f>
        <v>0</v>
      </c>
      <c r="AB177" s="305">
        <f>'[1]Adubos e corretivos'!I80</f>
        <v>0</v>
      </c>
      <c r="AC177" s="305">
        <f>'[1]Adubos e corretivos'!J80</f>
        <v>0</v>
      </c>
      <c r="AD177" s="305">
        <f>'[1]Adubos e corretivos'!K80</f>
        <v>0</v>
      </c>
      <c r="AE177" s="305">
        <f>'[1]Adubos e corretivos'!L80</f>
        <v>0</v>
      </c>
      <c r="AF177" s="305">
        <f>'[1]Adubos e corretivos'!M80</f>
        <v>0</v>
      </c>
      <c r="AG177" s="305">
        <f>'[1]Adubos e corretivos'!N80</f>
        <v>0</v>
      </c>
      <c r="AH177" s="305">
        <f>'[1]Adubos e corretivos'!O80</f>
        <v>0</v>
      </c>
      <c r="AI177" s="305">
        <f>'[1]Adubos e corretivos'!P80</f>
        <v>0</v>
      </c>
      <c r="AJ177" s="305">
        <f>'[1]Adubos e corretivos'!Q80</f>
        <v>0</v>
      </c>
      <c r="AK177" s="305">
        <f>'[1]Adubos e corretivos'!R80</f>
        <v>6</v>
      </c>
      <c r="AL177" s="305">
        <f>'[1]Adubos e corretivos'!S80</f>
        <v>0</v>
      </c>
      <c r="AM177" s="305">
        <f>'[1]Adubos e corretivos'!T80</f>
        <v>0</v>
      </c>
      <c r="AN177" s="305">
        <f>'[1]Adubos e corretivos'!U80</f>
        <v>0</v>
      </c>
      <c r="AO177" s="305">
        <f>'[1]Adubos e corretivos'!V80</f>
        <v>0</v>
      </c>
    </row>
    <row r="178" spans="11:46" ht="19.5" customHeight="1" x14ac:dyDescent="0.25">
      <c r="K178" s="215"/>
      <c r="L178" s="215"/>
      <c r="U178" s="536"/>
      <c r="V178" s="305" t="str">
        <f>'[1]Adubos e corretivos'!C81</f>
        <v>FTE BR 12</v>
      </c>
      <c r="W178" s="305">
        <f>'[1]Adubos e corretivos'!D81</f>
        <v>0</v>
      </c>
      <c r="X178" s="305">
        <f>'[1]Adubos e corretivos'!E81</f>
        <v>0</v>
      </c>
      <c r="Y178" s="305">
        <f>'[1]Adubos e corretivos'!F81</f>
        <v>0</v>
      </c>
      <c r="Z178" s="305">
        <f>'[1]Adubos e corretivos'!G81</f>
        <v>0</v>
      </c>
      <c r="AA178" s="305">
        <f>'[1]Adubos e corretivos'!H81</f>
        <v>0</v>
      </c>
      <c r="AB178" s="305">
        <f>'[1]Adubos e corretivos'!I81</f>
        <v>0</v>
      </c>
      <c r="AC178" s="305">
        <f>'[1]Adubos e corretivos'!J81</f>
        <v>0</v>
      </c>
      <c r="AD178" s="305">
        <f>'[1]Adubos e corretivos'!K81</f>
        <v>0</v>
      </c>
      <c r="AE178" s="305">
        <f>'[1]Adubos e corretivos'!L81</f>
        <v>3.9</v>
      </c>
      <c r="AF178" s="305">
        <f>'[1]Adubos e corretivos'!M81</f>
        <v>1.8</v>
      </c>
      <c r="AG178" s="305">
        <f>'[1]Adubos e corretivos'!N81</f>
        <v>2</v>
      </c>
      <c r="AH178" s="305">
        <f>'[1]Adubos e corretivos'!O81</f>
        <v>9</v>
      </c>
      <c r="AI178" s="305">
        <f>'[1]Adubos e corretivos'!P81</f>
        <v>0.85</v>
      </c>
      <c r="AJ178" s="305">
        <f>'[1]Adubos e corretivos'!Q81</f>
        <v>0</v>
      </c>
      <c r="AK178" s="305">
        <f>'[1]Adubos e corretivos'!R81</f>
        <v>0</v>
      </c>
      <c r="AL178" s="305">
        <f>'[1]Adubos e corretivos'!S81</f>
        <v>0</v>
      </c>
      <c r="AM178" s="305">
        <f>'[1]Adubos e corretivos'!T81</f>
        <v>0</v>
      </c>
      <c r="AN178" s="305">
        <f>'[1]Adubos e corretivos'!U81</f>
        <v>0</v>
      </c>
      <c r="AO178" s="305">
        <f>'[1]Adubos e corretivos'!V81</f>
        <v>0</v>
      </c>
    </row>
    <row r="179" spans="11:46" ht="19.5" customHeight="1" x14ac:dyDescent="0.25">
      <c r="K179" s="215"/>
      <c r="L179" s="215"/>
      <c r="U179" s="536"/>
      <c r="V179" s="305" t="str">
        <f>'[1]Adubos e corretivos'!C82</f>
        <v>Gran 12</v>
      </c>
      <c r="W179" s="305">
        <f>'[1]Adubos e corretivos'!D82</f>
        <v>2.72</v>
      </c>
      <c r="X179" s="305">
        <f>'[1]Adubos e corretivos'!E82</f>
        <v>0</v>
      </c>
      <c r="Y179" s="305">
        <f>'[1]Adubos e corretivos'!F82</f>
        <v>0</v>
      </c>
      <c r="Z179" s="305">
        <f>'[1]Adubos e corretivos'!G82</f>
        <v>0</v>
      </c>
      <c r="AA179" s="305">
        <f>'[1]Adubos e corretivos'!H82</f>
        <v>0</v>
      </c>
      <c r="AB179" s="305">
        <f>'[1]Adubos e corretivos'!I82</f>
        <v>0</v>
      </c>
      <c r="AC179" s="305">
        <f>'[1]Adubos e corretivos'!J82</f>
        <v>1.5</v>
      </c>
      <c r="AD179" s="305">
        <f>'[1]Adubos e corretivos'!K82</f>
        <v>0</v>
      </c>
      <c r="AE179" s="305">
        <f>'[1]Adubos e corretivos'!L82</f>
        <v>3.2</v>
      </c>
      <c r="AF179" s="305">
        <f>'[1]Adubos e corretivos'!M82</f>
        <v>1.8</v>
      </c>
      <c r="AG179" s="305">
        <f>'[1]Adubos e corretivos'!N82</f>
        <v>2.1</v>
      </c>
      <c r="AH179" s="305">
        <f>'[1]Adubos e corretivos'!O82</f>
        <v>9</v>
      </c>
      <c r="AI179" s="305">
        <f>'[1]Adubos e corretivos'!P82</f>
        <v>0.85</v>
      </c>
      <c r="AJ179" s="305">
        <f>'[1]Adubos e corretivos'!Q82</f>
        <v>0.1</v>
      </c>
      <c r="AK179" s="305">
        <f>'[1]Adubos e corretivos'!R82</f>
        <v>0</v>
      </c>
      <c r="AL179" s="305">
        <f>'[1]Adubos e corretivos'!S82</f>
        <v>0</v>
      </c>
      <c r="AM179" s="305">
        <f>'[1]Adubos e corretivos'!T82</f>
        <v>0</v>
      </c>
      <c r="AN179" s="305">
        <f>'[1]Adubos e corretivos'!U82</f>
        <v>0</v>
      </c>
      <c r="AO179" s="305">
        <f>'[1]Adubos e corretivos'!V82</f>
        <v>0</v>
      </c>
    </row>
    <row r="186" spans="11:46" ht="19.5" customHeight="1" x14ac:dyDescent="0.25">
      <c r="U186" s="537" t="s">
        <v>136</v>
      </c>
      <c r="V186" s="537" t="s">
        <v>76</v>
      </c>
      <c r="W186" s="537" t="s">
        <v>77</v>
      </c>
      <c r="X186" s="537" t="s">
        <v>78</v>
      </c>
      <c r="Y186" s="537"/>
      <c r="Z186" s="537"/>
      <c r="AA186" s="538" t="s">
        <v>623</v>
      </c>
      <c r="AB186" s="538"/>
      <c r="AC186" s="538"/>
      <c r="AD186" s="538"/>
      <c r="AE186" s="538"/>
      <c r="AH186" s="312"/>
      <c r="AI186" s="312"/>
      <c r="AJ186" s="312"/>
      <c r="AK186" s="312"/>
      <c r="AL186" s="312"/>
      <c r="AM186" s="312"/>
      <c r="AN186" s="312"/>
      <c r="AO186" s="312"/>
      <c r="AP186" s="313"/>
      <c r="AQ186" s="313"/>
      <c r="AR186" s="313"/>
      <c r="AS186" s="313"/>
      <c r="AT186" s="313"/>
    </row>
    <row r="187" spans="11:46" ht="32.25" customHeight="1" x14ac:dyDescent="0.25">
      <c r="U187" s="537"/>
      <c r="V187" s="537"/>
      <c r="W187" s="537"/>
      <c r="X187" s="314" t="s">
        <v>33</v>
      </c>
      <c r="Y187" s="314" t="s">
        <v>66</v>
      </c>
      <c r="Z187" s="314" t="s">
        <v>67</v>
      </c>
      <c r="AA187" s="314" t="s">
        <v>624</v>
      </c>
      <c r="AB187" s="314" t="s">
        <v>625</v>
      </c>
      <c r="AC187" s="314" t="s">
        <v>33</v>
      </c>
      <c r="AD187" s="314" t="s">
        <v>66</v>
      </c>
      <c r="AE187" s="314" t="s">
        <v>224</v>
      </c>
      <c r="AH187" s="313"/>
      <c r="AI187" s="313"/>
      <c r="AJ187" s="313"/>
      <c r="AK187" s="313"/>
      <c r="AL187" s="313"/>
      <c r="AM187" s="313"/>
      <c r="AN187" s="313"/>
      <c r="AO187" s="313"/>
      <c r="AP187" s="215"/>
      <c r="AQ187" s="215"/>
      <c r="AR187" s="215"/>
      <c r="AS187" s="215"/>
      <c r="AT187" s="215"/>
    </row>
    <row r="188" spans="11:46" ht="19.5" customHeight="1" x14ac:dyDescent="0.25">
      <c r="U188" s="535" t="s">
        <v>626</v>
      </c>
      <c r="V188" s="315" t="str">
        <f>O117</f>
        <v>Esterco de galinha</v>
      </c>
      <c r="W188" s="316">
        <f>(VLOOKUP(V188,$V$100:$AB$179,2,0))</f>
        <v>0.25</v>
      </c>
      <c r="X188" s="316">
        <f>(VLOOKUP(V188,$V$100:$AB$179,3,0))</f>
        <v>3</v>
      </c>
      <c r="Y188" s="316">
        <f>(VLOOKUP(V188,$V$100:$AB$179,5,0))</f>
        <v>3</v>
      </c>
      <c r="Z188" s="316">
        <f>(VLOOKUP(V188,$V$100:$AB$179,7,0))</f>
        <v>2</v>
      </c>
      <c r="AA188" s="317">
        <v>0</v>
      </c>
      <c r="AB188" s="317">
        <f>AA188*W188</f>
        <v>0</v>
      </c>
      <c r="AC188" s="317">
        <f>AA188*X188%</f>
        <v>0</v>
      </c>
      <c r="AD188" s="317">
        <f>AA188*Y188%</f>
        <v>0</v>
      </c>
      <c r="AE188" s="317">
        <f>AA188*Z188%</f>
        <v>0</v>
      </c>
      <c r="AH188" s="318"/>
      <c r="AI188" s="318"/>
      <c r="AJ188" s="318"/>
      <c r="AK188" s="318"/>
      <c r="AL188" s="318"/>
      <c r="AM188" s="318"/>
      <c r="AN188" s="318"/>
      <c r="AO188" s="318"/>
      <c r="AP188" s="215"/>
      <c r="AQ188" s="215"/>
      <c r="AR188" s="215"/>
      <c r="AS188" s="215"/>
      <c r="AT188" s="215"/>
    </row>
    <row r="189" spans="11:46" ht="19.5" customHeight="1" x14ac:dyDescent="0.25">
      <c r="U189" s="535"/>
      <c r="V189" s="315" t="str">
        <f t="shared" ref="V189:V214" si="18">O118</f>
        <v>Esterco de gado</v>
      </c>
      <c r="W189" s="316">
        <f t="shared" ref="W189:W214" si="19">(VLOOKUP(V189,$V$100:$AB$179,2,0))</f>
        <v>0.25</v>
      </c>
      <c r="X189" s="316">
        <f t="shared" ref="X189:X214" si="20">(VLOOKUP(V189,$V$100:$AB$179,3,0))</f>
        <v>1</v>
      </c>
      <c r="Y189" s="316">
        <f t="shared" ref="Y189:Y214" si="21">(VLOOKUP(V189,$V$100:$AB$179,5,0))</f>
        <v>1</v>
      </c>
      <c r="Z189" s="316">
        <f t="shared" ref="Z189:Z214" si="22">(VLOOKUP(V189,$V$100:$AB$179,7,0))</f>
        <v>0.7</v>
      </c>
      <c r="AA189" s="317">
        <v>0</v>
      </c>
      <c r="AB189" s="317">
        <f t="shared" ref="AB189:AB214" si="23">AA189*W189</f>
        <v>0</v>
      </c>
      <c r="AC189" s="317">
        <f t="shared" ref="AC189:AC214" si="24">AA189*X189%</f>
        <v>0</v>
      </c>
      <c r="AD189" s="317">
        <f t="shared" ref="AD189:AD214" si="25">AA189*Y189%</f>
        <v>0</v>
      </c>
      <c r="AE189" s="317">
        <f t="shared" ref="AE189:AE214" si="26">AA189*Z189%</f>
        <v>0</v>
      </c>
      <c r="AH189" s="318"/>
      <c r="AI189" s="318"/>
      <c r="AJ189" s="318"/>
      <c r="AK189" s="318"/>
      <c r="AL189" s="318"/>
      <c r="AM189" s="318"/>
      <c r="AN189" s="318"/>
      <c r="AO189" s="318"/>
      <c r="AP189" s="215"/>
      <c r="AQ189" s="215"/>
      <c r="AR189" s="215"/>
      <c r="AS189" s="215"/>
      <c r="AT189" s="215"/>
    </row>
    <row r="190" spans="11:46" ht="19.5" customHeight="1" x14ac:dyDescent="0.25">
      <c r="U190" s="535"/>
      <c r="V190" s="315" t="str">
        <f t="shared" si="18"/>
        <v>Minhofertil (61 3361-6634)</v>
      </c>
      <c r="W190" s="316" t="e">
        <f t="shared" si="19"/>
        <v>#N/A</v>
      </c>
      <c r="X190" s="316" t="e">
        <f t="shared" si="20"/>
        <v>#N/A</v>
      </c>
      <c r="Y190" s="316" t="e">
        <f t="shared" si="21"/>
        <v>#N/A</v>
      </c>
      <c r="Z190" s="316" t="e">
        <f t="shared" si="22"/>
        <v>#N/A</v>
      </c>
      <c r="AA190" s="317">
        <v>5.6843418860808015E-14</v>
      </c>
      <c r="AB190" s="317" t="e">
        <f t="shared" si="23"/>
        <v>#N/A</v>
      </c>
      <c r="AC190" s="317" t="e">
        <f t="shared" si="24"/>
        <v>#N/A</v>
      </c>
      <c r="AD190" s="317" t="e">
        <f t="shared" si="25"/>
        <v>#N/A</v>
      </c>
      <c r="AE190" s="317" t="e">
        <f t="shared" si="26"/>
        <v>#N/A</v>
      </c>
      <c r="AH190" s="318"/>
      <c r="AI190" s="318"/>
      <c r="AJ190" s="318"/>
      <c r="AK190" s="318"/>
      <c r="AL190" s="318"/>
      <c r="AM190" s="318"/>
      <c r="AN190" s="318"/>
      <c r="AO190" s="318"/>
      <c r="AP190" s="215"/>
      <c r="AQ190" s="215"/>
      <c r="AR190" s="215"/>
      <c r="AS190" s="215"/>
      <c r="AT190" s="215"/>
    </row>
    <row r="191" spans="11:46" ht="19.5" customHeight="1" x14ac:dyDescent="0.25">
      <c r="U191" s="535"/>
      <c r="V191" s="315" t="str">
        <f t="shared" si="18"/>
        <v>Composto ORGANICS (062 3247-3100)</v>
      </c>
      <c r="W191" s="316" t="e">
        <f t="shared" si="19"/>
        <v>#N/A</v>
      </c>
      <c r="X191" s="316" t="e">
        <f t="shared" si="20"/>
        <v>#N/A</v>
      </c>
      <c r="Y191" s="316" t="e">
        <f t="shared" si="21"/>
        <v>#N/A</v>
      </c>
      <c r="Z191" s="316" t="e">
        <f t="shared" si="22"/>
        <v>#N/A</v>
      </c>
      <c r="AA191" s="317">
        <v>3.6785727068673189</v>
      </c>
      <c r="AB191" s="317" t="e">
        <f t="shared" si="23"/>
        <v>#N/A</v>
      </c>
      <c r="AC191" s="317" t="e">
        <f t="shared" si="24"/>
        <v>#N/A</v>
      </c>
      <c r="AD191" s="317" t="e">
        <f t="shared" si="25"/>
        <v>#N/A</v>
      </c>
      <c r="AE191" s="317" t="e">
        <f t="shared" si="26"/>
        <v>#N/A</v>
      </c>
      <c r="AH191" s="318"/>
      <c r="AI191" s="318"/>
      <c r="AJ191" s="318"/>
      <c r="AK191" s="318"/>
      <c r="AL191" s="318"/>
      <c r="AM191" s="318"/>
      <c r="AN191" s="318"/>
      <c r="AO191" s="318"/>
      <c r="AP191" s="215"/>
      <c r="AQ191" s="215"/>
      <c r="AR191" s="215"/>
      <c r="AS191" s="215"/>
      <c r="AT191" s="215"/>
    </row>
    <row r="192" spans="11:46" ht="19.5" customHeight="1" x14ac:dyDescent="0.25">
      <c r="U192" s="535"/>
      <c r="V192" s="315" t="str">
        <f t="shared" si="18"/>
        <v>Composto Bioforte BONASA (061 9 9967-0863)</v>
      </c>
      <c r="W192" s="316" t="e">
        <f t="shared" si="19"/>
        <v>#N/A</v>
      </c>
      <c r="X192" s="316" t="e">
        <f t="shared" si="20"/>
        <v>#N/A</v>
      </c>
      <c r="Y192" s="316" t="e">
        <f t="shared" si="21"/>
        <v>#N/A</v>
      </c>
      <c r="Z192" s="316" t="e">
        <f t="shared" si="22"/>
        <v>#N/A</v>
      </c>
      <c r="AA192" s="317">
        <v>0</v>
      </c>
      <c r="AB192" s="317" t="e">
        <f t="shared" si="23"/>
        <v>#N/A</v>
      </c>
      <c r="AC192" s="317" t="e">
        <f t="shared" si="24"/>
        <v>#N/A</v>
      </c>
      <c r="AD192" s="317" t="e">
        <f t="shared" si="25"/>
        <v>#N/A</v>
      </c>
      <c r="AE192" s="317" t="e">
        <f t="shared" si="26"/>
        <v>#N/A</v>
      </c>
      <c r="AH192" s="318"/>
      <c r="AI192" s="318"/>
      <c r="AJ192" s="318"/>
      <c r="AK192" s="318"/>
      <c r="AL192" s="318"/>
      <c r="AM192" s="318"/>
      <c r="AN192" s="318"/>
      <c r="AO192" s="318"/>
      <c r="AP192" s="215"/>
      <c r="AQ192" s="215"/>
      <c r="AR192" s="215"/>
      <c r="AS192" s="215"/>
      <c r="AT192" s="215"/>
    </row>
    <row r="193" spans="21:46" ht="19.5" customHeight="1" x14ac:dyDescent="0.25">
      <c r="U193" s="535"/>
      <c r="V193" s="315" t="str">
        <f t="shared" si="18"/>
        <v>Composto Bioensima BONASA (061 9 9967-0863)</v>
      </c>
      <c r="W193" s="316" t="e">
        <f t="shared" si="19"/>
        <v>#N/A</v>
      </c>
      <c r="X193" s="316" t="e">
        <f t="shared" si="20"/>
        <v>#N/A</v>
      </c>
      <c r="Y193" s="316" t="e">
        <f t="shared" si="21"/>
        <v>#N/A</v>
      </c>
      <c r="Z193" s="316" t="e">
        <f t="shared" si="22"/>
        <v>#N/A</v>
      </c>
      <c r="AA193" s="317">
        <v>35416.666628886451</v>
      </c>
      <c r="AB193" s="317" t="e">
        <f t="shared" si="23"/>
        <v>#N/A</v>
      </c>
      <c r="AC193" s="317" t="e">
        <f t="shared" si="24"/>
        <v>#N/A</v>
      </c>
      <c r="AD193" s="317" t="e">
        <f t="shared" si="25"/>
        <v>#N/A</v>
      </c>
      <c r="AE193" s="317" t="e">
        <f t="shared" si="26"/>
        <v>#N/A</v>
      </c>
      <c r="AH193" s="318"/>
      <c r="AI193" s="318"/>
      <c r="AJ193" s="318"/>
      <c r="AK193" s="318"/>
      <c r="AL193" s="318"/>
      <c r="AM193" s="318"/>
      <c r="AN193" s="318"/>
      <c r="AO193" s="318"/>
      <c r="AP193" s="215"/>
      <c r="AQ193" s="215"/>
      <c r="AR193" s="215"/>
      <c r="AS193" s="215"/>
      <c r="AT193" s="215"/>
    </row>
    <row r="194" spans="21:46" ht="19.5" customHeight="1" x14ac:dyDescent="0.25">
      <c r="U194" s="535"/>
      <c r="V194" s="315" t="str">
        <f t="shared" si="18"/>
        <v>Bokashi Carlos (061 9 9681-3730)</v>
      </c>
      <c r="W194" s="316" t="e">
        <f t="shared" si="19"/>
        <v>#N/A</v>
      </c>
      <c r="X194" s="316" t="e">
        <f t="shared" si="20"/>
        <v>#N/A</v>
      </c>
      <c r="Y194" s="316" t="e">
        <f t="shared" si="21"/>
        <v>#N/A</v>
      </c>
      <c r="Z194" s="316" t="e">
        <f t="shared" si="22"/>
        <v>#N/A</v>
      </c>
      <c r="AA194" s="317">
        <v>4547.0477514809891</v>
      </c>
      <c r="AB194" s="317" t="e">
        <f t="shared" si="23"/>
        <v>#N/A</v>
      </c>
      <c r="AC194" s="317" t="e">
        <f t="shared" si="24"/>
        <v>#N/A</v>
      </c>
      <c r="AD194" s="317" t="e">
        <f t="shared" si="25"/>
        <v>#N/A</v>
      </c>
      <c r="AE194" s="317" t="e">
        <f t="shared" si="26"/>
        <v>#N/A</v>
      </c>
      <c r="AH194" s="318"/>
      <c r="AI194" s="318"/>
      <c r="AJ194" s="318"/>
      <c r="AK194" s="318"/>
      <c r="AL194" s="318"/>
      <c r="AM194" s="318"/>
      <c r="AN194" s="318"/>
      <c r="AO194" s="318"/>
      <c r="AP194" s="215"/>
      <c r="AQ194" s="215"/>
      <c r="AR194" s="215"/>
      <c r="AS194" s="215"/>
      <c r="AT194" s="215"/>
    </row>
    <row r="195" spans="21:46" ht="19.5" customHeight="1" x14ac:dyDescent="0.25">
      <c r="U195" s="535"/>
      <c r="V195" s="315" t="str">
        <f t="shared" si="18"/>
        <v>Bokashi Valdemar (9 9811-2414)</v>
      </c>
      <c r="W195" s="316" t="e">
        <f t="shared" si="19"/>
        <v>#N/A</v>
      </c>
      <c r="X195" s="316" t="e">
        <f t="shared" si="20"/>
        <v>#N/A</v>
      </c>
      <c r="Y195" s="316" t="e">
        <f t="shared" si="21"/>
        <v>#N/A</v>
      </c>
      <c r="Z195" s="316" t="e">
        <f t="shared" si="22"/>
        <v>#N/A</v>
      </c>
      <c r="AA195" s="317">
        <v>5108.9959152090014</v>
      </c>
      <c r="AB195" s="317" t="e">
        <f t="shared" si="23"/>
        <v>#N/A</v>
      </c>
      <c r="AC195" s="317" t="e">
        <f t="shared" si="24"/>
        <v>#N/A</v>
      </c>
      <c r="AD195" s="317" t="e">
        <f t="shared" si="25"/>
        <v>#N/A</v>
      </c>
      <c r="AE195" s="317" t="e">
        <f t="shared" si="26"/>
        <v>#N/A</v>
      </c>
      <c r="AH195" s="318"/>
      <c r="AI195" s="318"/>
      <c r="AJ195" s="318"/>
      <c r="AK195" s="318"/>
      <c r="AL195" s="318"/>
      <c r="AM195" s="318"/>
      <c r="AN195" s="318"/>
      <c r="AO195" s="318"/>
      <c r="AP195" s="215"/>
      <c r="AQ195" s="215"/>
      <c r="AR195" s="215"/>
      <c r="AS195" s="215"/>
      <c r="AT195" s="215"/>
    </row>
    <row r="196" spans="21:46" ht="19.5" customHeight="1" x14ac:dyDescent="0.25">
      <c r="U196" s="535"/>
      <c r="V196" s="315" t="str">
        <f t="shared" si="18"/>
        <v>Biobokashi Farelado FERTIBIO (61 9827-4439)</v>
      </c>
      <c r="W196" s="316" t="e">
        <f t="shared" si="19"/>
        <v>#N/A</v>
      </c>
      <c r="X196" s="316" t="e">
        <f t="shared" si="20"/>
        <v>#N/A</v>
      </c>
      <c r="Y196" s="316" t="e">
        <f t="shared" si="21"/>
        <v>#N/A</v>
      </c>
      <c r="Z196" s="316" t="e">
        <f t="shared" si="22"/>
        <v>#N/A</v>
      </c>
      <c r="AA196" s="317">
        <v>0</v>
      </c>
      <c r="AB196" s="317" t="e">
        <f t="shared" si="23"/>
        <v>#N/A</v>
      </c>
      <c r="AC196" s="317" t="e">
        <f t="shared" si="24"/>
        <v>#N/A</v>
      </c>
      <c r="AD196" s="317" t="e">
        <f t="shared" si="25"/>
        <v>#N/A</v>
      </c>
      <c r="AE196" s="317" t="e">
        <f t="shared" si="26"/>
        <v>#N/A</v>
      </c>
      <c r="AH196" s="318"/>
      <c r="AI196" s="318"/>
      <c r="AJ196" s="318"/>
      <c r="AK196" s="318"/>
      <c r="AL196" s="318"/>
      <c r="AM196" s="318"/>
      <c r="AN196" s="318"/>
      <c r="AO196" s="318"/>
      <c r="AP196" s="215"/>
      <c r="AQ196" s="215"/>
      <c r="AR196" s="215"/>
      <c r="AS196" s="215"/>
      <c r="AT196" s="215"/>
    </row>
    <row r="197" spans="21:46" ht="19.5" customHeight="1" x14ac:dyDescent="0.25">
      <c r="U197" s="535"/>
      <c r="V197" s="315" t="str">
        <f t="shared" si="18"/>
        <v>Torta de mamona Super thorg (061 9 9827-4439)</v>
      </c>
      <c r="W197" s="316" t="e">
        <f t="shared" si="19"/>
        <v>#N/A</v>
      </c>
      <c r="X197" s="316" t="e">
        <f t="shared" si="20"/>
        <v>#N/A</v>
      </c>
      <c r="Y197" s="316" t="e">
        <f t="shared" si="21"/>
        <v>#N/A</v>
      </c>
      <c r="Z197" s="316" t="e">
        <f t="shared" si="22"/>
        <v>#N/A</v>
      </c>
      <c r="AA197" s="317">
        <v>-7.1054273576010019E-15</v>
      </c>
      <c r="AB197" s="317" t="e">
        <f t="shared" si="23"/>
        <v>#N/A</v>
      </c>
      <c r="AC197" s="317" t="e">
        <f t="shared" si="24"/>
        <v>#N/A</v>
      </c>
      <c r="AD197" s="317" t="e">
        <f t="shared" si="25"/>
        <v>#N/A</v>
      </c>
      <c r="AE197" s="317" t="e">
        <f t="shared" si="26"/>
        <v>#N/A</v>
      </c>
      <c r="AH197" s="318"/>
      <c r="AI197" s="318"/>
      <c r="AJ197" s="318"/>
      <c r="AK197" s="318"/>
      <c r="AL197" s="318"/>
      <c r="AM197" s="318"/>
      <c r="AN197" s="318"/>
      <c r="AO197" s="318"/>
      <c r="AP197" s="215"/>
      <c r="AQ197" s="215"/>
      <c r="AR197" s="215"/>
      <c r="AS197" s="215"/>
      <c r="AT197" s="215"/>
    </row>
    <row r="198" spans="21:46" ht="19.5" customHeight="1" x14ac:dyDescent="0.25">
      <c r="U198" s="535"/>
      <c r="V198" s="315" t="str">
        <f t="shared" si="18"/>
        <v>Torta de mamona Nutrisafra (062 3310-8133)</v>
      </c>
      <c r="W198" s="316" t="e">
        <f t="shared" si="19"/>
        <v>#N/A</v>
      </c>
      <c r="X198" s="316" t="e">
        <f t="shared" si="20"/>
        <v>#N/A</v>
      </c>
      <c r="Y198" s="316" t="e">
        <f t="shared" si="21"/>
        <v>#N/A</v>
      </c>
      <c r="Z198" s="316" t="e">
        <f t="shared" si="22"/>
        <v>#N/A</v>
      </c>
      <c r="AA198" s="317">
        <v>0</v>
      </c>
      <c r="AB198" s="317" t="e">
        <f t="shared" si="23"/>
        <v>#N/A</v>
      </c>
      <c r="AC198" s="317" t="e">
        <f t="shared" si="24"/>
        <v>#N/A</v>
      </c>
      <c r="AD198" s="317" t="e">
        <f t="shared" si="25"/>
        <v>#N/A</v>
      </c>
      <c r="AE198" s="317" t="e">
        <f t="shared" si="26"/>
        <v>#N/A</v>
      </c>
      <c r="AH198" s="318"/>
      <c r="AI198" s="318"/>
      <c r="AJ198" s="318"/>
      <c r="AK198" s="318"/>
      <c r="AL198" s="318"/>
      <c r="AM198" s="318"/>
      <c r="AN198" s="318"/>
      <c r="AO198" s="318"/>
      <c r="AP198" s="215"/>
      <c r="AQ198" s="215"/>
      <c r="AR198" s="215"/>
      <c r="AS198" s="215"/>
      <c r="AT198" s="215"/>
    </row>
    <row r="199" spans="21:46" ht="19.5" customHeight="1" x14ac:dyDescent="0.25">
      <c r="U199" s="535"/>
      <c r="V199" s="315" t="str">
        <f t="shared" si="18"/>
        <v>Torta de mamona Vitaplan (061 3234-8485)</v>
      </c>
      <c r="W199" s="316" t="e">
        <f t="shared" si="19"/>
        <v>#N/A</v>
      </c>
      <c r="X199" s="316" t="e">
        <f t="shared" si="20"/>
        <v>#N/A</v>
      </c>
      <c r="Y199" s="316" t="e">
        <f t="shared" si="21"/>
        <v>#N/A</v>
      </c>
      <c r="Z199" s="316" t="e">
        <f t="shared" si="22"/>
        <v>#N/A</v>
      </c>
      <c r="AA199" s="317">
        <v>1.1368683772161603E-13</v>
      </c>
      <c r="AB199" s="317" t="e">
        <f t="shared" si="23"/>
        <v>#N/A</v>
      </c>
      <c r="AC199" s="317" t="e">
        <f t="shared" si="24"/>
        <v>#N/A</v>
      </c>
      <c r="AD199" s="317" t="e">
        <f t="shared" si="25"/>
        <v>#N/A</v>
      </c>
      <c r="AE199" s="317" t="e">
        <f t="shared" si="26"/>
        <v>#N/A</v>
      </c>
      <c r="AH199" s="318"/>
      <c r="AI199" s="318"/>
      <c r="AJ199" s="318"/>
      <c r="AK199" s="318"/>
      <c r="AL199" s="318"/>
      <c r="AM199" s="318"/>
      <c r="AN199" s="318"/>
      <c r="AO199" s="318"/>
      <c r="AP199" s="215"/>
      <c r="AQ199" s="215"/>
      <c r="AR199" s="215"/>
      <c r="AS199" s="215"/>
      <c r="AT199" s="215"/>
    </row>
    <row r="200" spans="21:46" ht="19.5" customHeight="1" x14ac:dyDescent="0.25">
      <c r="U200" s="535"/>
      <c r="V200" s="315" t="str">
        <f t="shared" si="18"/>
        <v>Farinha de osso</v>
      </c>
      <c r="W200" s="316">
        <f t="shared" si="19"/>
        <v>0</v>
      </c>
      <c r="X200" s="316">
        <f t="shared" si="20"/>
        <v>0</v>
      </c>
      <c r="Y200" s="316">
        <f t="shared" si="21"/>
        <v>42</v>
      </c>
      <c r="Z200" s="316">
        <f t="shared" si="22"/>
        <v>0</v>
      </c>
      <c r="AA200" s="317">
        <v>0</v>
      </c>
      <c r="AB200" s="317">
        <f t="shared" si="23"/>
        <v>0</v>
      </c>
      <c r="AC200" s="317">
        <f t="shared" si="24"/>
        <v>0</v>
      </c>
      <c r="AD200" s="317">
        <f t="shared" si="25"/>
        <v>0</v>
      </c>
      <c r="AE200" s="317">
        <f t="shared" si="26"/>
        <v>0</v>
      </c>
      <c r="AH200" s="318"/>
      <c r="AI200" s="318"/>
      <c r="AJ200" s="318"/>
      <c r="AK200" s="318"/>
      <c r="AL200" s="318"/>
      <c r="AM200" s="318"/>
      <c r="AN200" s="318"/>
      <c r="AO200" s="318"/>
      <c r="AP200" s="215"/>
      <c r="AQ200" s="215"/>
      <c r="AR200" s="215"/>
      <c r="AS200" s="215"/>
      <c r="AT200" s="215"/>
    </row>
    <row r="201" spans="21:46" ht="19.5" customHeight="1" x14ac:dyDescent="0.2">
      <c r="U201" s="535"/>
      <c r="V201" s="315" t="str">
        <f t="shared" si="18"/>
        <v>Termofosfato YOORIN</v>
      </c>
      <c r="W201" s="316">
        <f t="shared" si="19"/>
        <v>2.3250000000000002</v>
      </c>
      <c r="X201" s="316">
        <f t="shared" si="20"/>
        <v>0</v>
      </c>
      <c r="Y201" s="316">
        <f t="shared" si="21"/>
        <v>17.5</v>
      </c>
      <c r="Z201" s="316">
        <f t="shared" si="22"/>
        <v>0</v>
      </c>
      <c r="AA201" s="317">
        <v>0</v>
      </c>
      <c r="AB201" s="317">
        <f t="shared" si="23"/>
        <v>0</v>
      </c>
      <c r="AC201" s="317">
        <f t="shared" si="24"/>
        <v>0</v>
      </c>
      <c r="AD201" s="317">
        <f t="shared" si="25"/>
        <v>0</v>
      </c>
      <c r="AE201" s="317">
        <f t="shared" si="26"/>
        <v>0</v>
      </c>
      <c r="AH201" s="319"/>
      <c r="AI201" s="319"/>
      <c r="AJ201" s="319"/>
      <c r="AK201" s="319"/>
      <c r="AL201" s="319"/>
      <c r="AM201" s="319"/>
      <c r="AN201" s="319"/>
      <c r="AO201" s="319"/>
      <c r="AP201" s="215"/>
      <c r="AQ201" s="215"/>
      <c r="AR201" s="215"/>
      <c r="AS201" s="215"/>
      <c r="AT201" s="215"/>
    </row>
    <row r="202" spans="21:46" ht="19.5" customHeight="1" x14ac:dyDescent="0.25">
      <c r="U202" s="535"/>
      <c r="V202" s="315" t="str">
        <f>O131</f>
        <v>Kmag</v>
      </c>
      <c r="W202" s="316">
        <f t="shared" si="19"/>
        <v>2.9</v>
      </c>
      <c r="X202" s="316">
        <f t="shared" si="20"/>
        <v>0</v>
      </c>
      <c r="Y202" s="316">
        <f t="shared" si="21"/>
        <v>0</v>
      </c>
      <c r="Z202" s="316">
        <f t="shared" si="22"/>
        <v>21</v>
      </c>
      <c r="AA202" s="317">
        <v>963.62433740756171</v>
      </c>
      <c r="AB202" s="317">
        <f t="shared" si="23"/>
        <v>2794.5105784819289</v>
      </c>
      <c r="AC202" s="317">
        <f t="shared" si="24"/>
        <v>0</v>
      </c>
      <c r="AD202" s="317">
        <f t="shared" si="25"/>
        <v>0</v>
      </c>
      <c r="AE202" s="317">
        <f t="shared" si="26"/>
        <v>202.36111085558795</v>
      </c>
    </row>
    <row r="203" spans="21:46" ht="19.5" customHeight="1" x14ac:dyDescent="0.25">
      <c r="U203" s="535"/>
      <c r="V203" s="315" t="str">
        <f t="shared" si="18"/>
        <v>Algas marinhas Algen</v>
      </c>
      <c r="W203" s="316">
        <f t="shared" si="19"/>
        <v>1.96</v>
      </c>
      <c r="X203" s="316">
        <f t="shared" si="20"/>
        <v>0</v>
      </c>
      <c r="Y203" s="316">
        <f t="shared" si="21"/>
        <v>0</v>
      </c>
      <c r="Z203" s="316">
        <f t="shared" si="22"/>
        <v>0</v>
      </c>
      <c r="AA203" s="317">
        <v>0</v>
      </c>
      <c r="AB203" s="317">
        <f t="shared" si="23"/>
        <v>0</v>
      </c>
      <c r="AC203" s="317">
        <f t="shared" si="24"/>
        <v>0</v>
      </c>
      <c r="AD203" s="317">
        <f t="shared" si="25"/>
        <v>0</v>
      </c>
      <c r="AE203" s="317">
        <f t="shared" si="26"/>
        <v>0</v>
      </c>
    </row>
    <row r="204" spans="21:46" ht="19.5" customHeight="1" x14ac:dyDescent="0.25">
      <c r="U204" s="535"/>
      <c r="V204" s="315" t="str">
        <f t="shared" si="18"/>
        <v>Torta de mamona Hortibraz</v>
      </c>
      <c r="W204" s="316" t="e">
        <f t="shared" si="19"/>
        <v>#N/A</v>
      </c>
      <c r="X204" s="316" t="e">
        <f t="shared" si="20"/>
        <v>#N/A</v>
      </c>
      <c r="Y204" s="316" t="e">
        <f t="shared" si="21"/>
        <v>#N/A</v>
      </c>
      <c r="Z204" s="316" t="e">
        <f t="shared" si="22"/>
        <v>#N/A</v>
      </c>
      <c r="AA204" s="317">
        <v>0</v>
      </c>
      <c r="AB204" s="317" t="e">
        <f t="shared" si="23"/>
        <v>#N/A</v>
      </c>
      <c r="AC204" s="317" t="e">
        <f t="shared" si="24"/>
        <v>#N/A</v>
      </c>
      <c r="AD204" s="317" t="e">
        <f t="shared" si="25"/>
        <v>#N/A</v>
      </c>
      <c r="AE204" s="317" t="e">
        <f t="shared" si="26"/>
        <v>#N/A</v>
      </c>
    </row>
    <row r="205" spans="21:46" ht="19.5" customHeight="1" x14ac:dyDescent="0.25">
      <c r="U205" s="535"/>
      <c r="V205" s="315">
        <f t="shared" si="18"/>
        <v>0</v>
      </c>
      <c r="W205" s="316">
        <f t="shared" si="19"/>
        <v>0</v>
      </c>
      <c r="X205" s="316">
        <f t="shared" si="20"/>
        <v>0</v>
      </c>
      <c r="Y205" s="316">
        <f t="shared" si="21"/>
        <v>0</v>
      </c>
      <c r="Z205" s="316">
        <f t="shared" si="22"/>
        <v>0</v>
      </c>
      <c r="AA205" s="317">
        <v>0</v>
      </c>
      <c r="AB205" s="317">
        <f t="shared" si="23"/>
        <v>0</v>
      </c>
      <c r="AC205" s="317">
        <f t="shared" si="24"/>
        <v>0</v>
      </c>
      <c r="AD205" s="317">
        <f t="shared" si="25"/>
        <v>0</v>
      </c>
      <c r="AE205" s="317">
        <f t="shared" si="26"/>
        <v>0</v>
      </c>
    </row>
    <row r="206" spans="21:46" ht="19.5" customHeight="1" x14ac:dyDescent="0.25">
      <c r="U206" s="535"/>
      <c r="V206" s="315">
        <f t="shared" si="18"/>
        <v>0</v>
      </c>
      <c r="W206" s="316">
        <f t="shared" si="19"/>
        <v>0</v>
      </c>
      <c r="X206" s="316">
        <f t="shared" si="20"/>
        <v>0</v>
      </c>
      <c r="Y206" s="316">
        <f t="shared" si="21"/>
        <v>0</v>
      </c>
      <c r="Z206" s="316">
        <f t="shared" si="22"/>
        <v>0</v>
      </c>
      <c r="AA206" s="317">
        <v>0</v>
      </c>
      <c r="AB206" s="317">
        <f t="shared" si="23"/>
        <v>0</v>
      </c>
      <c r="AC206" s="317">
        <f t="shared" si="24"/>
        <v>0</v>
      </c>
      <c r="AD206" s="317">
        <f t="shared" si="25"/>
        <v>0</v>
      </c>
      <c r="AE206" s="317">
        <f t="shared" si="26"/>
        <v>0</v>
      </c>
    </row>
    <row r="207" spans="21:46" ht="19.5" customHeight="1" x14ac:dyDescent="0.25">
      <c r="U207" s="535"/>
      <c r="V207" s="315">
        <f t="shared" si="18"/>
        <v>0</v>
      </c>
      <c r="W207" s="316">
        <f t="shared" si="19"/>
        <v>0</v>
      </c>
      <c r="X207" s="316">
        <f t="shared" si="20"/>
        <v>0</v>
      </c>
      <c r="Y207" s="316">
        <f t="shared" si="21"/>
        <v>0</v>
      </c>
      <c r="Z207" s="316">
        <f t="shared" si="22"/>
        <v>0</v>
      </c>
      <c r="AA207" s="317">
        <v>0</v>
      </c>
      <c r="AB207" s="317">
        <f t="shared" si="23"/>
        <v>0</v>
      </c>
      <c r="AC207" s="317">
        <f t="shared" si="24"/>
        <v>0</v>
      </c>
      <c r="AD207" s="317">
        <f t="shared" si="25"/>
        <v>0</v>
      </c>
      <c r="AE207" s="317">
        <f t="shared" si="26"/>
        <v>0</v>
      </c>
    </row>
    <row r="208" spans="21:46" ht="19.5" customHeight="1" x14ac:dyDescent="0.25">
      <c r="U208" s="535"/>
      <c r="V208" s="315">
        <f t="shared" si="18"/>
        <v>0</v>
      </c>
      <c r="W208" s="316">
        <f t="shared" si="19"/>
        <v>0</v>
      </c>
      <c r="X208" s="316">
        <f t="shared" si="20"/>
        <v>0</v>
      </c>
      <c r="Y208" s="316">
        <f t="shared" si="21"/>
        <v>0</v>
      </c>
      <c r="Z208" s="316">
        <f t="shared" si="22"/>
        <v>0</v>
      </c>
      <c r="AA208" s="317">
        <v>0</v>
      </c>
      <c r="AB208" s="317">
        <f t="shared" si="23"/>
        <v>0</v>
      </c>
      <c r="AC208" s="317">
        <f t="shared" si="24"/>
        <v>0</v>
      </c>
      <c r="AD208" s="317">
        <f t="shared" si="25"/>
        <v>0</v>
      </c>
      <c r="AE208" s="317">
        <f t="shared" si="26"/>
        <v>0</v>
      </c>
    </row>
    <row r="209" spans="21:31" ht="19.5" customHeight="1" x14ac:dyDescent="0.25">
      <c r="U209" s="535"/>
      <c r="V209" s="315">
        <f>O138</f>
        <v>0</v>
      </c>
      <c r="W209" s="316">
        <f t="shared" si="19"/>
        <v>0</v>
      </c>
      <c r="X209" s="316">
        <f t="shared" si="20"/>
        <v>0</v>
      </c>
      <c r="Y209" s="316">
        <f t="shared" si="21"/>
        <v>0</v>
      </c>
      <c r="Z209" s="316">
        <f t="shared" si="22"/>
        <v>0</v>
      </c>
      <c r="AA209" s="317">
        <v>0</v>
      </c>
      <c r="AB209" s="317">
        <f t="shared" si="23"/>
        <v>0</v>
      </c>
      <c r="AC209" s="317">
        <f t="shared" si="24"/>
        <v>0</v>
      </c>
      <c r="AD209" s="317">
        <f t="shared" si="25"/>
        <v>0</v>
      </c>
      <c r="AE209" s="317">
        <f t="shared" si="26"/>
        <v>0</v>
      </c>
    </row>
    <row r="210" spans="21:31" ht="19.5" customHeight="1" x14ac:dyDescent="0.25">
      <c r="U210" s="535"/>
      <c r="V210" s="315">
        <f t="shared" si="18"/>
        <v>0</v>
      </c>
      <c r="W210" s="316">
        <f t="shared" si="19"/>
        <v>0</v>
      </c>
      <c r="X210" s="316">
        <f t="shared" si="20"/>
        <v>0</v>
      </c>
      <c r="Y210" s="316">
        <f t="shared" si="21"/>
        <v>0</v>
      </c>
      <c r="Z210" s="316">
        <f t="shared" si="22"/>
        <v>0</v>
      </c>
      <c r="AA210" s="317">
        <v>0</v>
      </c>
      <c r="AB210" s="317">
        <f t="shared" si="23"/>
        <v>0</v>
      </c>
      <c r="AC210" s="317">
        <f t="shared" si="24"/>
        <v>0</v>
      </c>
      <c r="AD210" s="317">
        <f t="shared" si="25"/>
        <v>0</v>
      </c>
      <c r="AE210" s="317">
        <f t="shared" si="26"/>
        <v>0</v>
      </c>
    </row>
    <row r="211" spans="21:31" ht="19.5" customHeight="1" x14ac:dyDescent="0.25">
      <c r="U211" s="535"/>
      <c r="V211" s="315">
        <f t="shared" si="18"/>
        <v>0</v>
      </c>
      <c r="W211" s="316">
        <f t="shared" si="19"/>
        <v>0</v>
      </c>
      <c r="X211" s="316">
        <f t="shared" si="20"/>
        <v>0</v>
      </c>
      <c r="Y211" s="316">
        <f t="shared" si="21"/>
        <v>0</v>
      </c>
      <c r="Z211" s="316">
        <f t="shared" si="22"/>
        <v>0</v>
      </c>
      <c r="AA211" s="317">
        <v>0</v>
      </c>
      <c r="AB211" s="317">
        <f t="shared" si="23"/>
        <v>0</v>
      </c>
      <c r="AC211" s="317">
        <f t="shared" si="24"/>
        <v>0</v>
      </c>
      <c r="AD211" s="317">
        <f t="shared" si="25"/>
        <v>0</v>
      </c>
      <c r="AE211" s="317">
        <f t="shared" si="26"/>
        <v>0</v>
      </c>
    </row>
    <row r="212" spans="21:31" ht="19.5" customHeight="1" x14ac:dyDescent="0.25">
      <c r="U212" s="535"/>
      <c r="V212" s="315">
        <f t="shared" si="18"/>
        <v>0</v>
      </c>
      <c r="W212" s="316">
        <f t="shared" si="19"/>
        <v>0</v>
      </c>
      <c r="X212" s="316">
        <f t="shared" si="20"/>
        <v>0</v>
      </c>
      <c r="Y212" s="316">
        <f t="shared" si="21"/>
        <v>0</v>
      </c>
      <c r="Z212" s="316">
        <f t="shared" si="22"/>
        <v>0</v>
      </c>
      <c r="AA212" s="317">
        <v>0</v>
      </c>
      <c r="AB212" s="317">
        <f t="shared" si="23"/>
        <v>0</v>
      </c>
      <c r="AC212" s="317">
        <f t="shared" si="24"/>
        <v>0</v>
      </c>
      <c r="AD212" s="317">
        <f t="shared" si="25"/>
        <v>0</v>
      </c>
      <c r="AE212" s="317">
        <f t="shared" si="26"/>
        <v>0</v>
      </c>
    </row>
    <row r="213" spans="21:31" ht="19.5" customHeight="1" x14ac:dyDescent="0.25">
      <c r="U213" s="535"/>
      <c r="V213" s="315">
        <f>O142</f>
        <v>0</v>
      </c>
      <c r="W213" s="316">
        <f t="shared" si="19"/>
        <v>0</v>
      </c>
      <c r="X213" s="316">
        <f t="shared" si="20"/>
        <v>0</v>
      </c>
      <c r="Y213" s="316">
        <f t="shared" si="21"/>
        <v>0</v>
      </c>
      <c r="Z213" s="316">
        <f t="shared" si="22"/>
        <v>0</v>
      </c>
      <c r="AA213" s="317">
        <v>0</v>
      </c>
      <c r="AB213" s="317">
        <f t="shared" si="23"/>
        <v>0</v>
      </c>
      <c r="AC213" s="317">
        <f t="shared" si="24"/>
        <v>0</v>
      </c>
      <c r="AD213" s="317">
        <f t="shared" si="25"/>
        <v>0</v>
      </c>
      <c r="AE213" s="317">
        <f t="shared" si="26"/>
        <v>0</v>
      </c>
    </row>
    <row r="214" spans="21:31" ht="19.5" customHeight="1" x14ac:dyDescent="0.25">
      <c r="U214" s="535"/>
      <c r="V214" s="315">
        <f t="shared" si="18"/>
        <v>0</v>
      </c>
      <c r="W214" s="316">
        <f t="shared" si="19"/>
        <v>0</v>
      </c>
      <c r="X214" s="316">
        <f t="shared" si="20"/>
        <v>0</v>
      </c>
      <c r="Y214" s="316">
        <f t="shared" si="21"/>
        <v>0</v>
      </c>
      <c r="Z214" s="316">
        <f t="shared" si="22"/>
        <v>0</v>
      </c>
      <c r="AA214" s="317">
        <v>0</v>
      </c>
      <c r="AB214" s="317">
        <f t="shared" si="23"/>
        <v>0</v>
      </c>
      <c r="AC214" s="317">
        <f t="shared" si="24"/>
        <v>0</v>
      </c>
      <c r="AD214" s="317">
        <f t="shared" si="25"/>
        <v>0</v>
      </c>
      <c r="AE214" s="317">
        <f t="shared" si="26"/>
        <v>0</v>
      </c>
    </row>
    <row r="215" spans="21:31" ht="19.5" customHeight="1" x14ac:dyDescent="0.2">
      <c r="AA215" s="320">
        <f>SUM(AA188:AA214)</f>
        <v>46040.013205690877</v>
      </c>
      <c r="AB215" s="320" t="e">
        <f>SUM(AB188:AB214)</f>
        <v>#N/A</v>
      </c>
      <c r="AC215" s="320" t="e">
        <f t="shared" ref="AC215:AE215" si="27">SUM(AC188:AC214)</f>
        <v>#N/A</v>
      </c>
      <c r="AD215" s="320" t="e">
        <f t="shared" si="27"/>
        <v>#N/A</v>
      </c>
      <c r="AE215" s="320" t="e">
        <f t="shared" si="27"/>
        <v>#N/A</v>
      </c>
    </row>
    <row r="220" spans="21:31" ht="19.5" customHeight="1" x14ac:dyDescent="0.25">
      <c r="AD220" s="23" t="s">
        <v>33</v>
      </c>
      <c r="AE220" s="23">
        <v>126</v>
      </c>
    </row>
    <row r="221" spans="21:31" ht="19.5" customHeight="1" x14ac:dyDescent="0.25">
      <c r="AD221" s="23" t="s">
        <v>66</v>
      </c>
      <c r="AE221" s="23">
        <v>108</v>
      </c>
    </row>
    <row r="222" spans="21:31" ht="19.5" customHeight="1" x14ac:dyDescent="0.25">
      <c r="AD222" s="23" t="s">
        <v>67</v>
      </c>
      <c r="AE222" s="23">
        <v>144</v>
      </c>
    </row>
  </sheetData>
  <mergeCells count="289">
    <mergeCell ref="AQ4:AR5"/>
    <mergeCell ref="AV4:AV5"/>
    <mergeCell ref="V6:X6"/>
    <mergeCell ref="AQ6:AR6"/>
    <mergeCell ref="Z7:AB7"/>
    <mergeCell ref="AF7:AM7"/>
    <mergeCell ref="AQ7:AR7"/>
    <mergeCell ref="M2:R2"/>
    <mergeCell ref="U3:X5"/>
    <mergeCell ref="Y3:AD6"/>
    <mergeCell ref="M4:N25"/>
    <mergeCell ref="O4:P4"/>
    <mergeCell ref="AP4:AP5"/>
    <mergeCell ref="AD8:AD11"/>
    <mergeCell ref="AG8:AH8"/>
    <mergeCell ref="AI8:AJ8"/>
    <mergeCell ref="AM18:AM20"/>
    <mergeCell ref="AQ8:AR8"/>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AF15:AF17"/>
    <mergeCell ref="AJ15:AJ17"/>
    <mergeCell ref="AK15:AK17"/>
    <mergeCell ref="AL15:AL17"/>
    <mergeCell ref="AM15:AM17"/>
    <mergeCell ref="B16:I16"/>
    <mergeCell ref="AP16:AP17"/>
    <mergeCell ref="AQ18:AR18"/>
    <mergeCell ref="AQ19:AR19"/>
    <mergeCell ref="B20:E20"/>
    <mergeCell ref="V20:X20"/>
    <mergeCell ref="AQ20:AR20"/>
    <mergeCell ref="Z21:AB21"/>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AQ35:AR35"/>
    <mergeCell ref="M36:R36"/>
    <mergeCell ref="AB36:AC36"/>
    <mergeCell ref="AQ36:AR36"/>
    <mergeCell ref="B30:C31"/>
    <mergeCell ref="E30:G30"/>
    <mergeCell ref="AQ30:AR30"/>
    <mergeCell ref="E31:G31"/>
    <mergeCell ref="O31:Q31"/>
    <mergeCell ref="AQ31:AR31"/>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AP43:AQ43"/>
    <mergeCell ref="B44:I44"/>
    <mergeCell ref="M44:R44"/>
    <mergeCell ref="AP44:AQ44"/>
    <mergeCell ref="B45:C46"/>
    <mergeCell ref="E45:G45"/>
    <mergeCell ref="O45:Q46"/>
    <mergeCell ref="U45:V45"/>
    <mergeCell ref="X45:Z45"/>
    <mergeCell ref="E46:G46"/>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B60:C61"/>
    <mergeCell ref="E60:G60"/>
    <mergeCell ref="O60:Q60"/>
    <mergeCell ref="E61:G61"/>
    <mergeCell ref="O62:Q62"/>
    <mergeCell ref="B63:C64"/>
    <mergeCell ref="E63:G63"/>
    <mergeCell ref="E64:G64"/>
    <mergeCell ref="B57:C58"/>
    <mergeCell ref="E57:G57"/>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W71:W72"/>
    <mergeCell ref="X71:Z71"/>
    <mergeCell ref="B72:C73"/>
    <mergeCell ref="E72:G72"/>
    <mergeCell ref="O72:P72"/>
    <mergeCell ref="E73:G73"/>
    <mergeCell ref="O73:P73"/>
    <mergeCell ref="U73:U82"/>
    <mergeCell ref="B75:I78"/>
    <mergeCell ref="O75:Q75"/>
    <mergeCell ref="O83:Q83"/>
    <mergeCell ref="B85:C86"/>
    <mergeCell ref="E85:G85"/>
    <mergeCell ref="O85:Q85"/>
    <mergeCell ref="U85:U86"/>
    <mergeCell ref="V85:V86"/>
    <mergeCell ref="O77:Q77"/>
    <mergeCell ref="O78:Q78"/>
    <mergeCell ref="O79:P79"/>
    <mergeCell ref="B80:I80"/>
    <mergeCell ref="O80:P80"/>
    <mergeCell ref="O81:P81"/>
    <mergeCell ref="W85:W86"/>
    <mergeCell ref="X85:AE85"/>
    <mergeCell ref="E86:G86"/>
    <mergeCell ref="O86:Q86"/>
    <mergeCell ref="O87:P87"/>
    <mergeCell ref="U87:U95"/>
    <mergeCell ref="E88:G88"/>
    <mergeCell ref="O88:P88"/>
    <mergeCell ref="E89:G89"/>
    <mergeCell ref="O89:P89"/>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O137:P137"/>
    <mergeCell ref="O138:P138"/>
    <mergeCell ref="O139:P139"/>
    <mergeCell ref="O140:P140"/>
    <mergeCell ref="O141:P141"/>
    <mergeCell ref="O142:P142"/>
    <mergeCell ref="O128:P128"/>
    <mergeCell ref="O129:P129"/>
    <mergeCell ref="O130:P130"/>
    <mergeCell ref="O131:P131"/>
    <mergeCell ref="O132:P132"/>
    <mergeCell ref="O133:P133"/>
    <mergeCell ref="O134:P134"/>
    <mergeCell ref="O135:P135"/>
    <mergeCell ref="O136:P136"/>
    <mergeCell ref="U188:U21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U131:U150"/>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$AE$31:$AE$33</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L4" location="'Apresentação (1)'!A1" display="Voltar"/>
    <hyperlink ref="K10" location="'Abacate formação'!A1" display="Abacate - formação"/>
    <hyperlink ref="K12" location="'Abacaxi produção'!A1" display="Abacaxi - produção"/>
    <hyperlink ref="K13" location="'Acerola formação'!A1" display="Acerola - formação"/>
    <hyperlink ref="K14" location="'Acerola produção'!A1" display="Acerola - produção"/>
    <hyperlink ref="K15" location="'Banana formação'!A1" display="Banana - formação"/>
    <hyperlink ref="K16" location="'Banana produção'!A1" display="Banana - produção"/>
    <hyperlink ref="K17" location="'Laranja industria formação'!A1" display="Citros - formação"/>
    <hyperlink ref="K18" location="'Laranja industria produção'!A1" display="Citros - produção"/>
    <hyperlink ref="K21" location="'Goiaba formação'!A1" display="Goiaba - formação"/>
    <hyperlink ref="K22" location="'Goiaba produção'!A1" display="Goiaba - produção"/>
    <hyperlink ref="K23" location="'Graviola formação'!A1" display="Graviola - formação"/>
    <hyperlink ref="K24" location="'Graviola produção'!A1" display="Graviola -produção"/>
    <hyperlink ref="K26" location="'Mamão produção'!A1" display="Mamão - produção"/>
    <hyperlink ref="K27" location="'Manga formação'!A1" display="Manga - formação"/>
    <hyperlink ref="K28" location="'Manga produção'!A1" display="Manga - produção"/>
    <hyperlink ref="K30" location="'Maracujá produção'!A1" display="Maracujá - produção"/>
    <hyperlink ref="K6" location="'Análise de solo'!A1" display="Análise de solo"/>
    <hyperlink ref="K8" location="Espaçamentos!A1" display="Espaçamentos"/>
    <hyperlink ref="K7" location="'Análise foliar'!A1" display="Análise foliar"/>
    <hyperlink ref="K9" location="'Adubos e corretivos'!A1" display="Adubos e corretivos"/>
    <hyperlink ref="K11" location="'Abacate produção'!A1" display="Abacate - produção"/>
    <hyperlink ref="K32" location="'Pitaya produção'!A1" display="Pitaya - produção"/>
    <hyperlink ref="K31" location="'Pitaya formação'!A1" display="Pitaya - formação"/>
    <hyperlink ref="K29" location="'Maracujá formação'!A1" display="Maracujá - formação"/>
    <hyperlink ref="K19" location="'Limão e Lima formação'!A1" display="Laranja industria - formação"/>
    <hyperlink ref="K20" location="'Limão e Lima produção'!A1" display="Laranja industria - produção"/>
    <hyperlink ref="K25" location="'Mamão produção'!A1" display="Mamão - produção"/>
    <hyperlink ref="K34" location="'Laranja Tangerina mesa produção'!A1" display="Laranja e tangerinas - produção"/>
    <hyperlink ref="K33" location="'Laranja Tangerina mesa formação'!A1" display="Laranja e tangerinas - formação"/>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'[1]Adubos e corretivos'!#REF!</xm:f>
          </x14:formula1>
          <xm:sqref>O71:P73 O79:P81 O87:P89 O117:P143</xm:sqref>
        </x14:dataValidation>
        <x14:dataValidation type="list" allowBlank="1" showInputMessage="1" showErrorMessage="1">
          <x14:formula1>
            <xm:f>'[1]Adubos e corretivos'!#REF!</xm:f>
          </x14:formula1>
          <xm:sqref>O50:P50</xm:sqref>
        </x14:dataValidation>
        <x14:dataValidation type="list" allowBlank="1" showInputMessage="1" showErrorMessage="1">
          <x14:formula1>
            <xm:f>'[1]Adubos e corretivos'!#REF!</xm:f>
          </x14:formula1>
          <xm:sqref>O47:P47</xm:sqref>
        </x14:dataValidation>
        <x14:dataValidation type="list" allowBlank="1" showInputMessage="1" showErrorMessage="1">
          <x14:formula1>
            <xm:f>'[1]Adubos e corretivos'!#REF!</xm:f>
          </x14:formula1>
          <xm:sqref>O56:Q56</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L3" sqref="L3:L4"/>
    </sheetView>
  </sheetViews>
  <sheetFormatPr defaultRowHeight="19.5" customHeight="1" outlineLevelCol="1" x14ac:dyDescent="0.25"/>
  <cols>
    <col min="1" max="1" width="5.7109375" style="23" customWidth="1"/>
    <col min="2" max="2" width="37.28515625" style="23" customWidth="1"/>
    <col min="3" max="3" width="29.5703125" style="23" customWidth="1"/>
    <col min="4" max="4" width="21.7109375" style="23" bestFit="1" customWidth="1"/>
    <col min="5" max="7" width="16.7109375" style="23" customWidth="1"/>
    <col min="8" max="8" width="29.42578125" style="23" bestFit="1" customWidth="1"/>
    <col min="9" max="9" width="21.7109375" style="23" bestFit="1" customWidth="1"/>
    <col min="10" max="12" width="13" style="23" customWidth="1"/>
    <col min="13" max="13" width="36.5703125" style="23" customWidth="1"/>
    <col min="14" max="14" width="13.140625" style="23" bestFit="1" customWidth="1"/>
    <col min="15" max="15" width="29.7109375" style="23" customWidth="1"/>
    <col min="16" max="16" width="18.42578125" style="23" customWidth="1"/>
    <col min="17" max="17" width="49.140625" style="23" customWidth="1"/>
    <col min="18" max="18" width="8" style="23" customWidth="1"/>
    <col min="19" max="19" width="11.42578125" style="23" bestFit="1" customWidth="1"/>
    <col min="20" max="20" width="30.140625" style="23" hidden="1" customWidth="1" outlineLevel="1"/>
    <col min="21" max="21" width="43.42578125" style="23" hidden="1" customWidth="1" outlineLevel="1"/>
    <col min="22" max="22" width="65" style="23" hidden="1" customWidth="1" outlineLevel="1"/>
    <col min="23" max="23" width="21.28515625" style="23" hidden="1" customWidth="1" outlineLevel="1"/>
    <col min="24" max="24" width="27.42578125" style="23" hidden="1" customWidth="1" outlineLevel="1"/>
    <col min="25" max="25" width="22.42578125" style="23" hidden="1" customWidth="1" outlineLevel="1"/>
    <col min="26" max="26" width="22" style="23" hidden="1" customWidth="1" outlineLevel="1"/>
    <col min="27" max="27" width="16.85546875" style="23" hidden="1" customWidth="1" outlineLevel="1"/>
    <col min="28" max="28" width="21.5703125" style="23" hidden="1" customWidth="1" outlineLevel="1"/>
    <col min="29" max="29" width="16.85546875" style="23" hidden="1" customWidth="1" outlineLevel="1"/>
    <col min="30" max="30" width="24.42578125" style="23" hidden="1" customWidth="1" outlineLevel="1"/>
    <col min="31" max="31" width="36.140625" style="23" hidden="1" customWidth="1" outlineLevel="1"/>
    <col min="32" max="32" width="25.5703125" style="23" hidden="1" customWidth="1" outlineLevel="1"/>
    <col min="33" max="33" width="22" style="23" hidden="1" customWidth="1" outlineLevel="1"/>
    <col min="34" max="34" width="21.5703125" style="23" hidden="1" customWidth="1" outlineLevel="1"/>
    <col min="35" max="35" width="24.7109375" style="23" hidden="1" customWidth="1" outlineLevel="1"/>
    <col min="36" max="36" width="14.28515625" style="23" hidden="1" customWidth="1" outlineLevel="1"/>
    <col min="37" max="37" width="32.42578125" style="23" hidden="1" customWidth="1" outlineLevel="1"/>
    <col min="38" max="38" width="14.7109375" style="23" hidden="1" customWidth="1" outlineLevel="1"/>
    <col min="39" max="39" width="34.28515625" style="23" hidden="1" customWidth="1" outlineLevel="1"/>
    <col min="40" max="40" width="20.85546875" style="23" hidden="1" customWidth="1" outlineLevel="1"/>
    <col min="41" max="41" width="21.28515625" style="23" hidden="1" customWidth="1" outlineLevel="1"/>
    <col min="42" max="42" width="65" style="23" hidden="1" customWidth="1" outlineLevel="1"/>
    <col min="43" max="43" width="16.7109375" style="23" hidden="1" customWidth="1" outlineLevel="1"/>
    <col min="44" max="44" width="45.85546875" style="23" hidden="1" customWidth="1" outlineLevel="1"/>
    <col min="45" max="45" width="16.7109375" style="23" hidden="1" customWidth="1" outlineLevel="1"/>
    <col min="46" max="46" width="13.7109375" style="23" hidden="1" customWidth="1" outlineLevel="1"/>
    <col min="47" max="47" width="31.42578125" style="23" hidden="1" customWidth="1" outlineLevel="1"/>
    <col min="48" max="48" width="11.85546875" style="23" hidden="1" customWidth="1" outlineLevel="1"/>
    <col min="49" max="49" width="23.5703125" style="23" hidden="1" customWidth="1" outlineLevel="1"/>
    <col min="50" max="50" width="22.42578125" style="23" hidden="1" customWidth="1" outlineLevel="1"/>
    <col min="51" max="51" width="28.5703125" style="23" hidden="1" customWidth="1" outlineLevel="1"/>
    <col min="52" max="52" width="23" style="23" hidden="1" customWidth="1" outlineLevel="1"/>
    <col min="53" max="54" width="16.7109375" style="23" hidden="1" customWidth="1" outlineLevel="1"/>
    <col min="55" max="55" width="9.140625" style="23" hidden="1" customWidth="1" outlineLevel="1"/>
    <col min="56" max="56" width="9.140625" style="23" collapsed="1"/>
    <col min="57" max="16384" width="9.140625" style="23"/>
  </cols>
  <sheetData>
    <row r="1" spans="1:54" ht="19.5" customHeight="1" thickBot="1" x14ac:dyDescent="0.3"/>
    <row r="2" spans="1:54" ht="19.5" customHeight="1" thickBot="1" x14ac:dyDescent="0.3">
      <c r="M2" s="588" t="s">
        <v>271</v>
      </c>
      <c r="N2" s="589"/>
      <c r="O2" s="589"/>
      <c r="P2" s="589"/>
      <c r="Q2" s="589"/>
      <c r="R2" s="590"/>
      <c r="AO2" s="47"/>
      <c r="AP2" s="47"/>
      <c r="AQ2" s="47"/>
      <c r="AR2" s="47"/>
      <c r="AS2" s="47"/>
      <c r="AT2" s="47"/>
      <c r="AU2" s="47"/>
      <c r="AV2" s="47"/>
      <c r="AW2" s="47"/>
      <c r="AX2" s="47"/>
      <c r="AY2" s="47"/>
      <c r="AZ2" s="47"/>
      <c r="BA2" s="47"/>
      <c r="BB2" s="47"/>
    </row>
    <row r="3" spans="1:54" ht="19.5" customHeight="1" x14ac:dyDescent="0.25">
      <c r="K3" s="259"/>
      <c r="M3" s="212"/>
      <c r="N3" s="213"/>
      <c r="O3" s="213"/>
      <c r="P3" s="213"/>
      <c r="Q3" s="213"/>
      <c r="R3" s="214"/>
      <c r="U3" s="584" t="s">
        <v>56</v>
      </c>
      <c r="V3" s="584"/>
      <c r="W3" s="584"/>
      <c r="X3" s="584"/>
      <c r="Y3" s="538" t="s">
        <v>59</v>
      </c>
      <c r="Z3" s="538"/>
      <c r="AA3" s="538"/>
      <c r="AB3" s="538"/>
      <c r="AC3" s="538"/>
      <c r="AD3" s="538"/>
      <c r="AO3" s="47"/>
      <c r="AP3" s="47"/>
      <c r="AQ3" s="47"/>
      <c r="AR3" s="47"/>
      <c r="AS3" s="47"/>
      <c r="AT3" s="47"/>
      <c r="AU3" s="47"/>
      <c r="AV3" s="47"/>
      <c r="AW3" s="47"/>
      <c r="AX3" s="47"/>
      <c r="AY3" s="47"/>
      <c r="AZ3" s="47"/>
      <c r="BA3" s="47"/>
      <c r="BB3" s="47"/>
    </row>
    <row r="4" spans="1:54" ht="19.5" customHeight="1" x14ac:dyDescent="0.25">
      <c r="M4" s="376" t="s">
        <v>210</v>
      </c>
      <c r="N4" s="552"/>
      <c r="O4" s="582" t="s">
        <v>196</v>
      </c>
      <c r="P4" s="582"/>
      <c r="Q4" s="31" t="s">
        <v>0</v>
      </c>
      <c r="R4" s="216"/>
      <c r="U4" s="584"/>
      <c r="V4" s="584"/>
      <c r="W4" s="584"/>
      <c r="X4" s="584"/>
      <c r="Y4" s="538"/>
      <c r="Z4" s="538"/>
      <c r="AA4" s="538"/>
      <c r="AB4" s="538"/>
      <c r="AC4" s="538"/>
      <c r="AD4" s="538"/>
      <c r="AO4" s="47"/>
      <c r="AP4" s="447" t="s">
        <v>258</v>
      </c>
      <c r="AQ4" s="447" t="s">
        <v>259</v>
      </c>
      <c r="AR4" s="447"/>
      <c r="AS4" s="220" t="s">
        <v>33</v>
      </c>
      <c r="AT4" s="220" t="s">
        <v>223</v>
      </c>
      <c r="AU4" s="220" t="s">
        <v>224</v>
      </c>
      <c r="AV4" s="508" t="s">
        <v>260</v>
      </c>
      <c r="AW4" s="47"/>
      <c r="AX4" s="47"/>
      <c r="AY4" s="47"/>
      <c r="AZ4" s="47"/>
      <c r="BA4" s="47"/>
      <c r="BB4" s="47"/>
    </row>
    <row r="5" spans="1:54" ht="19.5" customHeight="1" x14ac:dyDescent="0.25">
      <c r="K5" s="246" t="s">
        <v>564</v>
      </c>
      <c r="M5" s="376"/>
      <c r="N5" s="552"/>
      <c r="O5" s="21" t="s">
        <v>1</v>
      </c>
      <c r="P5" s="32">
        <v>6.9</v>
      </c>
      <c r="Q5" s="21" t="s">
        <v>2</v>
      </c>
      <c r="R5" s="216"/>
      <c r="U5" s="584"/>
      <c r="V5" s="584"/>
      <c r="W5" s="584"/>
      <c r="X5" s="584"/>
      <c r="Y5" s="538"/>
      <c r="Z5" s="538"/>
      <c r="AA5" s="538"/>
      <c r="AB5" s="538"/>
      <c r="AC5" s="538"/>
      <c r="AD5" s="538"/>
      <c r="AO5" s="47"/>
      <c r="AP5" s="447"/>
      <c r="AQ5" s="447"/>
      <c r="AR5" s="447"/>
      <c r="AS5" s="55">
        <f>$AC$30</f>
        <v>138</v>
      </c>
      <c r="AT5" s="55">
        <f>$AC$31</f>
        <v>66</v>
      </c>
      <c r="AU5" s="55">
        <f>$AC$32</f>
        <v>162</v>
      </c>
      <c r="AV5" s="509"/>
      <c r="AW5" s="47"/>
      <c r="AX5" s="47"/>
      <c r="AY5" s="47"/>
      <c r="AZ5" s="47"/>
      <c r="BA5" s="47"/>
      <c r="BB5" s="47"/>
    </row>
    <row r="6" spans="1:54" ht="19.5" customHeight="1" x14ac:dyDescent="0.25">
      <c r="K6" s="247" t="s">
        <v>370</v>
      </c>
      <c r="M6" s="376"/>
      <c r="N6" s="552"/>
      <c r="O6" s="21" t="s">
        <v>3</v>
      </c>
      <c r="P6" s="56">
        <v>2.9</v>
      </c>
      <c r="Q6" s="21" t="s">
        <v>55</v>
      </c>
      <c r="R6" s="216"/>
      <c r="U6" s="21" t="s">
        <v>29</v>
      </c>
      <c r="V6" s="538" t="s">
        <v>51</v>
      </c>
      <c r="W6" s="538"/>
      <c r="X6" s="538"/>
      <c r="Y6" s="538"/>
      <c r="Z6" s="538"/>
      <c r="AA6" s="538"/>
      <c r="AB6" s="538"/>
      <c r="AC6" s="538"/>
      <c r="AD6" s="538"/>
      <c r="AO6" s="47"/>
      <c r="AP6" s="220">
        <v>1</v>
      </c>
      <c r="AQ6" s="517">
        <f>O71</f>
        <v>0</v>
      </c>
      <c r="AR6" s="518"/>
      <c r="AS6" s="55">
        <f>IFERROR((VLOOKUP(AQ6,$V$100:$AB$179,3,0)*0.01)*AV6,0)</f>
        <v>0</v>
      </c>
      <c r="AT6" s="55">
        <f>IFERROR((VLOOKUP(AQ6,$V$100:$AB$179,5,0)*0.01)*AV6,0)</f>
        <v>0</v>
      </c>
      <c r="AU6" s="55">
        <f>IFERROR((VLOOKUP(AQ6,$V$100:$AB$179,7,0)*0.01)*AV6,0)</f>
        <v>0</v>
      </c>
      <c r="AV6" s="55">
        <f>IFERROR($AT$5*Q71/(VLOOKUP(AQ6,$V$100:$AB$179,5,0)/100),0)</f>
        <v>0</v>
      </c>
      <c r="AW6" s="47"/>
      <c r="AX6" s="47"/>
      <c r="AY6" s="47"/>
      <c r="AZ6" s="47"/>
      <c r="BA6" s="47"/>
      <c r="BB6" s="47"/>
    </row>
    <row r="7" spans="1:54" ht="19.5" customHeight="1" x14ac:dyDescent="0.25">
      <c r="K7" s="247" t="s">
        <v>371</v>
      </c>
      <c r="M7" s="376"/>
      <c r="N7" s="552"/>
      <c r="O7" s="21" t="s">
        <v>4</v>
      </c>
      <c r="P7" s="32">
        <v>0.5</v>
      </c>
      <c r="Q7" s="21" t="s">
        <v>55</v>
      </c>
      <c r="R7" s="216"/>
      <c r="U7" s="21" t="s">
        <v>23</v>
      </c>
      <c r="V7" s="21" t="s">
        <v>25</v>
      </c>
      <c r="W7" s="21" t="s">
        <v>26</v>
      </c>
      <c r="X7" s="21" t="s">
        <v>31</v>
      </c>
      <c r="Y7" s="21" t="s">
        <v>53</v>
      </c>
      <c r="Z7" s="538" t="s">
        <v>54</v>
      </c>
      <c r="AA7" s="538"/>
      <c r="AB7" s="538"/>
      <c r="AC7" s="21" t="s">
        <v>57</v>
      </c>
      <c r="AD7" s="21" t="s">
        <v>58</v>
      </c>
      <c r="AF7" s="586" t="s">
        <v>247</v>
      </c>
      <c r="AG7" s="586"/>
      <c r="AH7" s="586"/>
      <c r="AI7" s="586"/>
      <c r="AJ7" s="586"/>
      <c r="AK7" s="586"/>
      <c r="AL7" s="586"/>
      <c r="AM7" s="586"/>
      <c r="AO7" s="47"/>
      <c r="AP7" s="220">
        <v>2</v>
      </c>
      <c r="AQ7" s="517" t="str">
        <f>O72</f>
        <v>Termofosfato YOORIN</v>
      </c>
      <c r="AR7" s="518"/>
      <c r="AS7" s="55">
        <f>IFERROR((VLOOKUP(AQ7,$V$100:$AB$179,3,0)*0.01)*AV7,0)</f>
        <v>0</v>
      </c>
      <c r="AT7" s="55">
        <f>IFERROR((VLOOKUP(AQ7,$V$100:$AB$179,5,0)*0.01)*AV7,0)</f>
        <v>66.000000000000014</v>
      </c>
      <c r="AU7" s="55">
        <f>IFERROR((VLOOKUP(AQ7,$V$100:$AB$179,7,0)*0.01)*AV7,0)</f>
        <v>0</v>
      </c>
      <c r="AV7" s="55">
        <f>IFERROR($AT$5*Q72/(VLOOKUP(AQ7,$V$100:$AB$179,5,0)/100),0)</f>
        <v>377.14285714285717</v>
      </c>
      <c r="AW7" s="47"/>
      <c r="AX7" s="47"/>
      <c r="AY7" s="47"/>
      <c r="AZ7" s="47"/>
      <c r="BA7" s="47"/>
      <c r="BB7" s="47"/>
    </row>
    <row r="8" spans="1:54" ht="19.5" customHeight="1" thickBot="1" x14ac:dyDescent="0.3">
      <c r="K8" s="247" t="s">
        <v>335</v>
      </c>
      <c r="M8" s="376"/>
      <c r="N8" s="552"/>
      <c r="O8" s="21" t="s">
        <v>5</v>
      </c>
      <c r="P8" s="56">
        <v>0.33</v>
      </c>
      <c r="Q8" s="21" t="s">
        <v>55</v>
      </c>
      <c r="R8" s="216"/>
      <c r="U8" s="21" t="s">
        <v>37</v>
      </c>
      <c r="V8" s="21" t="s">
        <v>39</v>
      </c>
      <c r="W8" s="21" t="s">
        <v>30</v>
      </c>
      <c r="X8" s="21" t="s">
        <v>43</v>
      </c>
      <c r="Y8" s="21" t="str">
        <f>IF($P$21&lt;=15.99,"correto","erro")</f>
        <v>erro</v>
      </c>
      <c r="Z8" s="21" t="str">
        <f>IF($P$13&lt;=12,"baixo","erro")</f>
        <v>baixo</v>
      </c>
      <c r="AA8" s="21" t="str">
        <f>IF(AND($P$13&gt;=12.01,$P$13&lt;=18),"medio","erro")</f>
        <v>erro</v>
      </c>
      <c r="AB8" s="21" t="str">
        <f>IF($P$13&gt;18,"adequado","erro")</f>
        <v>erro</v>
      </c>
      <c r="AC8" s="21" t="str">
        <f>IF(Z8="baixo","baixo",IF(AA8="medio","medio",IF(AB8="adequado","adequado",0)))</f>
        <v>baixo</v>
      </c>
      <c r="AD8" s="538" t="str">
        <f>VLOOKUP("correto",Y8:AC11,5,0)</f>
        <v>baixo</v>
      </c>
      <c r="AF8" s="21" t="s">
        <v>250</v>
      </c>
      <c r="AG8" s="586" t="s">
        <v>248</v>
      </c>
      <c r="AH8" s="586"/>
      <c r="AI8" s="538" t="s">
        <v>249</v>
      </c>
      <c r="AJ8" s="538"/>
      <c r="AK8" s="21" t="s">
        <v>58</v>
      </c>
      <c r="AL8" s="21" t="s">
        <v>263</v>
      </c>
      <c r="AM8" s="21" t="s">
        <v>266</v>
      </c>
      <c r="AO8" s="47"/>
      <c r="AP8" s="220">
        <v>3</v>
      </c>
      <c r="AQ8" s="517">
        <f>O73</f>
        <v>0</v>
      </c>
      <c r="AR8" s="518"/>
      <c r="AS8" s="55">
        <f>IFERROR((VLOOKUP(AQ8,$V$100:$AB$179,3,0)*0.01)*AV8,0)</f>
        <v>0</v>
      </c>
      <c r="AT8" s="55">
        <f>IFERROR((VLOOKUP(AQ8,$V$100:$AB$179,5,0)*0.01)*AV8,0)</f>
        <v>0</v>
      </c>
      <c r="AU8" s="55">
        <f>IFERROR((VLOOKUP(AQ8,$V$100:$AB$179,7,0)*0.01)*AV8,0)</f>
        <v>0</v>
      </c>
      <c r="AV8" s="55">
        <f>IFERROR($AT$5*Q73/(VLOOKUP(AQ8,$V$100:$AB$179,5,0)/100),0)</f>
        <v>0</v>
      </c>
      <c r="AW8" s="47"/>
      <c r="AX8" s="47"/>
      <c r="AY8" s="47"/>
      <c r="AZ8" s="47"/>
      <c r="BA8" s="47"/>
      <c r="BB8" s="47"/>
    </row>
    <row r="9" spans="1:54" ht="19.5" customHeight="1" thickBot="1" x14ac:dyDescent="0.3">
      <c r="A9" s="30"/>
      <c r="B9" s="383" t="s">
        <v>119</v>
      </c>
      <c r="C9" s="384"/>
      <c r="D9" s="384"/>
      <c r="E9" s="384"/>
      <c r="F9" s="384"/>
      <c r="G9" s="384"/>
      <c r="H9" s="384"/>
      <c r="I9" s="385"/>
      <c r="K9" s="247" t="s">
        <v>336</v>
      </c>
      <c r="M9" s="376"/>
      <c r="N9" s="552"/>
      <c r="O9" s="21" t="s">
        <v>6</v>
      </c>
      <c r="P9" s="32">
        <v>0.05</v>
      </c>
      <c r="Q9" s="21" t="s">
        <v>55</v>
      </c>
      <c r="R9" s="216"/>
      <c r="U9" s="21" t="s">
        <v>27</v>
      </c>
      <c r="V9" s="21" t="s">
        <v>40</v>
      </c>
      <c r="W9" s="21" t="s">
        <v>44</v>
      </c>
      <c r="X9" s="21" t="s">
        <v>47</v>
      </c>
      <c r="Y9" s="21" t="str">
        <f>IF(AND($P$21&gt;15.99,P21&lt;34.99),"correto","erro")</f>
        <v>erro</v>
      </c>
      <c r="Z9" s="21" t="str">
        <f>IF($P$13&lt;=10,"baixo","erro")</f>
        <v>baixo</v>
      </c>
      <c r="AA9" s="21" t="str">
        <f>IF(AND($P$13&gt;=10.01,$P$13&lt;=15),"medio","erro")</f>
        <v>erro</v>
      </c>
      <c r="AB9" s="21" t="str">
        <f>IF($P$13&gt;15,"adequado","erro")</f>
        <v>erro</v>
      </c>
      <c r="AC9" s="21" t="str">
        <f>IF(Z9="baixo","baixo",IF(AA9="medio","medio",IF(AB9="adequado","adequado",0)))</f>
        <v>baixo</v>
      </c>
      <c r="AD9" s="538"/>
      <c r="AF9" s="586" t="s">
        <v>246</v>
      </c>
      <c r="AG9" s="260" t="s">
        <v>25</v>
      </c>
      <c r="AH9" s="260" t="s">
        <v>242</v>
      </c>
      <c r="AI9" s="21" t="str">
        <f>IF($P$14&lt;=0.2,"baixo","erro")</f>
        <v>baixo</v>
      </c>
      <c r="AJ9" s="538" t="str">
        <f>IF($AI$9="baixo","baixo",IF($AI$10="medio","medio",IF($AI$11="adequado","adequado",0)))</f>
        <v>baixo</v>
      </c>
      <c r="AK9" s="538">
        <f>IF(AJ9="Baixo",AL9,0)</f>
        <v>0.6</v>
      </c>
      <c r="AL9" s="538">
        <f>(AM9*1000)/$E$18</f>
        <v>0.6</v>
      </c>
      <c r="AM9" s="587">
        <v>1</v>
      </c>
      <c r="AO9" s="47"/>
      <c r="AP9" s="47"/>
      <c r="AQ9" s="47"/>
      <c r="AR9" s="47"/>
      <c r="AS9" s="59">
        <f>AS5-(SUM(AS6:AS8))</f>
        <v>138</v>
      </c>
      <c r="AT9" s="59">
        <f>AT5-(SUM(AT6:AT8))</f>
        <v>0</v>
      </c>
      <c r="AU9" s="59">
        <f>AU5-(SUM(AU6:AU8))</f>
        <v>162</v>
      </c>
      <c r="AV9" s="59"/>
      <c r="AW9" s="47"/>
      <c r="AX9" s="47"/>
      <c r="AY9" s="47"/>
      <c r="AZ9" s="47"/>
      <c r="BA9" s="47"/>
      <c r="BB9" s="47"/>
    </row>
    <row r="10" spans="1:54" ht="19.5" customHeight="1" x14ac:dyDescent="0.25">
      <c r="K10" s="247" t="s">
        <v>337</v>
      </c>
      <c r="M10" s="376"/>
      <c r="N10" s="552"/>
      <c r="O10" s="21" t="s">
        <v>7</v>
      </c>
      <c r="P10" s="56">
        <v>0</v>
      </c>
      <c r="Q10" s="21" t="s">
        <v>55</v>
      </c>
      <c r="R10" s="216"/>
      <c r="U10" s="21" t="s">
        <v>28</v>
      </c>
      <c r="V10" s="21" t="s">
        <v>41</v>
      </c>
      <c r="W10" s="21" t="s">
        <v>45</v>
      </c>
      <c r="X10" s="21" t="s">
        <v>48</v>
      </c>
      <c r="Y10" s="21" t="str">
        <f>IF(AND($P$21&gt;34.99,P21&lt;59.99),"correto","erro")</f>
        <v>correto</v>
      </c>
      <c r="Z10" s="21" t="str">
        <f>IF($P$13&lt;=5,"baixo","erro")</f>
        <v>baixo</v>
      </c>
      <c r="AA10" s="21" t="str">
        <f>IF(AND($P$13&gt;=5.01,$P$13&lt;=8),"medio","erro")</f>
        <v>erro</v>
      </c>
      <c r="AB10" s="21" t="str">
        <f>IF($P$13&gt;8,"adequado","erro")</f>
        <v>erro</v>
      </c>
      <c r="AC10" s="21" t="str">
        <f>IF(Z10="baixo","baixo",IF(AA10="medio","medio",IF(AB10="adequado","adequado",0)))</f>
        <v>baixo</v>
      </c>
      <c r="AD10" s="538"/>
      <c r="AF10" s="586"/>
      <c r="AG10" s="260" t="s">
        <v>26</v>
      </c>
      <c r="AH10" s="260" t="s">
        <v>238</v>
      </c>
      <c r="AI10" s="21" t="str">
        <f>IF(AND($P$14&gt;=0.201,$P$14&lt;=0.5),"medio","erro")</f>
        <v>erro</v>
      </c>
      <c r="AJ10" s="538"/>
      <c r="AK10" s="538"/>
      <c r="AL10" s="538"/>
      <c r="AM10" s="587"/>
      <c r="AO10" s="47"/>
      <c r="AP10" s="447" t="s">
        <v>258</v>
      </c>
      <c r="AQ10" s="447" t="s">
        <v>259</v>
      </c>
      <c r="AR10" s="447"/>
      <c r="AS10" s="220" t="s">
        <v>33</v>
      </c>
      <c r="AT10" s="220" t="s">
        <v>223</v>
      </c>
      <c r="AU10" s="220" t="s">
        <v>224</v>
      </c>
      <c r="AV10" s="508" t="s">
        <v>260</v>
      </c>
      <c r="AW10" s="47"/>
      <c r="AX10" s="47"/>
      <c r="AY10" s="47"/>
      <c r="AZ10" s="47"/>
      <c r="BA10" s="47"/>
      <c r="BB10" s="47"/>
    </row>
    <row r="11" spans="1:54" ht="19.5" customHeight="1" x14ac:dyDescent="0.25">
      <c r="B11" s="21" t="s">
        <v>120</v>
      </c>
      <c r="C11" s="353"/>
      <c r="D11" s="353"/>
      <c r="E11" s="353"/>
      <c r="F11" s="353"/>
      <c r="G11" s="353"/>
      <c r="H11" s="353"/>
      <c r="I11" s="354"/>
      <c r="K11" s="247" t="s">
        <v>338</v>
      </c>
      <c r="M11" s="376"/>
      <c r="N11" s="552"/>
      <c r="O11" s="21" t="s">
        <v>8</v>
      </c>
      <c r="P11" s="32">
        <v>4</v>
      </c>
      <c r="Q11" s="21" t="s">
        <v>55</v>
      </c>
      <c r="R11" s="216"/>
      <c r="U11" s="21" t="s">
        <v>38</v>
      </c>
      <c r="V11" s="21" t="s">
        <v>42</v>
      </c>
      <c r="W11" s="21" t="s">
        <v>46</v>
      </c>
      <c r="X11" s="21" t="s">
        <v>49</v>
      </c>
      <c r="Y11" s="21" t="str">
        <f>IF($P$21&gt;59.99,"correto","erro")</f>
        <v>erro</v>
      </c>
      <c r="Z11" s="21" t="str">
        <f>IF($P$13&lt;=3,"baixo","erro")</f>
        <v>baixo</v>
      </c>
      <c r="AA11" s="21" t="str">
        <f>IF(AND($P$13&gt;=3.01,$P$13&lt;=6),"medio","erro")</f>
        <v>erro</v>
      </c>
      <c r="AB11" s="21" t="str">
        <f>IF($P$13&gt;6,"adequado","erro")</f>
        <v>erro</v>
      </c>
      <c r="AC11" s="21" t="str">
        <f>IF(Z11="baixo","baixo",IF(AA11="medio","medio",IF(AB11="adequado","adequado",0)))</f>
        <v>baixo</v>
      </c>
      <c r="AD11" s="538"/>
      <c r="AF11" s="586"/>
      <c r="AG11" s="260" t="s">
        <v>234</v>
      </c>
      <c r="AH11" s="260" t="s">
        <v>233</v>
      </c>
      <c r="AI11" s="21" t="str">
        <f>IF($P$14&gt;0.5,"adequado","erro")</f>
        <v>erro</v>
      </c>
      <c r="AJ11" s="538"/>
      <c r="AK11" s="538"/>
      <c r="AL11" s="538"/>
      <c r="AM11" s="587"/>
      <c r="AO11" s="47"/>
      <c r="AP11" s="447"/>
      <c r="AQ11" s="447"/>
      <c r="AR11" s="447"/>
      <c r="AS11" s="55">
        <f>AS9</f>
        <v>138</v>
      </c>
      <c r="AT11" s="55">
        <f t="shared" ref="AT11:AU11" si="0">AT9</f>
        <v>0</v>
      </c>
      <c r="AU11" s="55">
        <f t="shared" si="0"/>
        <v>162</v>
      </c>
      <c r="AV11" s="509"/>
      <c r="AW11" s="47"/>
      <c r="AX11" s="47"/>
      <c r="AY11" s="47"/>
      <c r="AZ11" s="47"/>
      <c r="BA11" s="47"/>
      <c r="BB11" s="47"/>
    </row>
    <row r="12" spans="1:54" ht="19.5" customHeight="1" x14ac:dyDescent="0.25">
      <c r="B12" s="209" t="s">
        <v>121</v>
      </c>
      <c r="C12" s="352"/>
      <c r="D12" s="353"/>
      <c r="E12" s="353"/>
      <c r="F12" s="353"/>
      <c r="G12" s="353"/>
      <c r="H12" s="353"/>
      <c r="I12" s="354"/>
      <c r="K12" s="247" t="s">
        <v>339</v>
      </c>
      <c r="M12" s="376"/>
      <c r="N12" s="552"/>
      <c r="O12" s="21" t="s">
        <v>9</v>
      </c>
      <c r="P12" s="56">
        <v>18.7</v>
      </c>
      <c r="Q12" s="21" t="s">
        <v>10</v>
      </c>
      <c r="R12" s="216"/>
      <c r="AF12" s="586" t="s">
        <v>245</v>
      </c>
      <c r="AG12" s="260" t="s">
        <v>25</v>
      </c>
      <c r="AH12" s="260" t="s">
        <v>241</v>
      </c>
      <c r="AI12" s="21" t="str">
        <f>IF($P$16&lt;=0.4,"baixo","erro")</f>
        <v>erro</v>
      </c>
      <c r="AJ12" s="538" t="str">
        <f>IF($AI$12="baixo","baixo",IF($AI$13="medio","medio",IF($AI$14="adequado","adequado",0)))</f>
        <v>medio</v>
      </c>
      <c r="AK12" s="538">
        <f>IF(AJ12="Baixo",AL12,0)</f>
        <v>0</v>
      </c>
      <c r="AL12" s="538">
        <f>(AM12*1000)/$E$18</f>
        <v>0.3</v>
      </c>
      <c r="AM12" s="587">
        <v>0.5</v>
      </c>
      <c r="AO12" s="47"/>
      <c r="AP12" s="220">
        <v>7</v>
      </c>
      <c r="AQ12" s="447" t="str">
        <f>O79</f>
        <v>Kmag</v>
      </c>
      <c r="AR12" s="447"/>
      <c r="AS12" s="55">
        <f>IFERROR((VLOOKUP(AQ12,$V$100:$AB$179,3,0)*0.01)*AV12,0)</f>
        <v>0</v>
      </c>
      <c r="AT12" s="55">
        <f>IFERROR((VLOOKUP(AQ12,$V$100:$AB$179,5,0)*0.01)*AV12,0)</f>
        <v>0</v>
      </c>
      <c r="AU12" s="55">
        <f>IFERROR((VLOOKUP(AQ12,$V$100:$AB$179,7,0)*0.01)*AV12,0)</f>
        <v>162</v>
      </c>
      <c r="AV12" s="55">
        <f>IFERROR($AU$11*Q79/(VLOOKUP(AQ12,$V$100:$AB$179,7,0)/100),0)</f>
        <v>771.42857142857144</v>
      </c>
      <c r="AW12" s="47"/>
      <c r="AX12" s="47"/>
      <c r="AY12" s="47"/>
      <c r="AZ12" s="47"/>
      <c r="BA12" s="47"/>
      <c r="BB12" s="47"/>
    </row>
    <row r="13" spans="1:54" ht="19.5" customHeight="1" x14ac:dyDescent="0.25">
      <c r="B13" s="209" t="s">
        <v>122</v>
      </c>
      <c r="C13" s="352"/>
      <c r="D13" s="353"/>
      <c r="E13" s="353"/>
      <c r="F13" s="353"/>
      <c r="G13" s="353"/>
      <c r="H13" s="353"/>
      <c r="I13" s="354"/>
      <c r="K13" s="247" t="s">
        <v>340</v>
      </c>
      <c r="M13" s="376"/>
      <c r="N13" s="552"/>
      <c r="O13" s="21" t="s">
        <v>11</v>
      </c>
      <c r="P13" s="32">
        <v>2.5</v>
      </c>
      <c r="Q13" s="21" t="s">
        <v>12</v>
      </c>
      <c r="R13" s="216"/>
      <c r="AF13" s="586"/>
      <c r="AG13" s="260" t="s">
        <v>26</v>
      </c>
      <c r="AH13" s="260" t="s">
        <v>237</v>
      </c>
      <c r="AI13" s="21" t="str">
        <f>IF(AND($P$16&gt;=0.401,$P$16&lt;=0.8),"medio","erro")</f>
        <v>medio</v>
      </c>
      <c r="AJ13" s="538"/>
      <c r="AK13" s="538"/>
      <c r="AL13" s="538"/>
      <c r="AM13" s="587"/>
      <c r="AO13" s="47"/>
      <c r="AP13" s="220">
        <v>8</v>
      </c>
      <c r="AQ13" s="447">
        <f>O80</f>
        <v>0</v>
      </c>
      <c r="AR13" s="447"/>
      <c r="AS13" s="55">
        <f>IFERROR((VLOOKUP(AQ13,$V$100:$AB$179,3,0)*0.01)*AV13,0)</f>
        <v>0</v>
      </c>
      <c r="AT13" s="55">
        <f>IFERROR((VLOOKUP(AQ13,$V$100:$AB$179,5,0)*0.01)*AV13,0)</f>
        <v>0</v>
      </c>
      <c r="AU13" s="55">
        <f>IFERROR((VLOOKUP(AQ13,$V$100:$AB$179,7,0)*0.01)*AV13,0)</f>
        <v>0</v>
      </c>
      <c r="AV13" s="55">
        <f>IFERROR($AU$11*Q80/(VLOOKUP(AQ13,$V$100:$AB$179,7,0)/100),0)</f>
        <v>0</v>
      </c>
      <c r="AW13" s="47"/>
      <c r="AX13" s="47"/>
      <c r="AY13" s="47"/>
      <c r="AZ13" s="47"/>
      <c r="BA13" s="47"/>
      <c r="BB13" s="47"/>
    </row>
    <row r="14" spans="1:54" ht="19.5" customHeight="1" x14ac:dyDescent="0.25">
      <c r="B14" s="209" t="s">
        <v>123</v>
      </c>
      <c r="C14" s="352"/>
      <c r="D14" s="353"/>
      <c r="E14" s="353"/>
      <c r="F14" s="353"/>
      <c r="G14" s="354"/>
      <c r="H14" s="21" t="s">
        <v>124</v>
      </c>
      <c r="I14" s="22">
        <f ca="1">TODAY()</f>
        <v>44057</v>
      </c>
      <c r="K14" s="247" t="s">
        <v>341</v>
      </c>
      <c r="M14" s="376"/>
      <c r="N14" s="552"/>
      <c r="O14" s="21" t="s">
        <v>13</v>
      </c>
      <c r="P14" s="56">
        <v>0.05</v>
      </c>
      <c r="Q14" s="21" t="s">
        <v>12</v>
      </c>
      <c r="R14" s="216"/>
      <c r="AF14" s="586"/>
      <c r="AG14" s="260" t="s">
        <v>234</v>
      </c>
      <c r="AH14" s="260" t="s">
        <v>232</v>
      </c>
      <c r="AI14" s="21" t="str">
        <f>IF($P$16&gt;0.8,"adequado","erro")</f>
        <v>erro</v>
      </c>
      <c r="AJ14" s="538"/>
      <c r="AK14" s="538"/>
      <c r="AL14" s="538"/>
      <c r="AM14" s="587"/>
      <c r="AO14" s="47"/>
      <c r="AP14" s="220">
        <v>9</v>
      </c>
      <c r="AQ14" s="447">
        <f>O81</f>
        <v>0</v>
      </c>
      <c r="AR14" s="447"/>
      <c r="AS14" s="55">
        <f>IFERROR((VLOOKUP(AQ14,$V$100:$AB$179,3,0)*0.01)*AV14,0)</f>
        <v>0</v>
      </c>
      <c r="AT14" s="55">
        <f>IFERROR((VLOOKUP(AQ14,$V$100:$AB$179,5,0)*0.01)*AV14,0)</f>
        <v>0</v>
      </c>
      <c r="AU14" s="55">
        <f>IFERROR((VLOOKUP(AQ14,$V$100:$AB$179,7,0)*0.01)*AV14,0)</f>
        <v>0</v>
      </c>
      <c r="AV14" s="55">
        <f>IFERROR($AU$11*Q81/(VLOOKUP(AQ14,$V$100:$AB$179,7,0)/100),0)</f>
        <v>0</v>
      </c>
      <c r="AW14" s="47"/>
      <c r="AX14" s="47"/>
      <c r="AY14" s="47"/>
      <c r="AZ14" s="47"/>
      <c r="BA14" s="47"/>
      <c r="BB14" s="47"/>
    </row>
    <row r="15" spans="1:54" ht="19.5" customHeight="1" thickBot="1" x14ac:dyDescent="0.3">
      <c r="K15" s="247" t="s">
        <v>342</v>
      </c>
      <c r="M15" s="376"/>
      <c r="N15" s="552"/>
      <c r="O15" s="21" t="s">
        <v>14</v>
      </c>
      <c r="P15" s="32">
        <v>2.2999999999999998</v>
      </c>
      <c r="Q15" s="21" t="s">
        <v>12</v>
      </c>
      <c r="R15" s="216"/>
      <c r="AF15" s="586" t="s">
        <v>244</v>
      </c>
      <c r="AG15" s="260" t="s">
        <v>25</v>
      </c>
      <c r="AH15" s="260" t="s">
        <v>240</v>
      </c>
      <c r="AI15" s="21" t="str">
        <f>IF($P$18&lt;=1.9,"baixo","erro")</f>
        <v>erro</v>
      </c>
      <c r="AJ15" s="538" t="str">
        <f>IF($AI$15="baixo","baixo",IF($AI$16="medio","medio",IF($AI$17="adequado","adequado",0)))</f>
        <v>adequado</v>
      </c>
      <c r="AK15" s="538">
        <f>IF(AJ15="Baixo",AL15,0)</f>
        <v>0</v>
      </c>
      <c r="AL15" s="538">
        <f>(AM15*1000)/$E$18</f>
        <v>0.6</v>
      </c>
      <c r="AM15" s="587">
        <v>1</v>
      </c>
      <c r="AO15" s="47"/>
      <c r="AP15" s="47"/>
      <c r="AQ15" s="47"/>
      <c r="AR15" s="47"/>
      <c r="AS15" s="59">
        <f>AS11-(SUM(AS12:AS14))</f>
        <v>138</v>
      </c>
      <c r="AT15" s="59">
        <f>AT11-(SUM(AT12:AT14))</f>
        <v>0</v>
      </c>
      <c r="AU15" s="59">
        <f>AU11-(SUM(AU12:AU14))</f>
        <v>0</v>
      </c>
      <c r="AV15" s="47"/>
      <c r="AW15" s="47"/>
      <c r="AX15" s="47"/>
      <c r="AY15" s="47"/>
      <c r="AZ15" s="47"/>
      <c r="BA15" s="47"/>
      <c r="BB15" s="47"/>
    </row>
    <row r="16" spans="1:54" ht="19.5" customHeight="1" thickBot="1" x14ac:dyDescent="0.3">
      <c r="B16" s="577" t="s">
        <v>309</v>
      </c>
      <c r="C16" s="578"/>
      <c r="D16" s="578"/>
      <c r="E16" s="578"/>
      <c r="F16" s="578"/>
      <c r="G16" s="578"/>
      <c r="H16" s="578"/>
      <c r="I16" s="579"/>
      <c r="K16" s="247" t="s">
        <v>343</v>
      </c>
      <c r="M16" s="376"/>
      <c r="N16" s="552"/>
      <c r="O16" s="21" t="s">
        <v>15</v>
      </c>
      <c r="P16" s="56">
        <v>0.6</v>
      </c>
      <c r="Q16" s="21" t="s">
        <v>12</v>
      </c>
      <c r="R16" s="216"/>
      <c r="AF16" s="586"/>
      <c r="AG16" s="260" t="s">
        <v>26</v>
      </c>
      <c r="AH16" s="260" t="s">
        <v>236</v>
      </c>
      <c r="AI16" s="21" t="str">
        <f>IF(AND($P$18&gt;=1.901,$P$18&lt;=5),"medio","erro")</f>
        <v>erro</v>
      </c>
      <c r="AJ16" s="538"/>
      <c r="AK16" s="538"/>
      <c r="AL16" s="538"/>
      <c r="AM16" s="587"/>
      <c r="AO16" s="47"/>
      <c r="AP16" s="447" t="s">
        <v>258</v>
      </c>
      <c r="AQ16" s="447" t="s">
        <v>259</v>
      </c>
      <c r="AR16" s="447"/>
      <c r="AS16" s="220" t="s">
        <v>33</v>
      </c>
      <c r="AT16" s="220" t="s">
        <v>223</v>
      </c>
      <c r="AU16" s="220" t="s">
        <v>224</v>
      </c>
      <c r="AV16" s="508" t="s">
        <v>260</v>
      </c>
      <c r="AW16" s="47"/>
      <c r="AX16" s="47"/>
      <c r="AY16" s="47"/>
      <c r="AZ16" s="47"/>
      <c r="BA16" s="47"/>
      <c r="BB16" s="47"/>
    </row>
    <row r="17" spans="2:54" ht="19.5" customHeight="1" x14ac:dyDescent="0.25">
      <c r="K17" s="247" t="s">
        <v>578</v>
      </c>
      <c r="M17" s="376"/>
      <c r="N17" s="552"/>
      <c r="O17" s="21" t="s">
        <v>16</v>
      </c>
      <c r="P17" s="32">
        <v>84.8</v>
      </c>
      <c r="Q17" s="21" t="s">
        <v>12</v>
      </c>
      <c r="R17" s="216"/>
      <c r="U17" s="584" t="s">
        <v>60</v>
      </c>
      <c r="V17" s="584"/>
      <c r="W17" s="584"/>
      <c r="X17" s="584"/>
      <c r="Y17" s="538" t="s">
        <v>59</v>
      </c>
      <c r="Z17" s="538"/>
      <c r="AA17" s="538"/>
      <c r="AB17" s="538"/>
      <c r="AC17" s="538"/>
      <c r="AD17" s="538"/>
      <c r="AF17" s="586"/>
      <c r="AG17" s="260" t="s">
        <v>234</v>
      </c>
      <c r="AH17" s="260" t="s">
        <v>231</v>
      </c>
      <c r="AI17" s="21" t="str">
        <f>IF($P$18&gt;5,"adequado","erro")</f>
        <v>adequado</v>
      </c>
      <c r="AJ17" s="538"/>
      <c r="AK17" s="538"/>
      <c r="AL17" s="538"/>
      <c r="AM17" s="587"/>
      <c r="AO17" s="47"/>
      <c r="AP17" s="447"/>
      <c r="AQ17" s="447"/>
      <c r="AR17" s="447"/>
      <c r="AS17" s="55">
        <f>AS15</f>
        <v>138</v>
      </c>
      <c r="AT17" s="55">
        <f t="shared" ref="AT17:AU17" si="1">AT15</f>
        <v>0</v>
      </c>
      <c r="AU17" s="55">
        <f t="shared" si="1"/>
        <v>0</v>
      </c>
      <c r="AV17" s="509"/>
      <c r="AW17" s="47"/>
      <c r="AX17" s="47"/>
      <c r="AY17" s="47"/>
      <c r="AZ17" s="47"/>
      <c r="BA17" s="47"/>
      <c r="BB17" s="47"/>
    </row>
    <row r="18" spans="2:54" ht="19.5" customHeight="1" x14ac:dyDescent="0.25">
      <c r="B18" s="585" t="s">
        <v>134</v>
      </c>
      <c r="C18" s="585"/>
      <c r="D18" s="585"/>
      <c r="E18" s="261">
        <f>$O$35</f>
        <v>1666.6666666666667</v>
      </c>
      <c r="F18" s="538" t="s">
        <v>125</v>
      </c>
      <c r="G18" s="538"/>
      <c r="H18" s="538"/>
      <c r="I18" s="21">
        <f>O34</f>
        <v>1</v>
      </c>
      <c r="K18" s="247" t="s">
        <v>581</v>
      </c>
      <c r="M18" s="376"/>
      <c r="N18" s="552"/>
      <c r="O18" s="21" t="s">
        <v>17</v>
      </c>
      <c r="P18" s="56">
        <v>14.9</v>
      </c>
      <c r="Q18" s="21" t="s">
        <v>12</v>
      </c>
      <c r="R18" s="216"/>
      <c r="U18" s="584"/>
      <c r="V18" s="584"/>
      <c r="W18" s="584"/>
      <c r="X18" s="584"/>
      <c r="Y18" s="538"/>
      <c r="Z18" s="538"/>
      <c r="AA18" s="538"/>
      <c r="AB18" s="538"/>
      <c r="AC18" s="538"/>
      <c r="AD18" s="538"/>
      <c r="AF18" s="586" t="s">
        <v>243</v>
      </c>
      <c r="AG18" s="260" t="s">
        <v>25</v>
      </c>
      <c r="AH18" s="260" t="s">
        <v>239</v>
      </c>
      <c r="AI18" s="21" t="str">
        <f>IF($P$19&lt;=1,"baixo","erro")</f>
        <v>erro</v>
      </c>
      <c r="AJ18" s="538" t="str">
        <f>IF($AI$18="baixo","baixo",IF($AI$19="medio","medio",IF($AI$20="adequado","adequado",0)))</f>
        <v>adequado</v>
      </c>
      <c r="AK18" s="538">
        <f>IF(AJ18="Baixo",AL18,0)</f>
        <v>0</v>
      </c>
      <c r="AL18" s="538">
        <f>(AM18*1000)/$E$18</f>
        <v>3</v>
      </c>
      <c r="AM18" s="587">
        <v>5</v>
      </c>
      <c r="AO18" s="47"/>
      <c r="AP18" s="220">
        <v>13</v>
      </c>
      <c r="AQ18" s="447" t="str">
        <f>O87</f>
        <v>Torta de mamona Hortibraz</v>
      </c>
      <c r="AR18" s="447"/>
      <c r="AS18" s="55">
        <f>IFERROR((VLOOKUP(AQ18,$V$100:$AB$179,3,0)*0.01)*AV18,0)</f>
        <v>0</v>
      </c>
      <c r="AT18" s="55">
        <f>IFERROR((VLOOKUP(AQ18,$V$100:$AB$179,5,0)*0.01)*AV18,0)</f>
        <v>0</v>
      </c>
      <c r="AU18" s="55">
        <f>IFERROR((VLOOKUP(AQ18,$V$100:$AB$179,7,0)*0.01)*AV18,0)</f>
        <v>0</v>
      </c>
      <c r="AV18" s="55">
        <f>IFERROR($AS$17*Q87/(VLOOKUP(AQ18,$V$100:$AB$179,3,0)/100),0)</f>
        <v>0</v>
      </c>
      <c r="AW18" s="47"/>
      <c r="AX18" s="47"/>
      <c r="AY18" s="47"/>
      <c r="AZ18" s="47"/>
      <c r="BA18" s="47"/>
      <c r="BB18" s="47"/>
    </row>
    <row r="19" spans="2:54" ht="19.5" customHeight="1" x14ac:dyDescent="0.25">
      <c r="K19" s="247" t="s">
        <v>583</v>
      </c>
      <c r="M19" s="376"/>
      <c r="N19" s="552"/>
      <c r="O19" s="21" t="s">
        <v>18</v>
      </c>
      <c r="P19" s="32">
        <v>1.7</v>
      </c>
      <c r="Q19" s="21" t="s">
        <v>12</v>
      </c>
      <c r="R19" s="216"/>
      <c r="S19" s="262"/>
      <c r="U19" s="584"/>
      <c r="V19" s="584"/>
      <c r="W19" s="584"/>
      <c r="X19" s="584"/>
      <c r="Y19" s="538"/>
      <c r="Z19" s="538"/>
      <c r="AA19" s="538"/>
      <c r="AB19" s="538"/>
      <c r="AC19" s="538"/>
      <c r="AD19" s="538"/>
      <c r="AF19" s="586"/>
      <c r="AG19" s="260" t="s">
        <v>26</v>
      </c>
      <c r="AH19" s="260" t="s">
        <v>235</v>
      </c>
      <c r="AI19" s="21" t="str">
        <f>IF(AND($P$19&gt;=1.01,$P$19&lt;=1.6),"medio","erro")</f>
        <v>erro</v>
      </c>
      <c r="AJ19" s="538"/>
      <c r="AK19" s="538"/>
      <c r="AL19" s="538"/>
      <c r="AM19" s="587"/>
      <c r="AO19" s="47"/>
      <c r="AP19" s="220">
        <v>14</v>
      </c>
      <c r="AQ19" s="447">
        <f>O88</f>
        <v>0</v>
      </c>
      <c r="AR19" s="447"/>
      <c r="AS19" s="55">
        <f>IFERROR((VLOOKUP(AQ19,$V$100:$AB$179,3,0)*0.01)*AV19,0)</f>
        <v>0</v>
      </c>
      <c r="AT19" s="55">
        <f>IFERROR((VLOOKUP(AQ19,$V$100:$AB$179,5,0)*0.01)*AV19,0)</f>
        <v>0</v>
      </c>
      <c r="AU19" s="55">
        <f>IFERROR((VLOOKUP(AQ19,$V$100:$AB$179,7,0)*0.01)*AV19,0)</f>
        <v>0</v>
      </c>
      <c r="AV19" s="55">
        <f>IFERROR($AS$17*Q88/(VLOOKUP(AQ19,$V$100:$AB$179,3,0)/100),0)</f>
        <v>0</v>
      </c>
      <c r="AW19" s="47"/>
      <c r="AX19" s="47"/>
      <c r="AY19" s="47"/>
      <c r="AZ19" s="47"/>
      <c r="BA19" s="47"/>
      <c r="BB19" s="47"/>
    </row>
    <row r="20" spans="2:54" ht="19.5" customHeight="1" x14ac:dyDescent="0.25">
      <c r="B20" s="352" t="s">
        <v>183</v>
      </c>
      <c r="C20" s="353"/>
      <c r="D20" s="353"/>
      <c r="E20" s="354"/>
      <c r="F20" s="263" t="s">
        <v>126</v>
      </c>
      <c r="G20" s="263">
        <f>P24</f>
        <v>48.586118251928028</v>
      </c>
      <c r="H20" s="263" t="s">
        <v>52</v>
      </c>
      <c r="I20" s="261">
        <f>P21</f>
        <v>47.5</v>
      </c>
      <c r="K20" s="247" t="s">
        <v>584</v>
      </c>
      <c r="M20" s="376"/>
      <c r="N20" s="552"/>
      <c r="O20" s="21" t="s">
        <v>19</v>
      </c>
      <c r="P20" s="56">
        <v>35</v>
      </c>
      <c r="Q20" s="21" t="s">
        <v>23</v>
      </c>
      <c r="R20" s="216"/>
      <c r="U20" s="21" t="s">
        <v>29</v>
      </c>
      <c r="V20" s="538" t="s">
        <v>74</v>
      </c>
      <c r="W20" s="538"/>
      <c r="X20" s="538"/>
      <c r="Y20" s="538"/>
      <c r="Z20" s="538"/>
      <c r="AA20" s="538"/>
      <c r="AB20" s="538"/>
      <c r="AC20" s="538"/>
      <c r="AD20" s="538"/>
      <c r="AF20" s="586"/>
      <c r="AG20" s="260" t="s">
        <v>234</v>
      </c>
      <c r="AH20" s="260" t="s">
        <v>230</v>
      </c>
      <c r="AI20" s="21" t="str">
        <f>IF($P$19&gt;1.6,"adequado","erro")</f>
        <v>adequado</v>
      </c>
      <c r="AJ20" s="538"/>
      <c r="AK20" s="538"/>
      <c r="AL20" s="538"/>
      <c r="AM20" s="587"/>
      <c r="AO20" s="47"/>
      <c r="AP20" s="220">
        <v>15</v>
      </c>
      <c r="AQ20" s="447">
        <f>O89</f>
        <v>0</v>
      </c>
      <c r="AR20" s="447"/>
      <c r="AS20" s="55">
        <f>IFERROR((VLOOKUP(AQ20,$V$100:$AB$179,3,0)*0.01)*AV20,0)</f>
        <v>0</v>
      </c>
      <c r="AT20" s="55">
        <f>IFERROR((VLOOKUP(AQ20,$V$100:$AB$179,5,0)*0.01)*AV20,0)</f>
        <v>0</v>
      </c>
      <c r="AU20" s="55">
        <f>IFERROR((VLOOKUP(AQ20,$V$100:$AB$179,7,0)*0.01)*AV20,0)</f>
        <v>0</v>
      </c>
      <c r="AV20" s="55">
        <f>IFERROR($AS$17*Q89/(VLOOKUP(AQ20,$V$100:$AB$179,3,0)/100),0)</f>
        <v>0</v>
      </c>
      <c r="AW20" s="47"/>
      <c r="AX20" s="47"/>
      <c r="AY20" s="47"/>
      <c r="AZ20" s="47"/>
      <c r="BA20" s="47"/>
      <c r="BB20" s="47"/>
    </row>
    <row r="21" spans="2:54" ht="19.5" customHeight="1" x14ac:dyDescent="0.25">
      <c r="B21" s="264" t="s">
        <v>1</v>
      </c>
      <c r="C21" s="265">
        <f>P5</f>
        <v>6.9</v>
      </c>
      <c r="D21" s="263" t="s">
        <v>127</v>
      </c>
      <c r="E21" s="263">
        <f>P9</f>
        <v>0.05</v>
      </c>
      <c r="F21" s="263" t="s">
        <v>128</v>
      </c>
      <c r="G21" s="263">
        <f>P23</f>
        <v>16.899999999999999</v>
      </c>
      <c r="H21" s="263" t="s">
        <v>85</v>
      </c>
      <c r="I21" s="263">
        <f>P18</f>
        <v>14.9</v>
      </c>
      <c r="K21" s="247" t="s">
        <v>346</v>
      </c>
      <c r="M21" s="376"/>
      <c r="N21" s="552"/>
      <c r="O21" s="21" t="s">
        <v>52</v>
      </c>
      <c r="P21" s="32">
        <v>47.5</v>
      </c>
      <c r="Q21" s="21" t="s">
        <v>23</v>
      </c>
      <c r="R21" s="216"/>
      <c r="S21" s="262"/>
      <c r="U21" s="21" t="s">
        <v>23</v>
      </c>
      <c r="V21" s="21" t="s">
        <v>25</v>
      </c>
      <c r="W21" s="21" t="s">
        <v>26</v>
      </c>
      <c r="X21" s="21" t="s">
        <v>31</v>
      </c>
      <c r="Y21" s="21" t="s">
        <v>53</v>
      </c>
      <c r="Z21" s="538" t="s">
        <v>62</v>
      </c>
      <c r="AA21" s="538"/>
      <c r="AB21" s="538"/>
      <c r="AC21" s="21" t="s">
        <v>57</v>
      </c>
      <c r="AD21" s="21" t="s">
        <v>58</v>
      </c>
      <c r="AO21" s="47"/>
      <c r="AP21" s="47"/>
      <c r="AQ21" s="47"/>
      <c r="AR21" s="47"/>
      <c r="AS21" s="59">
        <f>AS17-(SUM(AS18:AS20))</f>
        <v>138</v>
      </c>
      <c r="AT21" s="59">
        <f t="shared" ref="AT21:AU21" si="2">AT17-(SUM(AT18:AT20))</f>
        <v>0</v>
      </c>
      <c r="AU21" s="59">
        <f t="shared" si="2"/>
        <v>0</v>
      </c>
      <c r="AV21" s="59"/>
      <c r="AW21" s="47"/>
      <c r="AX21" s="47"/>
      <c r="AY21" s="47"/>
      <c r="AZ21" s="47"/>
      <c r="BA21" s="47"/>
      <c r="BB21" s="47"/>
    </row>
    <row r="22" spans="2:54" ht="19.5" customHeight="1" x14ac:dyDescent="0.25">
      <c r="B22" s="264" t="s">
        <v>81</v>
      </c>
      <c r="C22" s="265">
        <f>P6</f>
        <v>2.9</v>
      </c>
      <c r="D22" s="263" t="s">
        <v>79</v>
      </c>
      <c r="E22" s="263">
        <f>P13</f>
        <v>2.5</v>
      </c>
      <c r="F22" s="263" t="s">
        <v>84</v>
      </c>
      <c r="G22" s="263">
        <f>P14</f>
        <v>0.05</v>
      </c>
      <c r="H22" s="263" t="s">
        <v>86</v>
      </c>
      <c r="I22" s="263">
        <f>P19</f>
        <v>1.7</v>
      </c>
      <c r="K22" s="247" t="s">
        <v>347</v>
      </c>
      <c r="M22" s="376"/>
      <c r="N22" s="552"/>
      <c r="O22" s="21" t="s">
        <v>20</v>
      </c>
      <c r="P22" s="32">
        <v>17.5</v>
      </c>
      <c r="Q22" s="21" t="s">
        <v>23</v>
      </c>
      <c r="R22" s="216"/>
      <c r="U22" s="21" t="s">
        <v>50</v>
      </c>
      <c r="V22" s="21" t="s">
        <v>274</v>
      </c>
      <c r="W22" s="21" t="s">
        <v>276</v>
      </c>
      <c r="X22" s="21" t="s">
        <v>277</v>
      </c>
      <c r="Y22" s="21" t="str">
        <f>IF($P$21&lt;=20,"correto","erro")</f>
        <v>erro</v>
      </c>
      <c r="Z22" s="21" t="str">
        <f>IF($P$8&lt;=0.04,"baixo","erro")</f>
        <v>erro</v>
      </c>
      <c r="AA22" s="21" t="str">
        <f>IF(AND($P$8&gt;=0.041,$P$8&lt;=0.1),"medio","erro")</f>
        <v>erro</v>
      </c>
      <c r="AB22" s="21" t="str">
        <f>IF($P$8&gt;0.101,"adequado","erro")</f>
        <v>adequado</v>
      </c>
      <c r="AC22" s="21" t="str">
        <f>IF(Z22="baixo","baixo",IF(AA22="medio","medio",IF(AB22="adequado","adequado",0)))</f>
        <v>adequado</v>
      </c>
      <c r="AD22" s="583" t="str">
        <f>VLOOKUP("correto",Y22:AC23,5,0)</f>
        <v>adequado</v>
      </c>
      <c r="AO22" s="47"/>
      <c r="AP22" s="47"/>
      <c r="AQ22" s="47"/>
      <c r="AR22" s="47"/>
      <c r="AS22" s="47"/>
      <c r="AT22" s="47"/>
      <c r="AU22" s="47"/>
      <c r="AV22" s="47"/>
      <c r="AW22" s="47"/>
      <c r="AX22" s="47"/>
      <c r="AY22" s="47"/>
      <c r="AZ22" s="47"/>
      <c r="BA22" s="47"/>
      <c r="BB22" s="47"/>
    </row>
    <row r="23" spans="2:54" ht="19.5" customHeight="1" x14ac:dyDescent="0.25">
      <c r="B23" s="264" t="s">
        <v>82</v>
      </c>
      <c r="C23" s="265">
        <f>P7</f>
        <v>0.5</v>
      </c>
      <c r="D23" s="263" t="s">
        <v>129</v>
      </c>
      <c r="E23" s="263">
        <f>P11</f>
        <v>4</v>
      </c>
      <c r="F23" s="263" t="s">
        <v>87</v>
      </c>
      <c r="G23" s="263">
        <f>P16</f>
        <v>0.6</v>
      </c>
      <c r="H23" s="263" t="s">
        <v>83</v>
      </c>
      <c r="I23" s="263">
        <f>P15</f>
        <v>2.2999999999999998</v>
      </c>
      <c r="K23" s="247" t="s">
        <v>348</v>
      </c>
      <c r="M23" s="376"/>
      <c r="N23" s="552"/>
      <c r="O23" s="21" t="s">
        <v>21</v>
      </c>
      <c r="P23" s="32">
        <v>16.899999999999999</v>
      </c>
      <c r="Q23" s="21" t="s">
        <v>10</v>
      </c>
      <c r="R23" s="216"/>
      <c r="U23" s="21" t="s">
        <v>61</v>
      </c>
      <c r="V23" s="21" t="s">
        <v>275</v>
      </c>
      <c r="W23" s="21" t="s">
        <v>278</v>
      </c>
      <c r="X23" s="21" t="s">
        <v>279</v>
      </c>
      <c r="Y23" s="21" t="str">
        <f>IF($P$21&gt;20,"correto","erro")</f>
        <v>correto</v>
      </c>
      <c r="Z23" s="21" t="str">
        <f>IF($P$8&lt;=0.06,"baixo","erro")</f>
        <v>erro</v>
      </c>
      <c r="AA23" s="21" t="str">
        <f>IF(AND($P$8&gt;=0.061,$P$8&lt;=0.2),"medio","erro")</f>
        <v>erro</v>
      </c>
      <c r="AB23" s="21" t="str">
        <f>IF($P$8&gt;0.201,"adequado","erro")</f>
        <v>adequado</v>
      </c>
      <c r="AC23" s="21" t="str">
        <f>IF(Z23="baixo","baixo",IF(AA23="medio","medio",IF(AB23="adequado","adequado",0)))</f>
        <v>adequado</v>
      </c>
      <c r="AD23" s="545"/>
      <c r="AO23" s="47"/>
      <c r="AP23" s="47"/>
      <c r="AQ23" s="47"/>
      <c r="AR23" s="47"/>
      <c r="AS23" s="47"/>
      <c r="AT23" s="47"/>
      <c r="AU23" s="47"/>
      <c r="AV23" s="47"/>
      <c r="AW23" s="47"/>
      <c r="AX23" s="47"/>
      <c r="AY23" s="47"/>
      <c r="AZ23" s="47"/>
      <c r="BA23" s="47"/>
      <c r="BB23" s="47"/>
    </row>
    <row r="24" spans="2:54" ht="19.5" customHeight="1" x14ac:dyDescent="0.25">
      <c r="B24" s="264" t="s">
        <v>80</v>
      </c>
      <c r="C24" s="265">
        <f>P8</f>
        <v>0.33</v>
      </c>
      <c r="D24" s="263" t="s">
        <v>130</v>
      </c>
      <c r="E24" s="263">
        <f>P10</f>
        <v>0</v>
      </c>
      <c r="F24" s="263" t="s">
        <v>89</v>
      </c>
      <c r="G24" s="263">
        <f>P17</f>
        <v>84.8</v>
      </c>
      <c r="H24" s="263" t="s">
        <v>131</v>
      </c>
      <c r="I24" s="263">
        <f>P25</f>
        <v>7.7799999999999994</v>
      </c>
      <c r="K24" s="247" t="s">
        <v>349</v>
      </c>
      <c r="M24" s="376"/>
      <c r="N24" s="552"/>
      <c r="O24" s="21" t="s">
        <v>22</v>
      </c>
      <c r="P24" s="263">
        <f>100*(P6+P7+P8+P9)/P25</f>
        <v>48.586118251928028</v>
      </c>
      <c r="Q24" s="21" t="s">
        <v>23</v>
      </c>
      <c r="R24" s="216"/>
      <c r="AO24" s="47"/>
      <c r="AP24" s="47"/>
      <c r="AQ24" s="47"/>
      <c r="AR24" s="47"/>
      <c r="AS24" s="59">
        <f>AS26-(SUM(AS27:AS36))</f>
        <v>0.6</v>
      </c>
      <c r="AT24" s="59">
        <f t="shared" ref="AT24:AV24" si="3">AT26-(SUM(AT27:AT36))</f>
        <v>0</v>
      </c>
      <c r="AU24" s="59">
        <f t="shared" si="3"/>
        <v>0</v>
      </c>
      <c r="AV24" s="59">
        <f t="shared" si="3"/>
        <v>0</v>
      </c>
      <c r="AW24" s="47"/>
      <c r="AX24" s="47"/>
      <c r="AY24" s="47"/>
      <c r="AZ24" s="47"/>
      <c r="BA24" s="47"/>
      <c r="BB24" s="47"/>
    </row>
    <row r="25" spans="2:54" ht="19.5" customHeight="1" thickBot="1" x14ac:dyDescent="0.3">
      <c r="K25" s="247" t="s">
        <v>588</v>
      </c>
      <c r="M25" s="376"/>
      <c r="N25" s="552"/>
      <c r="O25" s="21" t="s">
        <v>24</v>
      </c>
      <c r="P25" s="266">
        <f>(P6+P7+P8+P9+P11)</f>
        <v>7.7799999999999994</v>
      </c>
      <c r="Q25" s="21" t="s">
        <v>55</v>
      </c>
      <c r="R25" s="216"/>
      <c r="U25" s="21" t="s">
        <v>300</v>
      </c>
      <c r="V25" s="21" t="s">
        <v>313</v>
      </c>
      <c r="W25" s="21" t="s">
        <v>75</v>
      </c>
      <c r="X25" s="21" t="s">
        <v>71</v>
      </c>
      <c r="Y25" s="21" t="s">
        <v>314</v>
      </c>
      <c r="Z25" s="21" t="s">
        <v>315</v>
      </c>
      <c r="AO25" s="47"/>
      <c r="AP25" s="461" t="s">
        <v>258</v>
      </c>
      <c r="AQ25" s="461" t="s">
        <v>259</v>
      </c>
      <c r="AR25" s="461"/>
      <c r="AS25" s="222" t="s">
        <v>84</v>
      </c>
      <c r="AT25" s="222" t="s">
        <v>87</v>
      </c>
      <c r="AU25" s="222" t="s">
        <v>85</v>
      </c>
      <c r="AV25" s="222" t="s">
        <v>86</v>
      </c>
      <c r="AW25" s="47"/>
      <c r="AX25" s="47"/>
      <c r="AY25" s="47"/>
      <c r="AZ25" s="47"/>
      <c r="BA25" s="47"/>
      <c r="BB25" s="47"/>
    </row>
    <row r="26" spans="2:54" ht="19.5" customHeight="1" thickBot="1" x14ac:dyDescent="0.3">
      <c r="B26" s="373" t="s">
        <v>272</v>
      </c>
      <c r="C26" s="374"/>
      <c r="D26" s="374"/>
      <c r="E26" s="374"/>
      <c r="F26" s="374"/>
      <c r="G26" s="374"/>
      <c r="H26" s="374"/>
      <c r="I26" s="375"/>
      <c r="J26" s="267"/>
      <c r="K26" s="247" t="s">
        <v>590</v>
      </c>
      <c r="M26" s="217"/>
      <c r="N26" s="218"/>
      <c r="O26" s="218"/>
      <c r="P26" s="218"/>
      <c r="Q26" s="218"/>
      <c r="R26" s="219"/>
      <c r="U26" s="21" t="s">
        <v>50</v>
      </c>
      <c r="V26" s="21">
        <v>130000</v>
      </c>
      <c r="W26" s="210" t="s">
        <v>68</v>
      </c>
      <c r="X26" s="21" t="str">
        <f>CONCATENATE(U26," - ",W26)</f>
        <v>&lt; 20 - baixo</v>
      </c>
      <c r="Y26" s="21">
        <v>60000</v>
      </c>
      <c r="Z26" s="21">
        <v>230000</v>
      </c>
      <c r="AO26" s="47"/>
      <c r="AP26" s="461"/>
      <c r="AQ26" s="461"/>
      <c r="AR26" s="461"/>
      <c r="AS26" s="72">
        <f>AK9</f>
        <v>0.6</v>
      </c>
      <c r="AT26" s="72">
        <f>AK12</f>
        <v>0</v>
      </c>
      <c r="AU26" s="72">
        <f>AK15</f>
        <v>0</v>
      </c>
      <c r="AV26" s="72">
        <f>AK18</f>
        <v>0</v>
      </c>
      <c r="AW26" s="47"/>
      <c r="AX26" s="47"/>
      <c r="AY26" s="47"/>
      <c r="AZ26" s="47"/>
      <c r="BA26" s="47"/>
      <c r="BB26" s="47"/>
    </row>
    <row r="27" spans="2:54" ht="19.5" customHeight="1" thickBot="1" x14ac:dyDescent="0.3">
      <c r="B27" s="554" t="str">
        <f>IF($O$47&gt;0,$O$47,"-")</f>
        <v>AGROSILICIO</v>
      </c>
      <c r="C27" s="554"/>
      <c r="D27" s="268">
        <f>IF(J27&gt;0,J27,"-")</f>
        <v>2.5789473684210518</v>
      </c>
      <c r="E27" s="389" t="str">
        <f>IF(J27&gt;0,"toneladas por hectare ou,","-")</f>
        <v>toneladas por hectare ou,</v>
      </c>
      <c r="F27" s="389"/>
      <c r="G27" s="389"/>
      <c r="H27" s="269" t="s">
        <v>598</v>
      </c>
      <c r="I27" s="269">
        <f>IFERROR((D27*1000*VLOOKUP(B27,$V$56:$W$68,2,0)*$O$34),0)</f>
        <v>1444.2105263157889</v>
      </c>
      <c r="J27" s="270">
        <f>V51</f>
        <v>2.5789473684210518</v>
      </c>
      <c r="K27" s="247" t="s">
        <v>351</v>
      </c>
      <c r="U27" s="21" t="s">
        <v>50</v>
      </c>
      <c r="V27" s="21">
        <v>130000</v>
      </c>
      <c r="W27" s="210" t="s">
        <v>69</v>
      </c>
      <c r="X27" s="21" t="str">
        <f t="shared" ref="X27:X43" si="4">CONCATENATE(U27," - ",W27)</f>
        <v>&lt; 20 - medio</v>
      </c>
      <c r="Y27" s="21">
        <v>40000</v>
      </c>
      <c r="Z27" s="21">
        <v>190000</v>
      </c>
      <c r="AO27" s="47"/>
      <c r="AP27" s="447" t="s">
        <v>261</v>
      </c>
      <c r="AQ27" s="447" t="str">
        <f>B30</f>
        <v>-</v>
      </c>
      <c r="AR27" s="447"/>
      <c r="AS27" s="55">
        <f t="shared" ref="AS27:AS36" si="5">IFERROR(VLOOKUP(AQ27,$V$100:$AL$179,11,0)*0.01*VLOOKUP(AQ27,$B$27:$J$52,9,0),0)</f>
        <v>0</v>
      </c>
      <c r="AT27" s="55">
        <f t="shared" ref="AT27:AT36" si="6">IFERROR(VLOOKUP(AQ27,$V$100:$AL$179,12,0)*0.01*VLOOKUP(AQ27,$B$27:$J$52,9,0),0)</f>
        <v>0</v>
      </c>
      <c r="AU27" s="55">
        <f t="shared" ref="AU27:AU36" si="7">IFERROR(VLOOKUP(AQ27,$V$100:$AL$179,13,0)*0.01*VLOOKUP(AQ27,$B$27:$J$52,9,0),0)</f>
        <v>0</v>
      </c>
      <c r="AV27" s="55">
        <f t="shared" ref="AV27:AV36" si="8">IFERROR(VLOOKUP(AQ27,$V$100:$AL$179,14,0)*0.01*VLOOKUP(AQ27,$B$27:$J$52,9,0),0)</f>
        <v>0</v>
      </c>
      <c r="AW27" s="47"/>
      <c r="AX27" s="47"/>
      <c r="AY27" s="47"/>
      <c r="AZ27" s="47"/>
      <c r="BA27" s="47"/>
      <c r="BB27" s="47"/>
    </row>
    <row r="28" spans="2:54" ht="19.5" customHeight="1" x14ac:dyDescent="0.25">
      <c r="B28" s="554"/>
      <c r="C28" s="554"/>
      <c r="D28" s="271">
        <f>IF(J28&gt;0,J28,"-")</f>
        <v>0.25789473684210518</v>
      </c>
      <c r="E28" s="391" t="str">
        <f>IF(J28&gt;0,"gramas por metro quadrado","-")</f>
        <v>gramas por metro quadrado</v>
      </c>
      <c r="F28" s="391"/>
      <c r="G28" s="391"/>
      <c r="H28" s="272" t="s">
        <v>599</v>
      </c>
      <c r="I28" s="272">
        <f>I27/$E$18</f>
        <v>0.86652631578947326</v>
      </c>
      <c r="J28" s="270">
        <f>J27/10</f>
        <v>0.25789473684210518</v>
      </c>
      <c r="K28" s="247" t="s">
        <v>352</v>
      </c>
      <c r="M28" s="212"/>
      <c r="N28" s="213"/>
      <c r="O28" s="213"/>
      <c r="P28" s="213"/>
      <c r="Q28" s="213"/>
      <c r="R28" s="214"/>
      <c r="U28" s="21" t="s">
        <v>50</v>
      </c>
      <c r="V28" s="21">
        <v>130000</v>
      </c>
      <c r="W28" s="210" t="s">
        <v>70</v>
      </c>
      <c r="X28" s="21" t="str">
        <f t="shared" si="4"/>
        <v>&lt; 20 - adequado</v>
      </c>
      <c r="Y28" s="21">
        <v>20000</v>
      </c>
      <c r="Z28" s="21">
        <v>150000</v>
      </c>
      <c r="AE28" s="21" t="s">
        <v>63</v>
      </c>
      <c r="AG28" s="21" t="s">
        <v>63</v>
      </c>
      <c r="AI28" s="274" t="s">
        <v>63</v>
      </c>
      <c r="AK28" s="274" t="s">
        <v>63</v>
      </c>
      <c r="AL28" s="21" t="s">
        <v>77</v>
      </c>
      <c r="AO28" s="47"/>
      <c r="AP28" s="447"/>
      <c r="AQ28" s="447" t="str">
        <f>B48</f>
        <v>-</v>
      </c>
      <c r="AR28" s="447"/>
      <c r="AS28" s="55">
        <f t="shared" si="5"/>
        <v>0</v>
      </c>
      <c r="AT28" s="55">
        <f t="shared" si="6"/>
        <v>0</v>
      </c>
      <c r="AU28" s="55">
        <f t="shared" si="7"/>
        <v>0</v>
      </c>
      <c r="AV28" s="55">
        <f t="shared" si="8"/>
        <v>0</v>
      </c>
      <c r="AW28" s="47"/>
      <c r="AX28" s="47"/>
      <c r="AY28" s="47"/>
      <c r="AZ28" s="47"/>
      <c r="BA28" s="47"/>
      <c r="BB28" s="47"/>
    </row>
    <row r="29" spans="2:54" ht="19.5" customHeight="1" x14ac:dyDescent="0.25">
      <c r="D29" s="271"/>
      <c r="E29" s="391"/>
      <c r="F29" s="391"/>
      <c r="G29" s="391"/>
      <c r="H29" s="550"/>
      <c r="I29" s="550"/>
      <c r="J29" s="267"/>
      <c r="K29" s="247" t="s">
        <v>592</v>
      </c>
      <c r="M29" s="376" t="s">
        <v>211</v>
      </c>
      <c r="N29" s="552"/>
      <c r="O29" s="563" t="s">
        <v>600</v>
      </c>
      <c r="P29" s="564"/>
      <c r="Q29" s="565"/>
      <c r="R29" s="216"/>
      <c r="U29" s="21" t="s">
        <v>298</v>
      </c>
      <c r="V29" s="21">
        <v>160000</v>
      </c>
      <c r="W29" s="210" t="s">
        <v>68</v>
      </c>
      <c r="X29" s="21" t="str">
        <f t="shared" si="4"/>
        <v>20,1 - 30 - baixo</v>
      </c>
      <c r="Y29" s="21">
        <v>80000</v>
      </c>
      <c r="Z29" s="21">
        <v>290000</v>
      </c>
      <c r="AB29" s="582" t="s">
        <v>65</v>
      </c>
      <c r="AC29" s="582"/>
      <c r="AE29" s="21" t="s">
        <v>300</v>
      </c>
      <c r="AG29" s="21" t="s">
        <v>189</v>
      </c>
      <c r="AI29" s="274"/>
      <c r="AK29" s="275" t="str">
        <f>'[1]Adubos e corretivos'!E120</f>
        <v>Composto de lixo (COL)</v>
      </c>
      <c r="AL29" s="276">
        <f>'[1]Adubos e corretivos'!F120</f>
        <v>0.15</v>
      </c>
      <c r="AO29" s="47"/>
      <c r="AP29" s="447"/>
      <c r="AQ29" s="447" t="str">
        <f>B51</f>
        <v>Termofosfato YOORIN</v>
      </c>
      <c r="AR29" s="447"/>
      <c r="AS29" s="55">
        <f t="shared" si="5"/>
        <v>0</v>
      </c>
      <c r="AT29" s="55">
        <f t="shared" si="6"/>
        <v>0</v>
      </c>
      <c r="AU29" s="55">
        <f t="shared" si="7"/>
        <v>0</v>
      </c>
      <c r="AV29" s="55">
        <f t="shared" si="8"/>
        <v>0</v>
      </c>
      <c r="AW29" s="47"/>
      <c r="AX29" s="47"/>
      <c r="AY29" s="47"/>
      <c r="AZ29" s="47"/>
      <c r="BA29" s="47"/>
      <c r="BB29" s="47"/>
    </row>
    <row r="30" spans="2:54" ht="19.5" customHeight="1" x14ac:dyDescent="0.25">
      <c r="B30" s="554" t="str">
        <f>IF($O$50&gt;0,$O$50,"-")</f>
        <v>-</v>
      </c>
      <c r="C30" s="554"/>
      <c r="D30" s="268" t="str">
        <f>IF(J30&gt;0,J30,"-")</f>
        <v>-</v>
      </c>
      <c r="E30" s="391" t="str">
        <f>IF(J30&gt;0,"toneladas por hectare ou,","-")</f>
        <v>-</v>
      </c>
      <c r="F30" s="391"/>
      <c r="G30" s="391"/>
      <c r="H30" s="272" t="s">
        <v>598</v>
      </c>
      <c r="I30" s="272">
        <f>IFERROR((D30*1000*VLOOKUP(B30,$V$87:$W$95,2,0)*$O$34),0)</f>
        <v>0</v>
      </c>
      <c r="J30" s="270">
        <f>Z49</f>
        <v>0</v>
      </c>
      <c r="K30" s="247" t="s">
        <v>353</v>
      </c>
      <c r="M30" s="376"/>
      <c r="N30" s="552"/>
      <c r="O30" s="32"/>
      <c r="P30" s="277" t="s">
        <v>200</v>
      </c>
      <c r="Q30" s="32"/>
      <c r="R30" s="216"/>
      <c r="U30" s="21" t="s">
        <v>298</v>
      </c>
      <c r="V30" s="21">
        <v>160000</v>
      </c>
      <c r="W30" s="210" t="s">
        <v>69</v>
      </c>
      <c r="X30" s="21" t="str">
        <f t="shared" si="4"/>
        <v>20,1 - 30 - medio</v>
      </c>
      <c r="Y30" s="21">
        <v>50000</v>
      </c>
      <c r="Z30" s="21">
        <v>240000</v>
      </c>
      <c r="AB30" s="31" t="s">
        <v>33</v>
      </c>
      <c r="AC30" s="277">
        <f>(VLOOKUP($P$39,$U$26:$V$40,2,0)/$E$18)/AD30</f>
        <v>138</v>
      </c>
      <c r="AD30" s="278">
        <f>'[1]Abacate produção'!AD30</f>
        <v>1</v>
      </c>
      <c r="AE30" s="21" t="s">
        <v>34</v>
      </c>
      <c r="AG30" s="21" t="s">
        <v>190</v>
      </c>
      <c r="AI30" s="274">
        <v>0</v>
      </c>
      <c r="AK30" s="279" t="str">
        <f>'[1]Adubos e corretivos'!E121</f>
        <v>Cama de frango corte</v>
      </c>
      <c r="AL30" s="280">
        <f>'[1]Adubos e corretivos'!F121</f>
        <v>0.25</v>
      </c>
      <c r="AO30" s="47"/>
      <c r="AP30" s="447"/>
      <c r="AQ30" s="447" t="str">
        <f>B54</f>
        <v>-</v>
      </c>
      <c r="AR30" s="447"/>
      <c r="AS30" s="55">
        <f t="shared" si="5"/>
        <v>0</v>
      </c>
      <c r="AT30" s="55">
        <f t="shared" si="6"/>
        <v>0</v>
      </c>
      <c r="AU30" s="55">
        <f t="shared" si="7"/>
        <v>0</v>
      </c>
      <c r="AV30" s="55">
        <f t="shared" si="8"/>
        <v>0</v>
      </c>
      <c r="AW30" s="47"/>
      <c r="AX30" s="47"/>
      <c r="AY30" s="47"/>
      <c r="AZ30" s="47"/>
      <c r="BA30" s="47"/>
      <c r="BB30" s="47"/>
    </row>
    <row r="31" spans="2:54" ht="19.5" customHeight="1" x14ac:dyDescent="0.25">
      <c r="B31" s="554"/>
      <c r="C31" s="554"/>
      <c r="D31" s="271" t="str">
        <f>IF(J31&gt;0,J31,"-")</f>
        <v>-</v>
      </c>
      <c r="E31" s="391" t="str">
        <f>IF(J31&gt;0,"gramas por metro quadrado","-")</f>
        <v>-</v>
      </c>
      <c r="F31" s="391"/>
      <c r="G31" s="391"/>
      <c r="H31" s="272" t="s">
        <v>599</v>
      </c>
      <c r="I31" s="272">
        <f>I30/E18</f>
        <v>0</v>
      </c>
      <c r="J31" s="270">
        <f>J30/10</f>
        <v>0</v>
      </c>
      <c r="K31" s="247" t="s">
        <v>354</v>
      </c>
      <c r="M31" s="376"/>
      <c r="N31" s="552"/>
      <c r="O31" s="563" t="s">
        <v>601</v>
      </c>
      <c r="P31" s="564"/>
      <c r="Q31" s="565"/>
      <c r="R31" s="216"/>
      <c r="U31" s="21" t="s">
        <v>298</v>
      </c>
      <c r="V31" s="21">
        <v>160000</v>
      </c>
      <c r="W31" s="210" t="s">
        <v>70</v>
      </c>
      <c r="X31" s="21" t="str">
        <f t="shared" si="4"/>
        <v>20,1 - 30 - adequado</v>
      </c>
      <c r="Y31" s="21">
        <v>30000</v>
      </c>
      <c r="Z31" s="21">
        <v>190000</v>
      </c>
      <c r="AB31" s="31" t="s">
        <v>66</v>
      </c>
      <c r="AC31" s="31">
        <f>(VLOOKUP(AB36,X26:Z40,2,0)/$E$18)/AD31</f>
        <v>66</v>
      </c>
      <c r="AD31" s="278">
        <f>'[1]Abacate produção'!AD31</f>
        <v>1</v>
      </c>
      <c r="AE31" s="21" t="s">
        <v>50</v>
      </c>
      <c r="AG31" s="281">
        <f>10000/((($O$32/2)+($P$32/2))*$Q$32)</f>
        <v>1666.6666666666667</v>
      </c>
      <c r="AI31" s="274">
        <v>0.1</v>
      </c>
      <c r="AK31" s="275" t="str">
        <f>'[1]Adubos e corretivos'!E122</f>
        <v>Esterco de galinha</v>
      </c>
      <c r="AL31" s="276">
        <f>'[1]Adubos e corretivos'!F122</f>
        <v>0.25</v>
      </c>
      <c r="AO31" s="47"/>
      <c r="AP31" s="447"/>
      <c r="AQ31" s="447" t="str">
        <f>B57</f>
        <v>Kmag</v>
      </c>
      <c r="AR31" s="447"/>
      <c r="AS31" s="55">
        <f t="shared" si="5"/>
        <v>0</v>
      </c>
      <c r="AT31" s="55">
        <f t="shared" si="6"/>
        <v>0</v>
      </c>
      <c r="AU31" s="55">
        <f t="shared" si="7"/>
        <v>0</v>
      </c>
      <c r="AV31" s="55">
        <f t="shared" si="8"/>
        <v>0</v>
      </c>
      <c r="AW31" s="47"/>
      <c r="AX31" s="47"/>
      <c r="AY31" s="47"/>
      <c r="AZ31" s="47"/>
      <c r="BA31" s="47"/>
      <c r="BB31" s="47"/>
    </row>
    <row r="32" spans="2:54" ht="19.5" customHeight="1" x14ac:dyDescent="0.25">
      <c r="K32" s="247" t="s">
        <v>355</v>
      </c>
      <c r="M32" s="376"/>
      <c r="N32" s="552"/>
      <c r="O32" s="32">
        <v>4</v>
      </c>
      <c r="P32" s="32">
        <v>2</v>
      </c>
      <c r="Q32" s="32">
        <v>2</v>
      </c>
      <c r="R32" s="216"/>
      <c r="U32" s="21" t="s">
        <v>318</v>
      </c>
      <c r="V32" s="21">
        <v>230000</v>
      </c>
      <c r="W32" s="210" t="s">
        <v>68</v>
      </c>
      <c r="X32" s="21" t="str">
        <f t="shared" si="4"/>
        <v>30,1 - 40 - baixo</v>
      </c>
      <c r="Y32" s="21">
        <v>110000</v>
      </c>
      <c r="Z32" s="21">
        <v>410000</v>
      </c>
      <c r="AB32" s="31" t="s">
        <v>67</v>
      </c>
      <c r="AC32" s="31">
        <f>(VLOOKUP($AB$39,X26:Z40,3,0)/$E$18)/AD32</f>
        <v>162</v>
      </c>
      <c r="AD32" s="278">
        <f>'[1]Abacate produção'!AD32</f>
        <v>1</v>
      </c>
      <c r="AE32" s="21" t="s">
        <v>298</v>
      </c>
      <c r="AI32" s="274">
        <v>0.2</v>
      </c>
      <c r="AK32" s="279" t="str">
        <f>'[1]Adubos e corretivos'!E123</f>
        <v>Esterco Bovino curtido</v>
      </c>
      <c r="AL32" s="280">
        <f>'[1]Adubos e corretivos'!F123</f>
        <v>0.25</v>
      </c>
      <c r="AO32" s="47"/>
      <c r="AP32" s="447"/>
      <c r="AQ32" s="447" t="str">
        <f>B60</f>
        <v>-</v>
      </c>
      <c r="AR32" s="447"/>
      <c r="AS32" s="55">
        <f t="shared" si="5"/>
        <v>0</v>
      </c>
      <c r="AT32" s="55">
        <f t="shared" si="6"/>
        <v>0</v>
      </c>
      <c r="AU32" s="55">
        <f t="shared" si="7"/>
        <v>0</v>
      </c>
      <c r="AV32" s="55">
        <f t="shared" si="8"/>
        <v>0</v>
      </c>
      <c r="AW32" s="47"/>
      <c r="AX32" s="47"/>
      <c r="AY32" s="47"/>
      <c r="AZ32" s="47"/>
      <c r="BA32" s="47"/>
      <c r="BB32" s="47"/>
    </row>
    <row r="33" spans="2:57" ht="19.5" customHeight="1" x14ac:dyDescent="0.25">
      <c r="B33" s="553" t="s">
        <v>533</v>
      </c>
      <c r="C33" s="553"/>
      <c r="D33" s="553"/>
      <c r="E33" s="553"/>
      <c r="F33" s="553"/>
      <c r="G33" s="553"/>
      <c r="H33" s="553"/>
      <c r="I33" s="553"/>
      <c r="K33" s="247" t="s">
        <v>593</v>
      </c>
      <c r="M33" s="376"/>
      <c r="N33" s="552"/>
      <c r="O33" s="563" t="s">
        <v>602</v>
      </c>
      <c r="P33" s="564"/>
      <c r="Q33" s="565"/>
      <c r="R33" s="216"/>
      <c r="U33" s="21" t="s">
        <v>318</v>
      </c>
      <c r="V33" s="21">
        <v>230000</v>
      </c>
      <c r="W33" s="210" t="s">
        <v>69</v>
      </c>
      <c r="X33" s="21" t="str">
        <f t="shared" si="4"/>
        <v>30,1 - 40 - medio</v>
      </c>
      <c r="Y33" s="21">
        <v>70000</v>
      </c>
      <c r="Z33" s="21">
        <v>340000</v>
      </c>
      <c r="AE33" s="21" t="s">
        <v>318</v>
      </c>
      <c r="AI33" s="274">
        <v>0.3</v>
      </c>
      <c r="AK33" s="275" t="str">
        <f>'[1]Adubos e corretivos'!E124</f>
        <v>Esterco de equino</v>
      </c>
      <c r="AL33" s="276">
        <f>'[1]Adubos e corretivos'!F124</f>
        <v>0.12</v>
      </c>
      <c r="AO33" s="47"/>
      <c r="AP33" s="447"/>
      <c r="AQ33" s="447" t="str">
        <f>B63</f>
        <v>-</v>
      </c>
      <c r="AR33" s="447"/>
      <c r="AS33" s="55">
        <f t="shared" si="5"/>
        <v>0</v>
      </c>
      <c r="AT33" s="55">
        <f t="shared" si="6"/>
        <v>0</v>
      </c>
      <c r="AU33" s="55">
        <f t="shared" si="7"/>
        <v>0</v>
      </c>
      <c r="AV33" s="55">
        <f t="shared" si="8"/>
        <v>0</v>
      </c>
      <c r="AW33" s="47"/>
      <c r="AX33" s="47"/>
      <c r="AY33" s="47"/>
      <c r="AZ33" s="47"/>
      <c r="BA33" s="47"/>
      <c r="BB33" s="47"/>
    </row>
    <row r="34" spans="2:57" ht="19.5" customHeight="1" x14ac:dyDescent="0.25">
      <c r="B34" s="553"/>
      <c r="C34" s="553"/>
      <c r="D34" s="553"/>
      <c r="E34" s="553"/>
      <c r="F34" s="553"/>
      <c r="G34" s="553"/>
      <c r="H34" s="553"/>
      <c r="I34" s="553"/>
      <c r="J34" s="282"/>
      <c r="K34" s="247" t="s">
        <v>594</v>
      </c>
      <c r="M34" s="376"/>
      <c r="N34" s="552"/>
      <c r="O34" s="448">
        <v>1</v>
      </c>
      <c r="P34" s="448"/>
      <c r="Q34" s="448"/>
      <c r="R34" s="216"/>
      <c r="U34" s="21" t="s">
        <v>318</v>
      </c>
      <c r="V34" s="21">
        <v>230000</v>
      </c>
      <c r="W34" s="210" t="s">
        <v>70</v>
      </c>
      <c r="X34" s="21" t="str">
        <f t="shared" si="4"/>
        <v>30,1 - 40 - adequado</v>
      </c>
      <c r="Y34" s="21">
        <v>40000</v>
      </c>
      <c r="Z34" s="21">
        <v>270000</v>
      </c>
      <c r="AE34" s="21" t="s">
        <v>320</v>
      </c>
      <c r="AI34" s="274">
        <v>0.4</v>
      </c>
      <c r="AK34" s="279" t="str">
        <f>'[1]Adubos e corretivos'!E125</f>
        <v>Esterco de suínos</v>
      </c>
      <c r="AL34" s="280">
        <f>'[1]Adubos e corretivos'!F125</f>
        <v>0.04</v>
      </c>
      <c r="AO34" s="47"/>
      <c r="AP34" s="447"/>
      <c r="AQ34" s="447" t="str">
        <f>B66</f>
        <v>Torta de mamona Hortibraz</v>
      </c>
      <c r="AR34" s="447"/>
      <c r="AS34" s="55">
        <f t="shared" si="5"/>
        <v>0</v>
      </c>
      <c r="AT34" s="55">
        <f t="shared" si="6"/>
        <v>0</v>
      </c>
      <c r="AU34" s="55">
        <f t="shared" si="7"/>
        <v>0</v>
      </c>
      <c r="AV34" s="55">
        <f t="shared" si="8"/>
        <v>0</v>
      </c>
      <c r="AW34" s="47"/>
      <c r="AX34" s="47"/>
      <c r="AY34" s="47"/>
      <c r="AZ34" s="47"/>
      <c r="BA34" s="47"/>
      <c r="BB34" s="47"/>
    </row>
    <row r="35" spans="2:57" ht="19.5" customHeight="1" thickBot="1" x14ac:dyDescent="0.3">
      <c r="B35" s="553"/>
      <c r="C35" s="553"/>
      <c r="D35" s="553"/>
      <c r="E35" s="553"/>
      <c r="F35" s="553"/>
      <c r="G35" s="553"/>
      <c r="H35" s="553"/>
      <c r="I35" s="553"/>
      <c r="J35" s="282"/>
      <c r="K35" s="252"/>
      <c r="M35" s="217"/>
      <c r="N35" s="218"/>
      <c r="O35" s="283">
        <f>IFERROR(IF(ISERR(P35),Q35,IF(ISERR(Q35),P35)),"-")</f>
        <v>1666.6666666666667</v>
      </c>
      <c r="P35" s="284" t="e">
        <f>10000/($O$30*$Q$30)</f>
        <v>#DIV/0!</v>
      </c>
      <c r="Q35" s="284">
        <f>10000/((($O$32/2)+($P$32/2))*$Q$32)</f>
        <v>1666.6666666666667</v>
      </c>
      <c r="R35" s="219"/>
      <c r="U35" s="21" t="s">
        <v>320</v>
      </c>
      <c r="V35" s="21">
        <v>300000</v>
      </c>
      <c r="W35" s="210" t="s">
        <v>68</v>
      </c>
      <c r="X35" s="21" t="str">
        <f t="shared" si="4"/>
        <v>40,1 - 50 - baixo</v>
      </c>
      <c r="Y35" s="21">
        <v>140000</v>
      </c>
      <c r="Z35" s="21">
        <v>520000</v>
      </c>
      <c r="AB35" s="538" t="s">
        <v>72</v>
      </c>
      <c r="AC35" s="538"/>
      <c r="AE35" s="21" t="s">
        <v>627</v>
      </c>
      <c r="AI35" s="274">
        <v>0.5</v>
      </c>
      <c r="AK35" s="275" t="str">
        <f>'[1]Adubos e corretivos'!E126</f>
        <v>Esterco de ovinos</v>
      </c>
      <c r="AL35" s="276">
        <f>'[1]Adubos e corretivos'!F126</f>
        <v>0.04</v>
      </c>
      <c r="AO35" s="47"/>
      <c r="AP35" s="447"/>
      <c r="AQ35" s="447" t="str">
        <f>B69</f>
        <v>-</v>
      </c>
      <c r="AR35" s="447"/>
      <c r="AS35" s="55">
        <f t="shared" si="5"/>
        <v>0</v>
      </c>
      <c r="AT35" s="55">
        <f t="shared" si="6"/>
        <v>0</v>
      </c>
      <c r="AU35" s="55">
        <f t="shared" si="7"/>
        <v>0</v>
      </c>
      <c r="AV35" s="55">
        <f t="shared" si="8"/>
        <v>0</v>
      </c>
      <c r="AW35" s="47"/>
      <c r="AX35" s="47"/>
      <c r="AY35" s="47"/>
      <c r="AZ35" s="47"/>
      <c r="BA35" s="47"/>
      <c r="BB35" s="47"/>
    </row>
    <row r="36" spans="2:57" ht="19.5" customHeight="1" thickBot="1" x14ac:dyDescent="0.3">
      <c r="J36" s="267"/>
      <c r="K36" s="282"/>
      <c r="M36" s="394"/>
      <c r="N36" s="394"/>
      <c r="O36" s="394"/>
      <c r="P36" s="394"/>
      <c r="Q36" s="394"/>
      <c r="R36" s="394"/>
      <c r="U36" s="21" t="s">
        <v>320</v>
      </c>
      <c r="V36" s="21">
        <v>300000</v>
      </c>
      <c r="W36" s="210" t="s">
        <v>69</v>
      </c>
      <c r="X36" s="21" t="str">
        <f t="shared" si="4"/>
        <v>40,1 - 50 - medio</v>
      </c>
      <c r="Y36" s="21">
        <v>90000</v>
      </c>
      <c r="Z36" s="21">
        <v>430000</v>
      </c>
      <c r="AB36" s="538" t="str">
        <f>CONCATENATE($P$39," - ",$AD$8)</f>
        <v>30,1 - 40 - baixo</v>
      </c>
      <c r="AC36" s="538"/>
      <c r="AE36" s="21" t="s">
        <v>628</v>
      </c>
      <c r="AI36" s="274">
        <v>0.6</v>
      </c>
      <c r="AK36" s="279" t="str">
        <f>'[1]Adubos e corretivos'!E127</f>
        <v>Lodo de esgosto</v>
      </c>
      <c r="AL36" s="280">
        <f>'[1]Adubos e corretivos'!F127</f>
        <v>0.1</v>
      </c>
      <c r="AO36" s="47"/>
      <c r="AP36" s="447"/>
      <c r="AQ36" s="447" t="str">
        <f>B72</f>
        <v>-</v>
      </c>
      <c r="AR36" s="447"/>
      <c r="AS36" s="55">
        <f t="shared" si="5"/>
        <v>0</v>
      </c>
      <c r="AT36" s="55">
        <f t="shared" si="6"/>
        <v>0</v>
      </c>
      <c r="AU36" s="55">
        <f t="shared" si="7"/>
        <v>0</v>
      </c>
      <c r="AV36" s="55">
        <f t="shared" si="8"/>
        <v>0</v>
      </c>
      <c r="AW36" s="47"/>
      <c r="AX36" s="47"/>
      <c r="AY36" s="47"/>
      <c r="AZ36" s="47"/>
      <c r="BA36" s="47"/>
      <c r="BB36" s="47"/>
    </row>
    <row r="37" spans="2:57" ht="19.5" customHeight="1" thickBot="1" x14ac:dyDescent="0.3">
      <c r="B37" s="373" t="s">
        <v>184</v>
      </c>
      <c r="C37" s="374"/>
      <c r="D37" s="374"/>
      <c r="E37" s="374"/>
      <c r="F37" s="374"/>
      <c r="G37" s="374"/>
      <c r="H37" s="374"/>
      <c r="I37" s="375"/>
      <c r="J37" s="267"/>
      <c r="K37" s="282"/>
      <c r="M37" s="212"/>
      <c r="N37" s="213"/>
      <c r="O37" s="213"/>
      <c r="P37" s="213"/>
      <c r="Q37" s="213"/>
      <c r="R37" s="214"/>
      <c r="U37" s="21" t="s">
        <v>320</v>
      </c>
      <c r="V37" s="21">
        <v>300000</v>
      </c>
      <c r="W37" s="210" t="s">
        <v>70</v>
      </c>
      <c r="X37" s="21" t="str">
        <f t="shared" si="4"/>
        <v>40,1 - 50 - adequado</v>
      </c>
      <c r="Y37" s="21">
        <v>50000</v>
      </c>
      <c r="Z37" s="21">
        <v>340000</v>
      </c>
      <c r="AI37" s="274">
        <v>0.7</v>
      </c>
      <c r="AK37" s="275" t="str">
        <f>'[1]Adubos e corretivos'!E128</f>
        <v>Compostos orgânicos</v>
      </c>
      <c r="AL37" s="276">
        <f>'[1]Adubos e corretivos'!F128</f>
        <v>0.7</v>
      </c>
      <c r="AO37" s="85"/>
      <c r="AP37" s="85"/>
      <c r="AQ37" s="85"/>
      <c r="AR37" s="85"/>
      <c r="AS37" s="59">
        <f>IF(AS24&gt;0,AS24,0)</f>
        <v>0.6</v>
      </c>
      <c r="AT37" s="59">
        <f>IF(AT24&gt;0,AT24,0)</f>
        <v>0</v>
      </c>
      <c r="AU37" s="59">
        <f>IF(AU24&gt;0,AU24,0)</f>
        <v>0</v>
      </c>
      <c r="AV37" s="59">
        <f>IF(AV24&gt;0,AV24,0)</f>
        <v>0</v>
      </c>
      <c r="AW37" s="47"/>
      <c r="AX37" s="47"/>
      <c r="AY37" s="47"/>
      <c r="AZ37" s="47"/>
      <c r="BA37" s="47"/>
      <c r="BB37" s="47"/>
    </row>
    <row r="38" spans="2:57" ht="19.5" customHeight="1" x14ac:dyDescent="0.25">
      <c r="B38" s="554" t="str">
        <f>IF($O$56&gt;0,$O$56,"-")</f>
        <v>Gesso Agronelli</v>
      </c>
      <c r="C38" s="554"/>
      <c r="D38" s="285">
        <f>IF(J38&gt;0,J38,"-")</f>
        <v>356.25</v>
      </c>
      <c r="E38" s="389" t="str">
        <f>IF(J38&gt;0,"quilos por hectare ou,","-")</f>
        <v>quilos por hectare ou,</v>
      </c>
      <c r="F38" s="389"/>
      <c r="G38" s="389"/>
      <c r="H38" s="269" t="s">
        <v>598</v>
      </c>
      <c r="I38" s="269">
        <f>IFERROR((D38*VLOOKUP(B38,$V$73:$W$82,2,0)*$O$34),0)</f>
        <v>270.75</v>
      </c>
      <c r="J38" s="286">
        <f>IF(O60="Não",P21*7.5, AE46)</f>
        <v>356.25</v>
      </c>
      <c r="K38" s="282"/>
      <c r="M38" s="376" t="s">
        <v>212</v>
      </c>
      <c r="N38" s="391"/>
      <c r="O38" s="582" t="s">
        <v>301</v>
      </c>
      <c r="P38" s="582"/>
      <c r="Q38" s="582"/>
      <c r="R38" s="216"/>
      <c r="U38" s="21" t="s">
        <v>627</v>
      </c>
      <c r="V38" s="21">
        <v>370000</v>
      </c>
      <c r="W38" s="210" t="s">
        <v>68</v>
      </c>
      <c r="X38" s="21" t="str">
        <f t="shared" si="4"/>
        <v>50,1 - 60 - baixo</v>
      </c>
      <c r="Y38" s="21">
        <v>170000</v>
      </c>
      <c r="Z38" s="21">
        <v>620000</v>
      </c>
      <c r="AB38" s="538" t="s">
        <v>73</v>
      </c>
      <c r="AC38" s="538"/>
      <c r="AI38" s="274">
        <v>0.8</v>
      </c>
      <c r="AO38" s="47"/>
      <c r="AP38" s="47"/>
      <c r="AQ38" s="47"/>
      <c r="AR38" s="47"/>
      <c r="AS38" s="47"/>
      <c r="AT38" s="47"/>
      <c r="AU38" s="47"/>
      <c r="AV38" s="47"/>
      <c r="AW38" s="47"/>
      <c r="AX38" s="47"/>
      <c r="AY38" s="47"/>
      <c r="AZ38" s="47"/>
      <c r="BA38" s="47"/>
      <c r="BB38" s="47"/>
    </row>
    <row r="39" spans="2:57" ht="19.5" customHeight="1" x14ac:dyDescent="0.25">
      <c r="B39" s="554"/>
      <c r="C39" s="554"/>
      <c r="D39" s="285">
        <f>IF(J39&gt;0,J39,"-")</f>
        <v>35.625</v>
      </c>
      <c r="E39" s="391" t="str">
        <f>IF(J39&gt;0,"gramas por metro quadrado","-")</f>
        <v>gramas por metro quadrado</v>
      </c>
      <c r="F39" s="391"/>
      <c r="G39" s="391"/>
      <c r="H39" s="272" t="s">
        <v>603</v>
      </c>
      <c r="I39" s="272">
        <f>I38/$E$18</f>
        <v>0.16244999999999998</v>
      </c>
      <c r="J39" s="286">
        <f>J38/10</f>
        <v>35.625</v>
      </c>
      <c r="K39" s="282"/>
      <c r="M39" s="376"/>
      <c r="N39" s="391"/>
      <c r="O39" s="21" t="s">
        <v>303</v>
      </c>
      <c r="P39" s="448" t="s">
        <v>318</v>
      </c>
      <c r="Q39" s="448"/>
      <c r="R39" s="216"/>
      <c r="U39" s="21" t="s">
        <v>627</v>
      </c>
      <c r="V39" s="21">
        <v>370000</v>
      </c>
      <c r="W39" s="210" t="s">
        <v>69</v>
      </c>
      <c r="X39" s="21" t="str">
        <f t="shared" si="4"/>
        <v>50,1 - 60 - medio</v>
      </c>
      <c r="Y39" s="21">
        <v>110000</v>
      </c>
      <c r="Z39" s="21">
        <v>520000</v>
      </c>
      <c r="AB39" s="538" t="str">
        <f>CONCATENATE($P$39," - ",$AD$22)</f>
        <v>30,1 - 40 - adequado</v>
      </c>
      <c r="AC39" s="538"/>
      <c r="AI39" s="274">
        <v>0.9</v>
      </c>
      <c r="AO39" s="47"/>
      <c r="AP39" s="447" t="s">
        <v>261</v>
      </c>
      <c r="AQ39" s="447"/>
      <c r="AR39" s="220" t="s">
        <v>84</v>
      </c>
      <c r="AS39" s="220" t="s">
        <v>87</v>
      </c>
      <c r="AT39" s="220" t="s">
        <v>85</v>
      </c>
      <c r="AU39" s="220" t="s">
        <v>86</v>
      </c>
      <c r="AV39" s="220" t="s">
        <v>225</v>
      </c>
      <c r="AW39" s="220" t="s">
        <v>84</v>
      </c>
      <c r="AX39" s="220" t="s">
        <v>87</v>
      </c>
      <c r="AY39" s="220" t="s">
        <v>85</v>
      </c>
      <c r="AZ39" s="220" t="s">
        <v>86</v>
      </c>
      <c r="BA39" s="47"/>
      <c r="BB39" s="47"/>
    </row>
    <row r="40" spans="2:57" ht="19.5" customHeight="1" x14ac:dyDescent="0.25">
      <c r="J40" s="267"/>
      <c r="K40" s="282"/>
      <c r="M40" s="376"/>
      <c r="N40" s="391"/>
      <c r="O40" s="215"/>
      <c r="P40" s="215"/>
      <c r="Q40" s="215"/>
      <c r="R40" s="216"/>
      <c r="U40" s="21" t="s">
        <v>627</v>
      </c>
      <c r="V40" s="21">
        <v>370000</v>
      </c>
      <c r="W40" s="210" t="s">
        <v>70</v>
      </c>
      <c r="X40" s="21" t="str">
        <f t="shared" si="4"/>
        <v>50,1 - 60 - adequado</v>
      </c>
      <c r="Y40" s="21">
        <v>60000</v>
      </c>
      <c r="Z40" s="21">
        <v>420000</v>
      </c>
      <c r="AI40" s="274">
        <v>1</v>
      </c>
      <c r="AO40" s="47"/>
      <c r="AP40" s="447" t="str">
        <f>O102</f>
        <v>Ácido Bórico</v>
      </c>
      <c r="AQ40" s="447"/>
      <c r="AR40" s="55">
        <f>IFERROR($AS$37/((VLOOKUP(AP40,$V$100:$AO$179,11,0)*0.01)),0)</f>
        <v>3.4285714285714279</v>
      </c>
      <c r="AS40" s="55">
        <f>IFERROR($AT$37/((VLOOKUP(AP40,$V$100:$AO$179,14,0)*0.01)),0)</f>
        <v>0</v>
      </c>
      <c r="AT40" s="55">
        <f>IFERROR($AU$37/((VLOOKUP(AP40,$V$100:$AO$179,12,0)*0.01)),0)</f>
        <v>0</v>
      </c>
      <c r="AU40" s="55">
        <f>IFERROR($AV$37/((VLOOKUP(AP40,$V$100:$AO$179,13,0)*0.01)),0)</f>
        <v>0</v>
      </c>
      <c r="AV40" s="55">
        <f>MAX(AR40:AU40)</f>
        <v>3.4285714285714279</v>
      </c>
      <c r="AW40" s="55">
        <f>IFERROR(AV40*(VLOOKUP(AP40,$V$100:$AO$179,11,0)*0.01),0)</f>
        <v>0.6</v>
      </c>
      <c r="AX40" s="55">
        <f>IFERROR(AV40*(VLOOKUP(AP40,$V$100:$AO$179,14,0)*0.01),0)</f>
        <v>0</v>
      </c>
      <c r="AY40" s="55">
        <f>IFERROR(AV40*(VLOOKUP(AP40,$V$100:$AO$179,12,0)*0.01),0)</f>
        <v>0</v>
      </c>
      <c r="AZ40" s="55">
        <f>IFERROR(AV40*(VLOOKUP(AP40,$V$100:$AO$179,13,0)*0.01),0)</f>
        <v>0</v>
      </c>
      <c r="BA40" s="47"/>
      <c r="BB40" s="47"/>
    </row>
    <row r="41" spans="2:57" ht="19.5" customHeight="1" x14ac:dyDescent="0.25">
      <c r="B41" s="553" t="s">
        <v>534</v>
      </c>
      <c r="C41" s="553"/>
      <c r="D41" s="553"/>
      <c r="E41" s="553"/>
      <c r="F41" s="553"/>
      <c r="G41" s="553"/>
      <c r="H41" s="553"/>
      <c r="I41" s="553"/>
      <c r="J41" s="267"/>
      <c r="K41" s="282"/>
      <c r="M41" s="376"/>
      <c r="N41" s="391"/>
      <c r="O41" s="582" t="s">
        <v>308</v>
      </c>
      <c r="P41" s="582"/>
      <c r="Q41" s="582"/>
      <c r="R41" s="216"/>
      <c r="U41" s="21" t="s">
        <v>628</v>
      </c>
      <c r="V41" s="21">
        <v>440000</v>
      </c>
      <c r="W41" s="210" t="s">
        <v>68</v>
      </c>
      <c r="X41" s="21" t="str">
        <f t="shared" si="4"/>
        <v>60,1 - 70 - baixo</v>
      </c>
      <c r="Y41" s="21">
        <v>200000</v>
      </c>
      <c r="Z41" s="21">
        <v>740000</v>
      </c>
      <c r="AO41" s="47"/>
      <c r="AP41" s="447" t="str">
        <f>O103</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9">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15"/>
      <c r="BD41" s="215"/>
      <c r="BE41" s="215"/>
    </row>
    <row r="42" spans="2:57" ht="19.5" customHeight="1" x14ac:dyDescent="0.25">
      <c r="B42" s="553"/>
      <c r="C42" s="553"/>
      <c r="D42" s="553"/>
      <c r="E42" s="553"/>
      <c r="F42" s="553"/>
      <c r="G42" s="553"/>
      <c r="H42" s="553"/>
      <c r="I42" s="553"/>
      <c r="J42" s="267"/>
      <c r="K42" s="282"/>
      <c r="M42" s="376"/>
      <c r="N42" s="391"/>
      <c r="O42" s="483"/>
      <c r="P42" s="513"/>
      <c r="Q42" s="484"/>
      <c r="R42" s="216"/>
      <c r="U42" s="21" t="s">
        <v>628</v>
      </c>
      <c r="V42" s="21">
        <v>440000</v>
      </c>
      <c r="W42" s="210" t="s">
        <v>69</v>
      </c>
      <c r="X42" s="21" t="str">
        <f t="shared" si="4"/>
        <v>60,1 - 70 - medio</v>
      </c>
      <c r="Y42" s="21">
        <v>130000</v>
      </c>
      <c r="Z42" s="21">
        <v>620000</v>
      </c>
      <c r="AO42" s="47"/>
      <c r="AP42" s="447" t="str">
        <f>O104</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9"/>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19.5" customHeight="1" thickBot="1" x14ac:dyDescent="0.3">
      <c r="J43" s="267"/>
      <c r="K43" s="282"/>
      <c r="M43" s="217"/>
      <c r="N43" s="218"/>
      <c r="O43" s="218"/>
      <c r="P43" s="218"/>
      <c r="Q43" s="218"/>
      <c r="R43" s="219"/>
      <c r="U43" s="21" t="s">
        <v>628</v>
      </c>
      <c r="V43" s="21">
        <v>440000</v>
      </c>
      <c r="W43" s="210" t="s">
        <v>70</v>
      </c>
      <c r="X43" s="21" t="str">
        <f t="shared" si="4"/>
        <v>60,1 - 70 - adequado</v>
      </c>
      <c r="Y43" s="21">
        <v>70000</v>
      </c>
      <c r="Z43" s="21">
        <v>480000</v>
      </c>
      <c r="AO43" s="47"/>
      <c r="AP43" s="447" t="str">
        <f>O105</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9"/>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19.5" customHeight="1" thickBot="1" x14ac:dyDescent="0.3">
      <c r="B44" s="577" t="s">
        <v>267</v>
      </c>
      <c r="C44" s="578"/>
      <c r="D44" s="578"/>
      <c r="E44" s="578"/>
      <c r="F44" s="578"/>
      <c r="G44" s="578"/>
      <c r="H44" s="578"/>
      <c r="I44" s="579"/>
      <c r="J44" s="286">
        <f>AV6</f>
        <v>0</v>
      </c>
      <c r="K44" s="282"/>
      <c r="M44" s="389"/>
      <c r="N44" s="389"/>
      <c r="O44" s="389"/>
      <c r="P44" s="389"/>
      <c r="Q44" s="389"/>
      <c r="R44" s="389"/>
      <c r="AO44" s="47"/>
      <c r="AP44" s="447">
        <f>O106</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19.5" customHeight="1" x14ac:dyDescent="0.25">
      <c r="B45" s="580" t="str">
        <f>IF(O42&gt;0,O42,"-")</f>
        <v>-</v>
      </c>
      <c r="C45" s="580"/>
      <c r="D45" s="287">
        <f>IFERROR((D46*$E$18),0)</f>
        <v>0</v>
      </c>
      <c r="E45" s="389" t="str">
        <f>IF(AQ58&gt;0,"quilos para área total","-")</f>
        <v>-</v>
      </c>
      <c r="F45" s="389"/>
      <c r="G45" s="389"/>
      <c r="H45" s="269" t="s">
        <v>598</v>
      </c>
      <c r="I45" s="272">
        <f>I46*$E$18*$I$18</f>
        <v>0</v>
      </c>
      <c r="J45" s="286">
        <f>AV7</f>
        <v>377.14285714285717</v>
      </c>
      <c r="K45" s="282"/>
      <c r="M45" s="212"/>
      <c r="N45" s="213"/>
      <c r="O45" s="581" t="s">
        <v>604</v>
      </c>
      <c r="P45" s="581"/>
      <c r="Q45" s="581"/>
      <c r="R45" s="214"/>
      <c r="U45" s="352" t="s">
        <v>108</v>
      </c>
      <c r="V45" s="354"/>
      <c r="X45" s="538" t="s">
        <v>202</v>
      </c>
      <c r="Y45" s="538"/>
      <c r="Z45" s="538"/>
      <c r="AB45" s="21" t="s">
        <v>605</v>
      </c>
      <c r="AC45" s="21" t="str">
        <f>IF($P$63&lt;=0.5,"Sim","Não")</f>
        <v>Não</v>
      </c>
      <c r="AD45" s="21" t="s">
        <v>190</v>
      </c>
      <c r="AE45" s="21">
        <f>P21*7.5</f>
        <v>356.25</v>
      </c>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19.5" customHeight="1" x14ac:dyDescent="0.25">
      <c r="B46" s="554"/>
      <c r="C46" s="554"/>
      <c r="D46" s="288" t="str">
        <f>IF(AQ58&gt;0,AQ58,"-")</f>
        <v>-</v>
      </c>
      <c r="E46" s="391" t="str">
        <f>IF(AQ58&gt;0,"quilos por cova ou planta","-")</f>
        <v>-</v>
      </c>
      <c r="F46" s="391"/>
      <c r="G46" s="391"/>
      <c r="H46" s="272" t="s">
        <v>603</v>
      </c>
      <c r="I46" s="272">
        <f>IFERROR(D46*VLOOKUP(B45,$AK$29:$AL$38,2,0),0)</f>
        <v>0</v>
      </c>
      <c r="J46" s="286">
        <f>AV8</f>
        <v>0</v>
      </c>
      <c r="K46" s="282"/>
      <c r="M46" s="376" t="s">
        <v>213</v>
      </c>
      <c r="N46" s="391"/>
      <c r="O46" s="576"/>
      <c r="P46" s="576"/>
      <c r="Q46" s="576"/>
      <c r="R46" s="216"/>
      <c r="U46" s="21" t="s">
        <v>109</v>
      </c>
      <c r="V46" s="263">
        <f>'[1]Adubos e corretivos'!C122</f>
        <v>70</v>
      </c>
      <c r="X46" s="574" t="s">
        <v>268</v>
      </c>
      <c r="Y46" s="574"/>
      <c r="Z46" s="263">
        <f>IFERROR(VLOOKUP(O50,$V$87:$AE$95,10,0),0)</f>
        <v>0</v>
      </c>
      <c r="AB46" s="21" t="s">
        <v>606</v>
      </c>
      <c r="AC46" s="21" t="str">
        <f>IF($P$64&gt;=0.5,"Sim","Não")</f>
        <v>Não</v>
      </c>
      <c r="AD46" s="21" t="s">
        <v>189</v>
      </c>
      <c r="AE46" s="21">
        <f>IF(OR(AC45="Sim",AC46="Sim",AC47="Sim"),P21*7.5,0)</f>
        <v>356.25</v>
      </c>
      <c r="AO46" s="47"/>
      <c r="AP46" s="47"/>
      <c r="AQ46" s="47"/>
      <c r="AR46" s="47"/>
      <c r="AS46" s="47"/>
      <c r="AT46" s="47"/>
      <c r="AU46" s="47"/>
      <c r="AV46" s="47"/>
      <c r="AW46" s="47"/>
      <c r="AX46" s="47"/>
      <c r="AY46" s="47"/>
      <c r="AZ46" s="47"/>
      <c r="BA46" s="47"/>
      <c r="BB46" s="47"/>
    </row>
    <row r="47" spans="2:57" ht="19.5" customHeight="1" x14ac:dyDescent="0.25">
      <c r="D47" s="290"/>
      <c r="J47" s="286">
        <f>AV12</f>
        <v>771.42857142857144</v>
      </c>
      <c r="K47" s="282"/>
      <c r="M47" s="376"/>
      <c r="N47" s="391"/>
      <c r="O47" s="483" t="s">
        <v>607</v>
      </c>
      <c r="P47" s="484"/>
      <c r="Q47" s="92">
        <v>1</v>
      </c>
      <c r="R47" s="216"/>
      <c r="U47" s="21" t="s">
        <v>111</v>
      </c>
      <c r="V47" s="263">
        <f>IFERROR((((V46-P24)*P25)/V49),0)</f>
        <v>2.5789473684210518</v>
      </c>
      <c r="X47" s="574" t="s">
        <v>203</v>
      </c>
      <c r="Y47" s="574"/>
      <c r="Z47" s="263">
        <f>IFERROR((($V$50/$Z$46)*$V$47),0)</f>
        <v>0</v>
      </c>
      <c r="AB47" s="21" t="s">
        <v>608</v>
      </c>
      <c r="AC47" s="21" t="str">
        <f>IF($P$65&gt;=20,"Sim","Não")</f>
        <v>Sim</v>
      </c>
      <c r="AD47" s="21"/>
      <c r="AE47" s="21"/>
      <c r="AO47" s="47"/>
      <c r="BA47" s="47"/>
      <c r="BB47" s="47"/>
    </row>
    <row r="48" spans="2:57" ht="19.5" customHeight="1" x14ac:dyDescent="0.25">
      <c r="B48" s="554" t="str">
        <f>IF(AQ6&gt;0,AQ6,"-")</f>
        <v>-</v>
      </c>
      <c r="C48" s="554"/>
      <c r="D48" s="287">
        <f>IFERROR(((D49/1000)*$E$18),0)</f>
        <v>0</v>
      </c>
      <c r="E48" s="391" t="str">
        <f>IF(J44&gt;0,"quilos para área total","-")</f>
        <v>-</v>
      </c>
      <c r="F48" s="391"/>
      <c r="G48" s="391"/>
      <c r="H48" s="272" t="s">
        <v>598</v>
      </c>
      <c r="I48" s="272">
        <f>I49*$E$18*$I$18</f>
        <v>0</v>
      </c>
      <c r="J48" s="286">
        <f>AV13</f>
        <v>0</v>
      </c>
      <c r="K48" s="282"/>
      <c r="M48" s="376"/>
      <c r="N48" s="391"/>
      <c r="O48" s="575"/>
      <c r="P48" s="575"/>
      <c r="Q48" s="575"/>
      <c r="R48" s="216"/>
      <c r="U48" s="21" t="s">
        <v>201</v>
      </c>
      <c r="V48" s="263">
        <f>IF(V47&lt;0,(0),IF(V47&gt;=0,(V47)))</f>
        <v>2.5789473684210518</v>
      </c>
      <c r="X48" s="574" t="s">
        <v>201</v>
      </c>
      <c r="Y48" s="574"/>
      <c r="Z48" s="263">
        <f>IFERROR(IF(Z47&lt;0,(0),IF(Z47&gt;=0,(Z47))),0)</f>
        <v>0</v>
      </c>
    </row>
    <row r="49" spans="2:50" ht="19.5" customHeight="1" x14ac:dyDescent="0.25">
      <c r="B49" s="554"/>
      <c r="C49" s="554"/>
      <c r="D49" s="288" t="str">
        <f>IF(J44&gt;0,J44,"-")</f>
        <v>-</v>
      </c>
      <c r="E49" s="391" t="str">
        <f>IF(J44&gt;0,"gramas por cova ou planta","-")</f>
        <v>-</v>
      </c>
      <c r="F49" s="391"/>
      <c r="G49" s="391"/>
      <c r="H49" s="272" t="s">
        <v>603</v>
      </c>
      <c r="I49" s="272">
        <f>IFERROR((D49/1000)*VLOOKUP(B48,$V$100:$W$179,2,0),0)</f>
        <v>0</v>
      </c>
      <c r="J49" s="286">
        <f>AV14</f>
        <v>0</v>
      </c>
      <c r="K49" s="282"/>
      <c r="M49" s="376"/>
      <c r="N49" s="391"/>
      <c r="O49" s="576"/>
      <c r="P49" s="576"/>
      <c r="Q49" s="576"/>
      <c r="R49" s="216"/>
      <c r="U49" s="21" t="s">
        <v>110</v>
      </c>
      <c r="V49" s="263">
        <f>IFERROR(VLOOKUP($O$47,$V$56:$AA$68,5,0),0)</f>
        <v>64.599999999999994</v>
      </c>
      <c r="X49" s="574" t="s">
        <v>273</v>
      </c>
      <c r="Y49" s="574"/>
      <c r="Z49" s="263">
        <f>Z48*$Q$50</f>
        <v>0</v>
      </c>
    </row>
    <row r="50" spans="2:50" ht="19.5" customHeight="1" x14ac:dyDescent="0.25">
      <c r="J50" s="286">
        <f>AV18</f>
        <v>0</v>
      </c>
      <c r="K50" s="282"/>
      <c r="L50" s="215"/>
      <c r="M50" s="376"/>
      <c r="N50" s="391"/>
      <c r="O50" s="483"/>
      <c r="P50" s="484"/>
      <c r="Q50" s="92"/>
      <c r="R50" s="216"/>
      <c r="U50" s="21" t="s">
        <v>193</v>
      </c>
      <c r="V50" s="263">
        <f>IFERROR(VLOOKUP($O$47,$V$56:$AA$68,6,0),0)</f>
        <v>45</v>
      </c>
      <c r="AT50" s="538" t="s">
        <v>280</v>
      </c>
      <c r="AU50" s="538"/>
      <c r="AV50" s="538"/>
    </row>
    <row r="51" spans="2:50" ht="19.5" customHeight="1" thickBot="1" x14ac:dyDescent="0.3">
      <c r="B51" s="554" t="str">
        <f>IF(AQ7&gt;0,AQ7,"-")</f>
        <v>Termofosfato YOORIN</v>
      </c>
      <c r="C51" s="554"/>
      <c r="D51" s="287">
        <f>IFERROR(((D52/1000)*$E$18),0)</f>
        <v>628.57142857142867</v>
      </c>
      <c r="E51" s="391" t="str">
        <f>IF(J45&gt;0,"quilos para área total","-")</f>
        <v>quilos para área total</v>
      </c>
      <c r="F51" s="391"/>
      <c r="G51" s="391"/>
      <c r="H51" s="272" t="s">
        <v>598</v>
      </c>
      <c r="I51" s="272">
        <f>I52*$E$18*$I$18</f>
        <v>1461.4285714285718</v>
      </c>
      <c r="J51" s="286">
        <f>AV19</f>
        <v>0</v>
      </c>
      <c r="K51" s="282"/>
      <c r="L51" s="215"/>
      <c r="M51" s="217"/>
      <c r="N51" s="218"/>
      <c r="O51" s="218"/>
      <c r="P51" s="218"/>
      <c r="Q51" s="218"/>
      <c r="R51" s="219"/>
      <c r="U51" s="21" t="s">
        <v>273</v>
      </c>
      <c r="V51" s="263">
        <f>V48*$Q$47</f>
        <v>2.5789473684210518</v>
      </c>
      <c r="AT51" s="221" t="s">
        <v>291</v>
      </c>
      <c r="AU51" s="291" t="str">
        <f>AK29</f>
        <v>Composto de lixo (COL)</v>
      </c>
      <c r="AV51" s="221">
        <v>12</v>
      </c>
    </row>
    <row r="52" spans="2:50" ht="19.5" customHeight="1" x14ac:dyDescent="0.25">
      <c r="B52" s="554"/>
      <c r="C52" s="554"/>
      <c r="D52" s="288">
        <f>IF(J45&gt;0,J45,"-")</f>
        <v>377.14285714285717</v>
      </c>
      <c r="E52" s="391" t="str">
        <f>IF(J45&gt;0,"gramas por planta","-")</f>
        <v>gramas por planta</v>
      </c>
      <c r="F52" s="391"/>
      <c r="G52" s="391"/>
      <c r="H52" s="272" t="s">
        <v>603</v>
      </c>
      <c r="I52" s="272">
        <f>IFERROR((D52/1000)*VLOOKUP(B51,$V$100:$W$179,2,0),0)</f>
        <v>0.876857142857143</v>
      </c>
      <c r="J52" s="286">
        <f>AV20</f>
        <v>0</v>
      </c>
      <c r="K52" s="282"/>
      <c r="L52" s="215"/>
      <c r="AT52" s="221" t="s">
        <v>291</v>
      </c>
      <c r="AU52" s="291" t="str">
        <f t="shared" ref="AU52:AU59" si="10">AK30</f>
        <v>Cama de frango corte</v>
      </c>
      <c r="AV52" s="221">
        <v>4</v>
      </c>
    </row>
    <row r="53" spans="2:50" ht="19.5" customHeight="1" thickBot="1" x14ac:dyDescent="0.3">
      <c r="J53" s="292"/>
      <c r="K53" s="282"/>
      <c r="L53" s="215"/>
      <c r="AP53" s="215"/>
      <c r="AQ53" s="215"/>
      <c r="AS53" s="215"/>
      <c r="AT53" s="221" t="s">
        <v>291</v>
      </c>
      <c r="AU53" s="291" t="str">
        <f t="shared" si="10"/>
        <v>Esterco de galinha</v>
      </c>
      <c r="AV53" s="221">
        <v>4</v>
      </c>
    </row>
    <row r="54" spans="2:50" ht="19.5" customHeight="1" x14ac:dyDescent="0.25">
      <c r="B54" s="554" t="str">
        <f>IF(AQ8&gt;0,AQ8,"-")</f>
        <v>-</v>
      </c>
      <c r="C54" s="554"/>
      <c r="D54" s="287">
        <f>IFERROR(((D55/1000)*$E$18),0)</f>
        <v>0</v>
      </c>
      <c r="E54" s="391" t="str">
        <f>IF(J46&gt;0,"quilos para área total","-")</f>
        <v>-</v>
      </c>
      <c r="F54" s="391"/>
      <c r="G54" s="391"/>
      <c r="H54" s="272" t="s">
        <v>598</v>
      </c>
      <c r="I54" s="272">
        <f>I55*$E$18*$I$18</f>
        <v>0</v>
      </c>
      <c r="J54" s="282"/>
      <c r="K54" s="282"/>
      <c r="M54" s="212"/>
      <c r="N54" s="213"/>
      <c r="O54" s="213"/>
      <c r="P54" s="213"/>
      <c r="Q54" s="213"/>
      <c r="R54" s="214"/>
      <c r="U54" s="572" t="s">
        <v>136</v>
      </c>
      <c r="V54" s="572" t="s">
        <v>76</v>
      </c>
      <c r="W54" s="572" t="s">
        <v>77</v>
      </c>
      <c r="X54" s="572" t="s">
        <v>78</v>
      </c>
      <c r="Y54" s="572"/>
      <c r="Z54" s="572"/>
      <c r="AA54" s="572"/>
      <c r="AP54" s="540"/>
      <c r="AQ54" s="540"/>
      <c r="AS54" s="540"/>
      <c r="AT54" s="221" t="s">
        <v>291</v>
      </c>
      <c r="AU54" s="291" t="str">
        <f t="shared" si="10"/>
        <v>Esterco Bovino curtido</v>
      </c>
      <c r="AV54" s="221">
        <v>12</v>
      </c>
    </row>
    <row r="55" spans="2:50" ht="19.5" customHeight="1" x14ac:dyDescent="0.25">
      <c r="B55" s="554"/>
      <c r="C55" s="554"/>
      <c r="D55" s="288" t="str">
        <f>IF(J46&gt;0,J46,"-")</f>
        <v>-</v>
      </c>
      <c r="E55" s="391" t="str">
        <f>IF(J46&gt;0,"gramas por planta","-")</f>
        <v>-</v>
      </c>
      <c r="F55" s="391"/>
      <c r="G55" s="391"/>
      <c r="H55" s="272" t="s">
        <v>603</v>
      </c>
      <c r="I55" s="272">
        <f>IFERROR((D55/1000)*VLOOKUP(B54,$V$100:$W$179,2,0),0)</f>
        <v>0</v>
      </c>
      <c r="J55" s="282"/>
      <c r="K55" s="282"/>
      <c r="M55" s="376" t="s">
        <v>214</v>
      </c>
      <c r="N55" s="391"/>
      <c r="O55" s="563" t="s">
        <v>307</v>
      </c>
      <c r="P55" s="564"/>
      <c r="Q55" s="565"/>
      <c r="R55" s="216"/>
      <c r="U55" s="572"/>
      <c r="V55" s="572"/>
      <c r="W55" s="572"/>
      <c r="X55" s="293" t="s">
        <v>105</v>
      </c>
      <c r="Y55" s="293" t="s">
        <v>106</v>
      </c>
      <c r="Z55" s="293" t="s">
        <v>107</v>
      </c>
      <c r="AA55" s="293" t="s">
        <v>195</v>
      </c>
      <c r="AP55" s="540"/>
      <c r="AQ55" s="540"/>
      <c r="AS55" s="540"/>
      <c r="AT55" s="221" t="s">
        <v>291</v>
      </c>
      <c r="AU55" s="291" t="str">
        <f t="shared" si="10"/>
        <v>Esterco de equino</v>
      </c>
      <c r="AV55" s="221">
        <v>12</v>
      </c>
    </row>
    <row r="56" spans="2:50" ht="19.5" customHeight="1" x14ac:dyDescent="0.25">
      <c r="J56" s="282"/>
      <c r="K56" s="282"/>
      <c r="M56" s="376"/>
      <c r="N56" s="391"/>
      <c r="O56" s="448" t="s">
        <v>188</v>
      </c>
      <c r="P56" s="448"/>
      <c r="Q56" s="448"/>
      <c r="R56" s="216"/>
      <c r="U56" s="573" t="s">
        <v>185</v>
      </c>
      <c r="V56" s="294" t="str">
        <f>'[1]Adubos e corretivos'!C87</f>
        <v>AGROSILICIO</v>
      </c>
      <c r="W56" s="294">
        <f>'[1]Adubos e corretivos'!D87</f>
        <v>0.56000000000000005</v>
      </c>
      <c r="X56" s="294">
        <f>'[1]Adubos e corretivos'!E87</f>
        <v>36</v>
      </c>
      <c r="Y56" s="294">
        <f>'[1]Adubos e corretivos'!F87</f>
        <v>9</v>
      </c>
      <c r="Z56" s="294">
        <f>'[1]Adubos e corretivos'!G87</f>
        <v>64.599999999999994</v>
      </c>
      <c r="AA56" s="294">
        <f>'[1]Adubos e corretivos'!H87</f>
        <v>45</v>
      </c>
      <c r="AP56" s="215"/>
      <c r="AQ56" s="215"/>
      <c r="AS56" s="215"/>
      <c r="AT56" s="221" t="s">
        <v>291</v>
      </c>
      <c r="AU56" s="291" t="str">
        <f t="shared" si="10"/>
        <v>Esterco de suínos</v>
      </c>
      <c r="AV56" s="221">
        <v>4</v>
      </c>
    </row>
    <row r="57" spans="2:50" ht="19.5" customHeight="1" x14ac:dyDescent="0.25">
      <c r="B57" s="554" t="str">
        <f>IF(AQ12&gt;0,AQ12,"-")</f>
        <v>Kmag</v>
      </c>
      <c r="C57" s="554"/>
      <c r="D57" s="287">
        <f>IFERROR(((D58/1000)*$E$18),0)</f>
        <v>1285.7142857142858</v>
      </c>
      <c r="E57" s="555" t="str">
        <f>IF(J47&gt;0,"quilos para área total","-")</f>
        <v>quilos para área total</v>
      </c>
      <c r="F57" s="555"/>
      <c r="G57" s="555"/>
      <c r="H57" s="272" t="s">
        <v>598</v>
      </c>
      <c r="I57" s="272">
        <f>I58*$E$18*$I$18</f>
        <v>3728.5714285714289</v>
      </c>
      <c r="J57" s="282"/>
      <c r="K57" s="282"/>
      <c r="M57" s="376"/>
      <c r="N57" s="391"/>
      <c r="R57" s="216"/>
      <c r="U57" s="573"/>
      <c r="V57" s="294" t="str">
        <f>'[1]Adubos e corretivos'!C88</f>
        <v>BRITACAL Dolomítico</v>
      </c>
      <c r="W57" s="294">
        <f>'[1]Adubos e corretivos'!D88</f>
        <v>0</v>
      </c>
      <c r="X57" s="294">
        <f>'[1]Adubos e corretivos'!E88</f>
        <v>28</v>
      </c>
      <c r="Y57" s="294">
        <f>'[1]Adubos e corretivos'!F88</f>
        <v>15</v>
      </c>
      <c r="Z57" s="294">
        <f>'[1]Adubos e corretivos'!G88</f>
        <v>80</v>
      </c>
      <c r="AA57" s="294">
        <f>'[1]Adubos e corretivos'!H88</f>
        <v>43</v>
      </c>
      <c r="AP57" s="215"/>
      <c r="AQ57" s="448" t="s">
        <v>302</v>
      </c>
      <c r="AR57" s="448"/>
      <c r="AS57" s="215"/>
      <c r="AT57" s="221" t="s">
        <v>291</v>
      </c>
      <c r="AU57" s="291" t="str">
        <f t="shared" si="10"/>
        <v>Esterco de ovinos</v>
      </c>
      <c r="AV57" s="221">
        <v>4</v>
      </c>
    </row>
    <row r="58" spans="2:50" ht="19.5" customHeight="1" x14ac:dyDescent="0.25">
      <c r="B58" s="554"/>
      <c r="C58" s="554"/>
      <c r="D58" s="287">
        <f>IF(J47&gt;0,J47,"-")</f>
        <v>771.42857142857144</v>
      </c>
      <c r="E58" s="391" t="str">
        <f>IF(J47&gt;0,"gramas por planta","-")</f>
        <v>gramas por planta</v>
      </c>
      <c r="F58" s="391"/>
      <c r="G58" s="391"/>
      <c r="H58" s="272" t="s">
        <v>603</v>
      </c>
      <c r="I58" s="272">
        <f>IFERROR((D58/1000)*VLOOKUP(B57,$V$100:$W$179,2,0),0)</f>
        <v>2.2371428571428571</v>
      </c>
      <c r="J58" s="282"/>
      <c r="K58" s="282"/>
      <c r="M58" s="376"/>
      <c r="N58" s="391"/>
      <c r="O58" s="566" t="s">
        <v>609</v>
      </c>
      <c r="P58" s="567"/>
      <c r="Q58" s="568"/>
      <c r="R58" s="216"/>
      <c r="U58" s="573"/>
      <c r="V58" s="294" t="str">
        <f>'[1]Adubos e corretivos'!C89</f>
        <v>BRITACAL Filler</v>
      </c>
      <c r="W58" s="294">
        <f>'[1]Adubos e corretivos'!D89</f>
        <v>0</v>
      </c>
      <c r="X58" s="294">
        <f>'[1]Adubos e corretivos'!E89</f>
        <v>32</v>
      </c>
      <c r="Y58" s="294">
        <f>'[1]Adubos e corretivos'!F89</f>
        <v>15</v>
      </c>
      <c r="Z58" s="294">
        <f>'[1]Adubos e corretivos'!G89</f>
        <v>94</v>
      </c>
      <c r="AA58" s="294">
        <f>'[1]Adubos e corretivos'!H89</f>
        <v>47</v>
      </c>
      <c r="AP58" s="215"/>
      <c r="AQ58" s="448">
        <f>IFERROR(VLOOKUP($O$42,AU51:AV59,2,0),0)</f>
        <v>0</v>
      </c>
      <c r="AR58" s="448"/>
      <c r="AS58" s="215"/>
      <c r="AT58" s="221" t="s">
        <v>291</v>
      </c>
      <c r="AU58" s="291" t="str">
        <f t="shared" si="10"/>
        <v>Lodo de esgosto</v>
      </c>
      <c r="AV58" s="221">
        <v>4</v>
      </c>
    </row>
    <row r="59" spans="2:50" ht="19.5" customHeight="1" x14ac:dyDescent="0.25">
      <c r="J59" s="282"/>
      <c r="K59" s="282"/>
      <c r="M59" s="376"/>
      <c r="N59" s="391"/>
      <c r="O59" s="569"/>
      <c r="P59" s="570"/>
      <c r="Q59" s="571"/>
      <c r="R59" s="216"/>
      <c r="U59" s="573"/>
      <c r="V59" s="294">
        <f>'[1]Adubos e corretivos'!C90</f>
        <v>0</v>
      </c>
      <c r="W59" s="294">
        <f>'[1]Adubos e corretivos'!D90</f>
        <v>0</v>
      </c>
      <c r="X59" s="294">
        <f>'[1]Adubos e corretivos'!E90</f>
        <v>0</v>
      </c>
      <c r="Y59" s="294">
        <f>'[1]Adubos e corretivos'!F90</f>
        <v>0</v>
      </c>
      <c r="Z59" s="294">
        <f>'[1]Adubos e corretivos'!G90</f>
        <v>0</v>
      </c>
      <c r="AA59" s="294">
        <f>'[1]Adubos e corretivos'!H90</f>
        <v>0</v>
      </c>
      <c r="AP59" s="215"/>
      <c r="AS59" s="215"/>
      <c r="AT59" s="221" t="s">
        <v>291</v>
      </c>
      <c r="AU59" s="291" t="str">
        <f t="shared" si="10"/>
        <v>Compostos orgânicos</v>
      </c>
      <c r="AV59" s="221">
        <v>4</v>
      </c>
    </row>
    <row r="60" spans="2:50" ht="19.5" customHeight="1" x14ac:dyDescent="0.25">
      <c r="B60" s="554" t="str">
        <f>IF(AQ13&gt;0,AQ13,"-")</f>
        <v>-</v>
      </c>
      <c r="C60" s="554"/>
      <c r="D60" s="287">
        <f>IFERROR(((D61/1000)*$E$18),0)</f>
        <v>0</v>
      </c>
      <c r="E60" s="555" t="str">
        <f>IF(J48&gt;0,"quilos para área total","-")</f>
        <v>-</v>
      </c>
      <c r="F60" s="555"/>
      <c r="G60" s="555"/>
      <c r="H60" s="272" t="s">
        <v>598</v>
      </c>
      <c r="I60" s="272">
        <f>I61*$E$18*$I$18</f>
        <v>0</v>
      </c>
      <c r="J60" s="282"/>
      <c r="K60" s="282"/>
      <c r="M60" s="376"/>
      <c r="N60" s="391"/>
      <c r="O60" s="483" t="s">
        <v>189</v>
      </c>
      <c r="P60" s="513"/>
      <c r="Q60" s="484"/>
      <c r="R60" s="216"/>
      <c r="U60" s="573"/>
      <c r="V60" s="294">
        <f>'[1]Adubos e corretivos'!C91</f>
        <v>0</v>
      </c>
      <c r="W60" s="294">
        <f>'[1]Adubos e corretivos'!D91</f>
        <v>0</v>
      </c>
      <c r="X60" s="294">
        <f>'[1]Adubos e corretivos'!E91</f>
        <v>0</v>
      </c>
      <c r="Y60" s="294">
        <f>'[1]Adubos e corretivos'!F91</f>
        <v>0</v>
      </c>
      <c r="Z60" s="294">
        <f>'[1]Adubos e corretivos'!G91</f>
        <v>0</v>
      </c>
      <c r="AA60" s="294">
        <f>'[1]Adubos e corretivos'!H91</f>
        <v>0</v>
      </c>
      <c r="AP60" s="215"/>
      <c r="AQ60" s="215"/>
      <c r="AS60" s="215"/>
      <c r="AT60" s="215"/>
      <c r="AU60" s="215"/>
      <c r="AV60" s="215"/>
      <c r="AW60" s="215"/>
      <c r="AX60" s="215"/>
    </row>
    <row r="61" spans="2:50" ht="19.5" customHeight="1" x14ac:dyDescent="0.25">
      <c r="B61" s="554"/>
      <c r="C61" s="554"/>
      <c r="D61" s="287" t="str">
        <f>IF(J48&gt;0,J48,"-")</f>
        <v>-</v>
      </c>
      <c r="E61" s="391" t="str">
        <f>IF(J48&gt;0,"gramas por planta","-")</f>
        <v>-</v>
      </c>
      <c r="F61" s="391"/>
      <c r="G61" s="391"/>
      <c r="H61" s="272" t="s">
        <v>603</v>
      </c>
      <c r="I61" s="272">
        <f>IFERROR((D61/1000)*VLOOKUP(B60,$V$100:$W$179,2,0),0)</f>
        <v>0</v>
      </c>
      <c r="J61" s="282"/>
      <c r="K61" s="282"/>
      <c r="M61" s="376"/>
      <c r="N61" s="391"/>
      <c r="R61" s="216"/>
      <c r="U61" s="573"/>
      <c r="V61" s="294">
        <f>'[1]Adubos e corretivos'!C92</f>
        <v>0</v>
      </c>
      <c r="W61" s="294">
        <f>'[1]Adubos e corretivos'!D92</f>
        <v>0</v>
      </c>
      <c r="X61" s="294">
        <f>'[1]Adubos e corretivos'!E92</f>
        <v>0</v>
      </c>
      <c r="Y61" s="294">
        <f>'[1]Adubos e corretivos'!F92</f>
        <v>0</v>
      </c>
      <c r="Z61" s="294">
        <f>'[1]Adubos e corretivos'!G92</f>
        <v>0</v>
      </c>
      <c r="AA61" s="294">
        <f>'[1]Adubos e corretivos'!H92</f>
        <v>0</v>
      </c>
      <c r="AP61" s="215"/>
      <c r="AQ61" s="215"/>
      <c r="AS61" s="215"/>
      <c r="AT61" s="215"/>
      <c r="AU61" s="215"/>
      <c r="AV61" s="215"/>
      <c r="AW61" s="215"/>
      <c r="AX61" s="215"/>
    </row>
    <row r="62" spans="2:50" ht="19.5" customHeight="1" x14ac:dyDescent="0.25">
      <c r="J62" s="282"/>
      <c r="K62" s="282"/>
      <c r="M62" s="376"/>
      <c r="N62" s="391"/>
      <c r="O62" s="563" t="s">
        <v>610</v>
      </c>
      <c r="P62" s="564"/>
      <c r="Q62" s="565"/>
      <c r="R62" s="216"/>
      <c r="U62" s="573"/>
      <c r="V62" s="294">
        <f>'[1]Adubos e corretivos'!C93</f>
        <v>0</v>
      </c>
      <c r="W62" s="294">
        <f>'[1]Adubos e corretivos'!D93</f>
        <v>0</v>
      </c>
      <c r="X62" s="294">
        <f>'[1]Adubos e corretivos'!E93</f>
        <v>0</v>
      </c>
      <c r="Y62" s="294">
        <f>'[1]Adubos e corretivos'!F93</f>
        <v>0</v>
      </c>
      <c r="Z62" s="294">
        <f>'[1]Adubos e corretivos'!G93</f>
        <v>0</v>
      </c>
      <c r="AA62" s="294">
        <f>'[1]Adubos e corretivos'!H93</f>
        <v>0</v>
      </c>
      <c r="AS62" s="215"/>
      <c r="AT62" s="215"/>
      <c r="AU62" s="215"/>
      <c r="AV62" s="215"/>
      <c r="AW62" s="215"/>
      <c r="AX62" s="215"/>
    </row>
    <row r="63" spans="2:50" ht="19.5" customHeight="1" x14ac:dyDescent="0.25">
      <c r="B63" s="554" t="str">
        <f>IF(AQ14&gt;0,AQ14,"-")</f>
        <v>-</v>
      </c>
      <c r="C63" s="554"/>
      <c r="D63" s="287">
        <f>IFERROR(((D64/1000)*$E$18),0)</f>
        <v>0</v>
      </c>
      <c r="E63" s="555" t="str">
        <f>IF(J49&gt;0,"quilos para área total","-")</f>
        <v>-</v>
      </c>
      <c r="F63" s="555"/>
      <c r="G63" s="555"/>
      <c r="H63" s="272" t="s">
        <v>598</v>
      </c>
      <c r="I63" s="272">
        <f>I64*$E$18*$I$18</f>
        <v>0</v>
      </c>
      <c r="J63" s="282"/>
      <c r="K63" s="282"/>
      <c r="M63" s="376"/>
      <c r="N63" s="391"/>
      <c r="O63" s="21" t="s">
        <v>3</v>
      </c>
      <c r="P63" s="56">
        <v>2</v>
      </c>
      <c r="Q63" s="21" t="s">
        <v>55</v>
      </c>
      <c r="R63" s="216"/>
      <c r="U63" s="573"/>
      <c r="V63" s="294">
        <f>'[1]Adubos e corretivos'!C94</f>
        <v>0</v>
      </c>
      <c r="W63" s="294">
        <f>'[1]Adubos e corretivos'!D94</f>
        <v>0</v>
      </c>
      <c r="X63" s="294">
        <f>'[1]Adubos e corretivos'!E94</f>
        <v>0</v>
      </c>
      <c r="Y63" s="294">
        <f>'[1]Adubos e corretivos'!F94</f>
        <v>0</v>
      </c>
      <c r="Z63" s="294">
        <f>'[1]Adubos e corretivos'!G94</f>
        <v>0</v>
      </c>
      <c r="AA63" s="294">
        <f>'[1]Adubos e corretivos'!H94</f>
        <v>0</v>
      </c>
      <c r="AS63" s="215"/>
      <c r="AT63" s="215"/>
      <c r="AU63" s="215"/>
      <c r="AV63" s="215"/>
      <c r="AW63" s="215"/>
      <c r="AX63" s="215"/>
    </row>
    <row r="64" spans="2:50" ht="19.5" customHeight="1" x14ac:dyDescent="0.25">
      <c r="B64" s="554"/>
      <c r="C64" s="554"/>
      <c r="D64" s="287" t="str">
        <f>IF(J49&gt;0,J49,"-")</f>
        <v>-</v>
      </c>
      <c r="E64" s="391" t="str">
        <f>IF(J49&gt;0,"gramas por planta","-")</f>
        <v>-</v>
      </c>
      <c r="F64" s="391"/>
      <c r="G64" s="391"/>
      <c r="H64" s="272" t="s">
        <v>603</v>
      </c>
      <c r="I64" s="272">
        <f>IFERROR((D64/1000)*VLOOKUP(B63,$V$100:$W$179,2,0),0)</f>
        <v>0</v>
      </c>
      <c r="J64" s="282"/>
      <c r="K64" s="282"/>
      <c r="M64" s="376"/>
      <c r="N64" s="391"/>
      <c r="O64" s="21" t="s">
        <v>7</v>
      </c>
      <c r="P64" s="56">
        <v>0.4</v>
      </c>
      <c r="Q64" s="21" t="s">
        <v>55</v>
      </c>
      <c r="R64" s="216"/>
      <c r="U64" s="573"/>
      <c r="V64" s="294">
        <f>'[1]Adubos e corretivos'!C95</f>
        <v>0</v>
      </c>
      <c r="W64" s="294">
        <f>'[1]Adubos e corretivos'!D95</f>
        <v>0</v>
      </c>
      <c r="X64" s="294">
        <f>'[1]Adubos e corretivos'!E95</f>
        <v>0</v>
      </c>
      <c r="Y64" s="294">
        <f>'[1]Adubos e corretivos'!F95</f>
        <v>0</v>
      </c>
      <c r="Z64" s="294">
        <f>'[1]Adubos e corretivos'!G95</f>
        <v>0</v>
      </c>
      <c r="AA64" s="294">
        <f>'[1]Adubos e corretivos'!H95</f>
        <v>0</v>
      </c>
      <c r="AS64" s="215"/>
      <c r="AT64" s="215"/>
      <c r="AU64" s="215"/>
      <c r="AV64" s="215"/>
      <c r="AW64" s="215"/>
      <c r="AX64" s="215"/>
    </row>
    <row r="65" spans="2:50" ht="19.5" customHeight="1" x14ac:dyDescent="0.25">
      <c r="H65" s="272"/>
      <c r="I65" s="45"/>
      <c r="J65" s="282"/>
      <c r="K65" s="282"/>
      <c r="M65" s="376"/>
      <c r="N65" s="391"/>
      <c r="O65" s="21" t="s">
        <v>611</v>
      </c>
      <c r="P65" s="32">
        <v>25</v>
      </c>
      <c r="Q65" s="21" t="s">
        <v>23</v>
      </c>
      <c r="R65" s="216"/>
      <c r="U65" s="573"/>
      <c r="V65" s="294">
        <f>'[1]Adubos e corretivos'!C96</f>
        <v>0</v>
      </c>
      <c r="W65" s="294">
        <f>'[1]Adubos e corretivos'!D96</f>
        <v>0</v>
      </c>
      <c r="X65" s="294">
        <f>'[1]Adubos e corretivos'!E96</f>
        <v>0</v>
      </c>
      <c r="Y65" s="294">
        <f>'[1]Adubos e corretivos'!F96</f>
        <v>0</v>
      </c>
      <c r="Z65" s="294">
        <f>'[1]Adubos e corretivos'!G96</f>
        <v>0</v>
      </c>
      <c r="AA65" s="294">
        <f>'[1]Adubos e corretivos'!H96</f>
        <v>0</v>
      </c>
      <c r="AS65" s="215"/>
      <c r="AT65" s="215"/>
      <c r="AU65" s="215"/>
      <c r="AV65" s="215"/>
      <c r="AW65" s="215"/>
      <c r="AX65" s="215"/>
    </row>
    <row r="66" spans="2:50" ht="19.5" customHeight="1" thickBot="1" x14ac:dyDescent="0.3">
      <c r="B66" s="554" t="str">
        <f>IF(AQ18&gt;0,AQ18,"-")</f>
        <v>Torta de mamona Hortibraz</v>
      </c>
      <c r="C66" s="554"/>
      <c r="D66" s="287">
        <f>IFERROR(((D67/1000)*$E$18),0)</f>
        <v>0</v>
      </c>
      <c r="E66" s="555" t="str">
        <f>IF(J50&gt;0,"quilos para área total","-")</f>
        <v>-</v>
      </c>
      <c r="F66" s="555"/>
      <c r="G66" s="555"/>
      <c r="H66" s="272" t="s">
        <v>598</v>
      </c>
      <c r="I66" s="272">
        <f>I67*$E$18*$I$18</f>
        <v>0</v>
      </c>
      <c r="M66" s="217"/>
      <c r="N66" s="218"/>
      <c r="O66" s="218"/>
      <c r="P66" s="218"/>
      <c r="Q66" s="218"/>
      <c r="R66" s="219"/>
      <c r="U66" s="573"/>
      <c r="V66" s="294">
        <f>'[1]Adubos e corretivos'!C97</f>
        <v>0</v>
      </c>
      <c r="W66" s="294">
        <f>'[1]Adubos e corretivos'!D97</f>
        <v>0</v>
      </c>
      <c r="X66" s="294">
        <f>'[1]Adubos e corretivos'!E97</f>
        <v>0</v>
      </c>
      <c r="Y66" s="294">
        <f>'[1]Adubos e corretivos'!F97</f>
        <v>0</v>
      </c>
      <c r="Z66" s="294">
        <f>'[1]Adubos e corretivos'!G97</f>
        <v>0</v>
      </c>
      <c r="AA66" s="294">
        <f>'[1]Adubos e corretivos'!H97</f>
        <v>0</v>
      </c>
      <c r="AS66" s="215"/>
      <c r="AT66" s="215"/>
      <c r="AU66" s="215"/>
      <c r="AV66" s="215"/>
      <c r="AW66" s="215"/>
      <c r="AX66" s="215"/>
    </row>
    <row r="67" spans="2:50" ht="19.5" customHeight="1" thickBot="1" x14ac:dyDescent="0.3">
      <c r="B67" s="554"/>
      <c r="C67" s="554"/>
      <c r="D67" s="287" t="str">
        <f>IF(J50&gt;0,J50,"-")</f>
        <v>-</v>
      </c>
      <c r="E67" s="391" t="str">
        <f>IF(J50&gt;0,"gramas por planta","-")</f>
        <v>-</v>
      </c>
      <c r="F67" s="391"/>
      <c r="G67" s="391"/>
      <c r="H67" s="272" t="s">
        <v>603</v>
      </c>
      <c r="I67" s="272">
        <f>IFERROR((D67/1000)*VLOOKUP(B66,$V$100:$W$179,2,0),0)</f>
        <v>0</v>
      </c>
      <c r="U67" s="573"/>
      <c r="V67" s="294">
        <f>'[1]Adubos e corretivos'!C98</f>
        <v>0</v>
      </c>
      <c r="W67" s="294">
        <f>'[1]Adubos e corretivos'!D98</f>
        <v>0</v>
      </c>
      <c r="X67" s="294">
        <f>'[1]Adubos e corretivos'!E98</f>
        <v>0</v>
      </c>
      <c r="Y67" s="294">
        <f>'[1]Adubos e corretivos'!F98</f>
        <v>0</v>
      </c>
      <c r="Z67" s="294">
        <f>'[1]Adubos e corretivos'!G98</f>
        <v>0</v>
      </c>
      <c r="AA67" s="294">
        <f>'[1]Adubos e corretivos'!H98</f>
        <v>0</v>
      </c>
      <c r="AS67" s="215"/>
      <c r="AT67" s="215"/>
      <c r="AU67" s="215"/>
      <c r="AV67" s="215"/>
      <c r="AW67" s="215"/>
      <c r="AX67" s="215"/>
    </row>
    <row r="68" spans="2:50" ht="19.5" customHeight="1" x14ac:dyDescent="0.25">
      <c r="H68" s="272"/>
      <c r="I68" s="45"/>
      <c r="M68" s="212"/>
      <c r="N68" s="213"/>
      <c r="O68" s="213"/>
      <c r="P68" s="213"/>
      <c r="Q68" s="213"/>
      <c r="R68" s="214"/>
      <c r="U68" s="573"/>
      <c r="V68" s="294">
        <f>'[1]Adubos e corretivos'!C99</f>
        <v>0</v>
      </c>
      <c r="W68" s="294">
        <f>'[1]Adubos e corretivos'!D99</f>
        <v>0</v>
      </c>
      <c r="X68" s="294">
        <f>'[1]Adubos e corretivos'!E99</f>
        <v>0</v>
      </c>
      <c r="Y68" s="294">
        <f>'[1]Adubos e corretivos'!F99</f>
        <v>0</v>
      </c>
      <c r="Z68" s="294">
        <f>'[1]Adubos e corretivos'!G99</f>
        <v>0</v>
      </c>
      <c r="AA68" s="294">
        <f>'[1]Adubos e corretivos'!H99</f>
        <v>0</v>
      </c>
      <c r="AS68" s="215"/>
      <c r="AT68" s="215"/>
      <c r="AU68" s="215"/>
      <c r="AV68" s="215"/>
      <c r="AW68" s="215"/>
      <c r="AX68" s="215"/>
    </row>
    <row r="69" spans="2:50" ht="19.5" customHeight="1" x14ac:dyDescent="0.25">
      <c r="B69" s="554" t="str">
        <f>IF(AQ19&gt;0,AQ19,"-")</f>
        <v>-</v>
      </c>
      <c r="C69" s="554"/>
      <c r="D69" s="287">
        <f>IFERROR(((D70/1000)*$E$18),0)</f>
        <v>0</v>
      </c>
      <c r="E69" s="555" t="str">
        <f>IF(J51&gt;0,"quilos para área total","-")</f>
        <v>-</v>
      </c>
      <c r="F69" s="555"/>
      <c r="G69" s="555"/>
      <c r="H69" s="272" t="s">
        <v>598</v>
      </c>
      <c r="I69" s="272">
        <f>I70*$E$18*$I$18</f>
        <v>0</v>
      </c>
      <c r="M69" s="376" t="s">
        <v>215</v>
      </c>
      <c r="N69" s="391"/>
      <c r="O69" s="557" t="s">
        <v>252</v>
      </c>
      <c r="P69" s="558"/>
      <c r="Q69" s="559"/>
      <c r="R69" s="216"/>
      <c r="AS69" s="215"/>
      <c r="AT69" s="215"/>
      <c r="AU69" s="215"/>
      <c r="AV69" s="215"/>
      <c r="AW69" s="215"/>
      <c r="AX69" s="215"/>
    </row>
    <row r="70" spans="2:50" ht="19.5" customHeight="1" x14ac:dyDescent="0.25">
      <c r="B70" s="554"/>
      <c r="C70" s="554"/>
      <c r="D70" s="287" t="str">
        <f>IF(J51&gt;0,J51,"-")</f>
        <v>-</v>
      </c>
      <c r="E70" s="391" t="str">
        <f>IF(J51&gt;0,"gramas por planta","-")</f>
        <v>-</v>
      </c>
      <c r="F70" s="391"/>
      <c r="G70" s="391"/>
      <c r="H70" s="272" t="s">
        <v>603</v>
      </c>
      <c r="I70" s="272">
        <f>IFERROR((D70/1000)*VLOOKUP(B69,$V$100:$W$179,2,0),0)</f>
        <v>0</v>
      </c>
      <c r="M70" s="376"/>
      <c r="N70" s="391"/>
      <c r="O70" s="557" t="s">
        <v>251</v>
      </c>
      <c r="P70" s="558"/>
      <c r="Q70" s="559"/>
      <c r="R70" s="216"/>
      <c r="AS70" s="215"/>
      <c r="AT70" s="215"/>
      <c r="AU70" s="215"/>
      <c r="AV70" s="215"/>
      <c r="AW70" s="215"/>
      <c r="AX70" s="215"/>
    </row>
    <row r="71" spans="2:50" ht="19.5" customHeight="1" x14ac:dyDescent="0.25">
      <c r="M71" s="376"/>
      <c r="N71" s="391"/>
      <c r="O71" s="448"/>
      <c r="P71" s="448"/>
      <c r="Q71" s="92"/>
      <c r="R71" s="216"/>
      <c r="U71" s="561" t="s">
        <v>136</v>
      </c>
      <c r="V71" s="561" t="s">
        <v>76</v>
      </c>
      <c r="W71" s="561" t="s">
        <v>77</v>
      </c>
      <c r="X71" s="561" t="s">
        <v>284</v>
      </c>
      <c r="Y71" s="561"/>
      <c r="Z71" s="561"/>
      <c r="AS71" s="215"/>
      <c r="AT71" s="215"/>
      <c r="AU71" s="215"/>
      <c r="AV71" s="215"/>
      <c r="AW71" s="215"/>
      <c r="AX71" s="215"/>
    </row>
    <row r="72" spans="2:50" ht="19.5" customHeight="1" x14ac:dyDescent="0.25">
      <c r="B72" s="554" t="str">
        <f>IF(AQ20&gt;0,AQ20,"-")</f>
        <v>-</v>
      </c>
      <c r="C72" s="554"/>
      <c r="D72" s="287">
        <f>IFERROR(((D73/1000)*$E$18),0)</f>
        <v>0</v>
      </c>
      <c r="E72" s="555" t="str">
        <f>IF(J52&gt;0,"quilos para área total","-")</f>
        <v>-</v>
      </c>
      <c r="F72" s="555"/>
      <c r="G72" s="555"/>
      <c r="H72" s="272" t="s">
        <v>598</v>
      </c>
      <c r="I72" s="272">
        <f>I73*$E$18*$I$18</f>
        <v>0</v>
      </c>
      <c r="M72" s="376"/>
      <c r="N72" s="391"/>
      <c r="O72" s="448" t="s">
        <v>229</v>
      </c>
      <c r="P72" s="448"/>
      <c r="Q72" s="92">
        <v>1</v>
      </c>
      <c r="R72" s="216"/>
      <c r="U72" s="561"/>
      <c r="V72" s="561"/>
      <c r="W72" s="561"/>
      <c r="X72" s="295" t="s">
        <v>81</v>
      </c>
      <c r="Y72" s="295" t="s">
        <v>82</v>
      </c>
      <c r="Z72" s="295" t="s">
        <v>83</v>
      </c>
      <c r="AS72" s="215"/>
      <c r="AT72" s="215"/>
      <c r="AU72" s="215"/>
      <c r="AV72" s="215"/>
      <c r="AW72" s="215"/>
      <c r="AX72" s="215"/>
    </row>
    <row r="73" spans="2:50" ht="19.5" customHeight="1" x14ac:dyDescent="0.25">
      <c r="B73" s="554"/>
      <c r="C73" s="554"/>
      <c r="D73" s="287" t="str">
        <f>IF(J52&gt;0,J52,"-")</f>
        <v>-</v>
      </c>
      <c r="E73" s="391" t="str">
        <f>IF(J52&gt;0,"gramas por planta","-")</f>
        <v>-</v>
      </c>
      <c r="F73" s="391"/>
      <c r="G73" s="391"/>
      <c r="H73" s="272" t="s">
        <v>603</v>
      </c>
      <c r="I73" s="272">
        <f>IFERROR((D73/1000)*VLOOKUP(B72,$V$100:$W$179,2,0),0)</f>
        <v>0</v>
      </c>
      <c r="M73" s="376"/>
      <c r="N73" s="391"/>
      <c r="O73" s="448"/>
      <c r="P73" s="448"/>
      <c r="Q73" s="92"/>
      <c r="R73" s="216"/>
      <c r="U73" s="562" t="s">
        <v>152</v>
      </c>
      <c r="V73" s="296" t="str">
        <f>'[1]Adubos e corretivos'!C104</f>
        <v>Gesso Agronelli</v>
      </c>
      <c r="W73" s="296">
        <f>'[1]Adubos e corretivos'!D104</f>
        <v>0.76</v>
      </c>
      <c r="X73" s="296">
        <f>'[1]Adubos e corretivos'!E104</f>
        <v>14</v>
      </c>
      <c r="Y73" s="296">
        <f>'[1]Adubos e corretivos'!F104</f>
        <v>0</v>
      </c>
      <c r="Z73" s="296">
        <f>'[1]Adubos e corretivos'!G104</f>
        <v>17</v>
      </c>
      <c r="AS73" s="215"/>
      <c r="AT73" s="215"/>
      <c r="AU73" s="215"/>
      <c r="AV73" s="215"/>
      <c r="AW73" s="215"/>
      <c r="AX73" s="215"/>
    </row>
    <row r="74" spans="2:50" ht="19.5" customHeight="1" x14ac:dyDescent="0.25">
      <c r="M74" s="376"/>
      <c r="N74" s="391"/>
      <c r="O74" s="215"/>
      <c r="P74" s="215"/>
      <c r="Q74" s="215"/>
      <c r="R74" s="216"/>
      <c r="U74" s="562"/>
      <c r="V74" s="296" t="str">
        <f>'[1]Adubos e corretivos'!C105</f>
        <v>Siligesso Agronelli</v>
      </c>
      <c r="W74" s="296">
        <f>'[1]Adubos e corretivos'!D105</f>
        <v>0</v>
      </c>
      <c r="X74" s="296">
        <f>'[1]Adubos e corretivos'!E105</f>
        <v>9.9</v>
      </c>
      <c r="Y74" s="296">
        <f>'[1]Adubos e corretivos'!F105</f>
        <v>0</v>
      </c>
      <c r="Z74" s="296">
        <f>'[1]Adubos e corretivos'!G105</f>
        <v>20.3</v>
      </c>
      <c r="AS74" s="215"/>
      <c r="AT74" s="215"/>
      <c r="AU74" s="215"/>
      <c r="AV74" s="215"/>
      <c r="AW74" s="215"/>
      <c r="AX74" s="215"/>
    </row>
    <row r="75" spans="2:50" ht="19.5" customHeight="1" x14ac:dyDescent="0.25">
      <c r="B75" s="553" t="s">
        <v>535</v>
      </c>
      <c r="C75" s="553"/>
      <c r="D75" s="553"/>
      <c r="E75" s="553"/>
      <c r="F75" s="553"/>
      <c r="G75" s="553"/>
      <c r="H75" s="553"/>
      <c r="I75" s="553"/>
      <c r="M75" s="376"/>
      <c r="N75" s="391"/>
      <c r="O75" s="391" t="s">
        <v>264</v>
      </c>
      <c r="P75" s="391"/>
      <c r="Q75" s="391"/>
      <c r="R75" s="216"/>
      <c r="U75" s="562"/>
      <c r="V75" s="296">
        <f>'[1]Adubos e corretivos'!C106</f>
        <v>0</v>
      </c>
      <c r="W75" s="296">
        <f>'[1]Adubos e corretivos'!D106</f>
        <v>0</v>
      </c>
      <c r="X75" s="296">
        <f>'[1]Adubos e corretivos'!E106</f>
        <v>0</v>
      </c>
      <c r="Y75" s="296">
        <f>'[1]Adubos e corretivos'!F106</f>
        <v>0</v>
      </c>
      <c r="Z75" s="296">
        <f>'[1]Adubos e corretivos'!G106</f>
        <v>0</v>
      </c>
      <c r="AS75" s="215"/>
      <c r="AT75" s="215"/>
      <c r="AU75" s="215"/>
      <c r="AV75" s="215"/>
      <c r="AW75" s="215"/>
      <c r="AX75" s="215"/>
    </row>
    <row r="76" spans="2:50" ht="19.5" customHeight="1" x14ac:dyDescent="0.25">
      <c r="B76" s="553"/>
      <c r="C76" s="553"/>
      <c r="D76" s="553"/>
      <c r="E76" s="553"/>
      <c r="F76" s="553"/>
      <c r="G76" s="553"/>
      <c r="H76" s="553"/>
      <c r="I76" s="553"/>
      <c r="M76" s="376"/>
      <c r="N76" s="391"/>
      <c r="O76" s="215"/>
      <c r="P76" s="215"/>
      <c r="Q76" s="215"/>
      <c r="R76" s="216"/>
      <c r="U76" s="562"/>
      <c r="V76" s="296">
        <f>'[1]Adubos e corretivos'!C107</f>
        <v>0</v>
      </c>
      <c r="W76" s="296">
        <f>'[1]Adubos e corretivos'!D107</f>
        <v>0</v>
      </c>
      <c r="X76" s="296">
        <f>'[1]Adubos e corretivos'!E107</f>
        <v>0</v>
      </c>
      <c r="Y76" s="296">
        <f>'[1]Adubos e corretivos'!F107</f>
        <v>0</v>
      </c>
      <c r="Z76" s="296">
        <f>'[1]Adubos e corretivos'!G107</f>
        <v>0</v>
      </c>
      <c r="AS76" s="215"/>
      <c r="AT76" s="215"/>
      <c r="AU76" s="215"/>
      <c r="AV76" s="215"/>
      <c r="AW76" s="215"/>
      <c r="AX76" s="215"/>
    </row>
    <row r="77" spans="2:50" ht="19.5" customHeight="1" x14ac:dyDescent="0.25">
      <c r="B77" s="553"/>
      <c r="C77" s="553"/>
      <c r="D77" s="553"/>
      <c r="E77" s="553"/>
      <c r="F77" s="553"/>
      <c r="G77" s="553"/>
      <c r="H77" s="553"/>
      <c r="I77" s="553"/>
      <c r="M77" s="376"/>
      <c r="N77" s="391"/>
      <c r="O77" s="557" t="s">
        <v>253</v>
      </c>
      <c r="P77" s="558"/>
      <c r="Q77" s="559"/>
      <c r="R77" s="216"/>
      <c r="U77" s="562"/>
      <c r="V77" s="296">
        <f>'[1]Adubos e corretivos'!C108</f>
        <v>0</v>
      </c>
      <c r="W77" s="296">
        <f>'[1]Adubos e corretivos'!D108</f>
        <v>0</v>
      </c>
      <c r="X77" s="296">
        <f>'[1]Adubos e corretivos'!E108</f>
        <v>0</v>
      </c>
      <c r="Y77" s="296">
        <f>'[1]Adubos e corretivos'!F108</f>
        <v>0</v>
      </c>
      <c r="Z77" s="296">
        <f>'[1]Adubos e corretivos'!G108</f>
        <v>0</v>
      </c>
      <c r="AS77" s="215"/>
      <c r="AT77" s="215"/>
      <c r="AU77" s="215"/>
      <c r="AV77" s="215"/>
      <c r="AW77" s="215"/>
      <c r="AX77" s="215"/>
    </row>
    <row r="78" spans="2:50" ht="19.5" customHeight="1" x14ac:dyDescent="0.25">
      <c r="B78" s="553"/>
      <c r="C78" s="553"/>
      <c r="D78" s="553"/>
      <c r="E78" s="553"/>
      <c r="F78" s="553"/>
      <c r="G78" s="553"/>
      <c r="H78" s="553"/>
      <c r="I78" s="553"/>
      <c r="M78" s="376"/>
      <c r="N78" s="391"/>
      <c r="O78" s="557" t="s">
        <v>251</v>
      </c>
      <c r="P78" s="558"/>
      <c r="Q78" s="559"/>
      <c r="R78" s="216"/>
      <c r="U78" s="562"/>
      <c r="V78" s="296">
        <f>'[1]Adubos e corretivos'!C109</f>
        <v>0</v>
      </c>
      <c r="W78" s="296">
        <f>'[1]Adubos e corretivos'!D109</f>
        <v>0</v>
      </c>
      <c r="X78" s="296">
        <f>'[1]Adubos e corretivos'!E109</f>
        <v>0</v>
      </c>
      <c r="Y78" s="296">
        <f>'[1]Adubos e corretivos'!F109</f>
        <v>0</v>
      </c>
      <c r="Z78" s="296">
        <f>'[1]Adubos e corretivos'!G109</f>
        <v>0</v>
      </c>
      <c r="AS78" s="215"/>
      <c r="AT78" s="215"/>
      <c r="AU78" s="215"/>
      <c r="AV78" s="215"/>
      <c r="AW78" s="215"/>
      <c r="AX78" s="215"/>
    </row>
    <row r="79" spans="2:50" ht="19.5" customHeight="1" thickBot="1" x14ac:dyDescent="0.3">
      <c r="M79" s="376"/>
      <c r="N79" s="391"/>
      <c r="O79" s="448" t="s">
        <v>161</v>
      </c>
      <c r="P79" s="448"/>
      <c r="Q79" s="92">
        <v>1</v>
      </c>
      <c r="R79" s="216"/>
      <c r="U79" s="562"/>
      <c r="V79" s="296">
        <f>'[1]Adubos e corretivos'!C110</f>
        <v>0</v>
      </c>
      <c r="W79" s="296">
        <f>'[1]Adubos e corretivos'!D110</f>
        <v>0</v>
      </c>
      <c r="X79" s="296">
        <f>'[1]Adubos e corretivos'!E110</f>
        <v>0</v>
      </c>
      <c r="Y79" s="296">
        <f>'[1]Adubos e corretivos'!F110</f>
        <v>0</v>
      </c>
      <c r="Z79" s="296">
        <f>'[1]Adubos e corretivos'!G110</f>
        <v>0</v>
      </c>
      <c r="AS79" s="215"/>
      <c r="AT79" s="215"/>
      <c r="AU79" s="215"/>
      <c r="AV79" s="215"/>
      <c r="AW79" s="215"/>
      <c r="AX79" s="215"/>
    </row>
    <row r="80" spans="2:50" ht="19.5" customHeight="1" thickBot="1" x14ac:dyDescent="0.3">
      <c r="B80" s="373" t="s">
        <v>256</v>
      </c>
      <c r="C80" s="374"/>
      <c r="D80" s="374"/>
      <c r="E80" s="374"/>
      <c r="F80" s="374"/>
      <c r="G80" s="374"/>
      <c r="H80" s="374"/>
      <c r="I80" s="375"/>
      <c r="M80" s="376"/>
      <c r="N80" s="391"/>
      <c r="O80" s="448"/>
      <c r="P80" s="448"/>
      <c r="Q80" s="92"/>
      <c r="R80" s="216"/>
      <c r="U80" s="562"/>
      <c r="V80" s="296">
        <f>'[1]Adubos e corretivos'!C111</f>
        <v>0</v>
      </c>
      <c r="W80" s="296">
        <f>'[1]Adubos e corretivos'!D111</f>
        <v>0</v>
      </c>
      <c r="X80" s="296">
        <f>'[1]Adubos e corretivos'!E111</f>
        <v>0</v>
      </c>
      <c r="Y80" s="296">
        <f>'[1]Adubos e corretivos'!F111</f>
        <v>0</v>
      </c>
      <c r="Z80" s="296">
        <f>'[1]Adubos e corretivos'!G111</f>
        <v>0</v>
      </c>
      <c r="AS80" s="215"/>
      <c r="AT80" s="215"/>
      <c r="AU80" s="215"/>
      <c r="AV80" s="215"/>
      <c r="AW80" s="215"/>
      <c r="AX80" s="215"/>
    </row>
    <row r="81" spans="2:50" ht="19.5" customHeight="1" x14ac:dyDescent="0.25">
      <c r="M81" s="376"/>
      <c r="N81" s="391"/>
      <c r="O81" s="448"/>
      <c r="P81" s="448"/>
      <c r="Q81" s="92"/>
      <c r="R81" s="216"/>
      <c r="U81" s="562"/>
      <c r="V81" s="296">
        <f>'[1]Adubos e corretivos'!C112</f>
        <v>0</v>
      </c>
      <c r="W81" s="296">
        <f>'[1]Adubos e corretivos'!D112</f>
        <v>0</v>
      </c>
      <c r="X81" s="296">
        <f>'[1]Adubos e corretivos'!E112</f>
        <v>0</v>
      </c>
      <c r="Y81" s="296">
        <f>'[1]Adubos e corretivos'!F112</f>
        <v>0</v>
      </c>
      <c r="Z81" s="296">
        <f>'[1]Adubos e corretivos'!G112</f>
        <v>0</v>
      </c>
      <c r="AS81" s="215"/>
      <c r="AT81" s="215"/>
      <c r="AU81" s="215"/>
      <c r="AV81" s="215"/>
      <c r="AW81" s="215"/>
      <c r="AX81" s="215"/>
    </row>
    <row r="82" spans="2:50" ht="19.5" customHeight="1" x14ac:dyDescent="0.25">
      <c r="B82" s="554" t="str">
        <f>IF(AP40&gt;0,AP40,"-")</f>
        <v>Ácido Bórico</v>
      </c>
      <c r="C82" s="554"/>
      <c r="D82" s="287">
        <f>IFERROR(((D83/1000)*$E$18),0)</f>
        <v>5.7142857142857135</v>
      </c>
      <c r="E82" s="555" t="str">
        <f>IF(AV40&gt;0,"quilos para área total","-")</f>
        <v>quilos para área total</v>
      </c>
      <c r="F82" s="555"/>
      <c r="G82" s="555"/>
      <c r="H82" s="272" t="s">
        <v>598</v>
      </c>
      <c r="I82" s="272">
        <f>I83*$E$18*$I$18</f>
        <v>31.542857142857137</v>
      </c>
      <c r="M82" s="376"/>
      <c r="N82" s="391"/>
      <c r="O82" s="215"/>
      <c r="P82" s="215"/>
      <c r="Q82" s="215"/>
      <c r="R82" s="216"/>
      <c r="U82" s="562"/>
      <c r="V82" s="296">
        <f>'[1]Adubos e corretivos'!C113</f>
        <v>0</v>
      </c>
      <c r="W82" s="296">
        <f>'[1]Adubos e corretivos'!D113</f>
        <v>0</v>
      </c>
      <c r="X82" s="296">
        <f>'[1]Adubos e corretivos'!E113</f>
        <v>0</v>
      </c>
      <c r="Y82" s="296">
        <f>'[1]Adubos e corretivos'!F113</f>
        <v>0</v>
      </c>
      <c r="Z82" s="296">
        <f>'[1]Adubos e corretivos'!G113</f>
        <v>0</v>
      </c>
      <c r="AS82" s="215"/>
      <c r="AT82" s="215"/>
      <c r="AU82" s="215"/>
      <c r="AV82" s="215"/>
      <c r="AW82" s="215"/>
      <c r="AX82" s="215"/>
    </row>
    <row r="83" spans="2:50" ht="19.5" customHeight="1" x14ac:dyDescent="0.25">
      <c r="B83" s="554"/>
      <c r="C83" s="554"/>
      <c r="D83" s="287">
        <f>IF(AV40&gt;0,AV40,"-")</f>
        <v>3.4285714285714279</v>
      </c>
      <c r="E83" s="391" t="str">
        <f>IF(AV40&gt;0,"gramas por planta","-")</f>
        <v>gramas por planta</v>
      </c>
      <c r="F83" s="391"/>
      <c r="G83" s="391"/>
      <c r="H83" s="272" t="s">
        <v>603</v>
      </c>
      <c r="I83" s="272">
        <f>IFERROR((D83/1000)*VLOOKUP(B82,$V$100:$W$179,2,0),0)</f>
        <v>1.8925714285714282E-2</v>
      </c>
      <c r="M83" s="376"/>
      <c r="N83" s="391"/>
      <c r="O83" s="391" t="s">
        <v>264</v>
      </c>
      <c r="P83" s="391"/>
      <c r="Q83" s="391"/>
      <c r="R83" s="216"/>
      <c r="AS83" s="215"/>
      <c r="AT83" s="215"/>
      <c r="AU83" s="215"/>
      <c r="AV83" s="215"/>
      <c r="AW83" s="215"/>
      <c r="AX83" s="215"/>
    </row>
    <row r="84" spans="2:50" ht="19.5" customHeight="1" x14ac:dyDescent="0.25">
      <c r="M84" s="376"/>
      <c r="N84" s="391"/>
      <c r="O84" s="215"/>
      <c r="P84" s="215"/>
      <c r="Q84" s="215"/>
      <c r="R84" s="216"/>
      <c r="AS84" s="215"/>
      <c r="AT84" s="215"/>
      <c r="AU84" s="215"/>
      <c r="AV84" s="215"/>
      <c r="AW84" s="215"/>
      <c r="AX84" s="215"/>
    </row>
    <row r="85" spans="2:50" ht="19.5" customHeight="1" x14ac:dyDescent="0.25">
      <c r="B85" s="554" t="str">
        <f>IF(AP41&gt;0,AP41,"-")</f>
        <v>Sulfato de cobre</v>
      </c>
      <c r="C85" s="554"/>
      <c r="D85" s="287">
        <f>IFERROR(((D86/1000)*$E$18),0)</f>
        <v>0</v>
      </c>
      <c r="E85" s="555" t="str">
        <f>IF(AV41&gt;0,"quilos para área total","-")</f>
        <v>-</v>
      </c>
      <c r="F85" s="555"/>
      <c r="G85" s="555"/>
      <c r="H85" s="272" t="s">
        <v>598</v>
      </c>
      <c r="I85" s="272">
        <f>I86*$E$18*$I$18</f>
        <v>0</v>
      </c>
      <c r="M85" s="376"/>
      <c r="N85" s="391"/>
      <c r="O85" s="557" t="s">
        <v>254</v>
      </c>
      <c r="P85" s="558"/>
      <c r="Q85" s="559"/>
      <c r="R85" s="216"/>
      <c r="U85" s="556" t="s">
        <v>136</v>
      </c>
      <c r="V85" s="556" t="s">
        <v>76</v>
      </c>
      <c r="W85" s="556" t="s">
        <v>77</v>
      </c>
      <c r="X85" s="556" t="s">
        <v>78</v>
      </c>
      <c r="Y85" s="556"/>
      <c r="Z85" s="556"/>
      <c r="AA85" s="556"/>
      <c r="AB85" s="556"/>
      <c r="AC85" s="556"/>
      <c r="AD85" s="556"/>
      <c r="AE85" s="556"/>
      <c r="AS85" s="215"/>
      <c r="AT85" s="215"/>
      <c r="AU85" s="215"/>
      <c r="AV85" s="215"/>
      <c r="AW85" s="215"/>
      <c r="AX85" s="215"/>
    </row>
    <row r="86" spans="2:50" ht="19.5" customHeight="1" x14ac:dyDescent="0.25">
      <c r="B86" s="554"/>
      <c r="C86" s="554"/>
      <c r="D86" s="287" t="str">
        <f>IF(AV41&gt;0,AV41,"-")</f>
        <v>-</v>
      </c>
      <c r="E86" s="391" t="str">
        <f>IF(AV41&gt;0,"gramas por planta","-")</f>
        <v>-</v>
      </c>
      <c r="F86" s="391"/>
      <c r="G86" s="391"/>
      <c r="H86" s="272" t="s">
        <v>603</v>
      </c>
      <c r="I86" s="272">
        <f>IFERROR(((D86/1000)*VLOOKUP(B85,$V$100:$W$179,2,0)),0)</f>
        <v>0</v>
      </c>
      <c r="M86" s="376"/>
      <c r="N86" s="391"/>
      <c r="O86" s="557" t="s">
        <v>251</v>
      </c>
      <c r="P86" s="558"/>
      <c r="Q86" s="559"/>
      <c r="R86" s="216"/>
      <c r="U86" s="556"/>
      <c r="V86" s="556"/>
      <c r="W86" s="556"/>
      <c r="X86" s="297" t="s">
        <v>117</v>
      </c>
      <c r="Y86" s="297" t="s">
        <v>79</v>
      </c>
      <c r="Z86" s="297" t="s">
        <v>66</v>
      </c>
      <c r="AA86" s="297" t="s">
        <v>80</v>
      </c>
      <c r="AB86" s="297" t="s">
        <v>67</v>
      </c>
      <c r="AC86" s="297" t="s">
        <v>191</v>
      </c>
      <c r="AD86" s="297" t="s">
        <v>192</v>
      </c>
      <c r="AE86" s="297" t="s">
        <v>204</v>
      </c>
      <c r="AS86" s="215"/>
      <c r="AT86" s="215"/>
      <c r="AU86" s="215"/>
      <c r="AV86" s="215"/>
      <c r="AW86" s="215"/>
      <c r="AX86" s="215"/>
    </row>
    <row r="87" spans="2:50" ht="19.5" customHeight="1" x14ac:dyDescent="0.25">
      <c r="J87" s="298"/>
      <c r="M87" s="376"/>
      <c r="N87" s="391"/>
      <c r="O87" s="448" t="s">
        <v>612</v>
      </c>
      <c r="P87" s="448"/>
      <c r="Q87" s="92">
        <v>1</v>
      </c>
      <c r="R87" s="216"/>
      <c r="U87" s="560" t="s">
        <v>194</v>
      </c>
      <c r="V87" s="299" t="str">
        <f>V160</f>
        <v>Micaxisto</v>
      </c>
      <c r="W87" s="299">
        <f>W160</f>
        <v>0.12</v>
      </c>
      <c r="X87" s="299">
        <f>AL160</f>
        <v>0</v>
      </c>
      <c r="Y87" s="299">
        <f t="shared" ref="Y87:AB95" si="11">Y160</f>
        <v>4.4999999999999998E-2</v>
      </c>
      <c r="Z87" s="299">
        <f t="shared" si="11"/>
        <v>0.1</v>
      </c>
      <c r="AA87" s="299">
        <f t="shared" si="11"/>
        <v>4.32</v>
      </c>
      <c r="AB87" s="299">
        <f t="shared" si="11"/>
        <v>5.2</v>
      </c>
      <c r="AC87" s="300">
        <f>AC160*0.602</f>
        <v>0.75776223776223772</v>
      </c>
      <c r="AD87" s="300">
        <f>AD160*0.715</f>
        <v>0.83139534883720934</v>
      </c>
      <c r="AE87" s="300">
        <f t="shared" ref="AE87:AE95" si="12">AB87+AC87+AD87</f>
        <v>6.7891575865994476</v>
      </c>
      <c r="AS87" s="215"/>
      <c r="AT87" s="215"/>
      <c r="AU87" s="215"/>
      <c r="AV87" s="215"/>
      <c r="AW87" s="215"/>
      <c r="AX87" s="215"/>
    </row>
    <row r="88" spans="2:50" ht="19.5" customHeight="1" x14ac:dyDescent="0.25">
      <c r="B88" s="554" t="str">
        <f>IF(AP42&gt;0,AP42,"-")</f>
        <v>Sulfato de zinco</v>
      </c>
      <c r="C88" s="554"/>
      <c r="D88" s="287">
        <f>IFERROR(((D89/1000)*$E$18),0)</f>
        <v>0</v>
      </c>
      <c r="E88" s="555" t="str">
        <f>IF(AV42&gt;0,"quilos para área total","-")</f>
        <v>-</v>
      </c>
      <c r="F88" s="555"/>
      <c r="G88" s="555"/>
      <c r="H88" s="272" t="s">
        <v>598</v>
      </c>
      <c r="I88" s="272">
        <f>I89*$E$18*$I$18</f>
        <v>0</v>
      </c>
      <c r="J88" s="298"/>
      <c r="M88" s="376"/>
      <c r="N88" s="391"/>
      <c r="O88" s="448"/>
      <c r="P88" s="448"/>
      <c r="Q88" s="92"/>
      <c r="R88" s="216"/>
      <c r="U88" s="560"/>
      <c r="V88" s="299" t="str">
        <f t="shared" ref="V88:W95" si="13">V161</f>
        <v xml:space="preserve"> Remax Mistel</v>
      </c>
      <c r="W88" s="299">
        <f t="shared" si="13"/>
        <v>0</v>
      </c>
      <c r="X88" s="299">
        <f t="shared" ref="X88:X95" si="14">AL161</f>
        <v>43.8</v>
      </c>
      <c r="Y88" s="299">
        <f t="shared" si="11"/>
        <v>4.4999999999999998E-2</v>
      </c>
      <c r="Z88" s="299">
        <f t="shared" si="11"/>
        <v>0.1</v>
      </c>
      <c r="AA88" s="299">
        <f t="shared" si="11"/>
        <v>2.1949999999999998</v>
      </c>
      <c r="AB88" s="299">
        <f t="shared" si="11"/>
        <v>2.6</v>
      </c>
      <c r="AC88" s="300">
        <f t="shared" ref="AC88:AC95" si="15">AC161*0.602</f>
        <v>11.282237762237763</v>
      </c>
      <c r="AD88" s="300">
        <f t="shared" ref="AD88:AD95" si="16">AD161*0.715</f>
        <v>8.8959302325581397</v>
      </c>
      <c r="AE88" s="300">
        <f t="shared" si="12"/>
        <v>22.778167994795901</v>
      </c>
      <c r="AS88" s="215"/>
      <c r="AT88" s="215"/>
      <c r="AU88" s="215"/>
      <c r="AV88" s="215"/>
      <c r="AW88" s="215"/>
      <c r="AX88" s="215"/>
    </row>
    <row r="89" spans="2:50" ht="19.5" customHeight="1" x14ac:dyDescent="0.25">
      <c r="B89" s="554"/>
      <c r="C89" s="554"/>
      <c r="D89" s="287" t="str">
        <f>IF(AV42&gt;0,AV42,"-")</f>
        <v>-</v>
      </c>
      <c r="E89" s="391" t="str">
        <f>IF(AV42&gt;0,"gramas por planta","-")</f>
        <v>-</v>
      </c>
      <c r="F89" s="391"/>
      <c r="G89" s="391"/>
      <c r="H89" s="272" t="s">
        <v>603</v>
      </c>
      <c r="I89" s="272">
        <f>IFERROR((D89/1000)*VLOOKUP(B88,$V$100:$W$179,2,0),0)</f>
        <v>0</v>
      </c>
      <c r="J89" s="298"/>
      <c r="M89" s="376"/>
      <c r="N89" s="391"/>
      <c r="O89" s="448"/>
      <c r="P89" s="448"/>
      <c r="Q89" s="92"/>
      <c r="R89" s="216"/>
      <c r="U89" s="560"/>
      <c r="V89" s="299" t="str">
        <f t="shared" si="13"/>
        <v>Pó de brita Fmx</v>
      </c>
      <c r="W89" s="299">
        <f t="shared" si="13"/>
        <v>0</v>
      </c>
      <c r="X89" s="299">
        <f t="shared" si="14"/>
        <v>0</v>
      </c>
      <c r="Y89" s="299">
        <f t="shared" si="11"/>
        <v>0</v>
      </c>
      <c r="Z89" s="299">
        <f t="shared" si="11"/>
        <v>0</v>
      </c>
      <c r="AA89" s="299">
        <f t="shared" si="11"/>
        <v>4.99</v>
      </c>
      <c r="AB89" s="299">
        <f t="shared" si="11"/>
        <v>6</v>
      </c>
      <c r="AC89" s="300">
        <f t="shared" si="15"/>
        <v>2.5258741258741257</v>
      </c>
      <c r="AD89" s="300">
        <f t="shared" si="16"/>
        <v>0.59385382059800662</v>
      </c>
      <c r="AE89" s="300">
        <f t="shared" si="12"/>
        <v>9.1197279464721319</v>
      </c>
      <c r="AS89" s="215"/>
      <c r="AT89" s="215"/>
      <c r="AU89" s="215"/>
      <c r="AV89" s="215"/>
      <c r="AW89" s="215"/>
      <c r="AX89" s="215"/>
    </row>
    <row r="90" spans="2:50" ht="19.5" customHeight="1" x14ac:dyDescent="0.25">
      <c r="M90" s="211"/>
      <c r="N90" s="215"/>
      <c r="O90" s="215"/>
      <c r="P90" s="215"/>
      <c r="Q90" s="215"/>
      <c r="R90" s="216"/>
      <c r="U90" s="560"/>
      <c r="V90" s="299" t="str">
        <f t="shared" si="13"/>
        <v>Biotita Xisto</v>
      </c>
      <c r="W90" s="299">
        <f t="shared" si="13"/>
        <v>0</v>
      </c>
      <c r="X90" s="299">
        <f t="shared" si="14"/>
        <v>57.8</v>
      </c>
      <c r="Y90" s="299">
        <f t="shared" si="11"/>
        <v>8.7999999999999995E-2</v>
      </c>
      <c r="Z90" s="299">
        <f t="shared" si="11"/>
        <v>0.2</v>
      </c>
      <c r="AA90" s="299">
        <f t="shared" si="11"/>
        <v>2.83</v>
      </c>
      <c r="AB90" s="299">
        <f t="shared" si="11"/>
        <v>3.4</v>
      </c>
      <c r="AC90" s="300">
        <f t="shared" si="15"/>
        <v>1.5155244755244754</v>
      </c>
      <c r="AD90" s="300">
        <f t="shared" si="16"/>
        <v>5.4634551495016606</v>
      </c>
      <c r="AE90" s="300">
        <f t="shared" si="12"/>
        <v>10.378979625026137</v>
      </c>
      <c r="AS90" s="215"/>
      <c r="AT90" s="215"/>
      <c r="AU90" s="215"/>
      <c r="AV90" s="215"/>
      <c r="AW90" s="215"/>
      <c r="AX90" s="215"/>
    </row>
    <row r="91" spans="2:50" ht="19.5" customHeight="1" x14ac:dyDescent="0.25">
      <c r="B91" s="554" t="str">
        <f>IF(AP43&gt;0,AP43,"-")</f>
        <v>Sulfato de manganês</v>
      </c>
      <c r="C91" s="554"/>
      <c r="D91" s="287">
        <f>IFERROR(((D92/1000)*$E$18),0)</f>
        <v>0</v>
      </c>
      <c r="E91" s="555" t="str">
        <f>IF(AV43&gt;0,"quilos para área total","-")</f>
        <v>-</v>
      </c>
      <c r="F91" s="555"/>
      <c r="G91" s="555"/>
      <c r="H91" s="272" t="s">
        <v>598</v>
      </c>
      <c r="I91" s="272">
        <f>I92*$E$18*$I$18</f>
        <v>0</v>
      </c>
      <c r="M91" s="211"/>
      <c r="N91" s="215"/>
      <c r="O91" s="391" t="s">
        <v>264</v>
      </c>
      <c r="P91" s="391"/>
      <c r="Q91" s="391"/>
      <c r="R91" s="216"/>
      <c r="U91" s="560"/>
      <c r="V91" s="299" t="str">
        <f t="shared" si="13"/>
        <v>Kamafugito</v>
      </c>
      <c r="W91" s="299">
        <f t="shared" si="13"/>
        <v>0</v>
      </c>
      <c r="X91" s="299">
        <f t="shared" si="14"/>
        <v>0</v>
      </c>
      <c r="Y91" s="299">
        <f t="shared" si="11"/>
        <v>1.5069999999999999</v>
      </c>
      <c r="Z91" s="299">
        <f t="shared" si="11"/>
        <v>3.5</v>
      </c>
      <c r="AA91" s="299">
        <f t="shared" si="11"/>
        <v>3.3250000000000002</v>
      </c>
      <c r="AB91" s="299">
        <f t="shared" si="11"/>
        <v>4</v>
      </c>
      <c r="AC91" s="300">
        <f t="shared" si="15"/>
        <v>1.7217199999999999</v>
      </c>
      <c r="AD91" s="300">
        <f t="shared" si="16"/>
        <v>0</v>
      </c>
      <c r="AE91" s="300">
        <f t="shared" si="12"/>
        <v>5.7217199999999995</v>
      </c>
      <c r="AS91" s="215"/>
      <c r="AT91" s="215"/>
      <c r="AU91" s="215"/>
      <c r="AV91" s="215"/>
      <c r="AW91" s="215"/>
      <c r="AX91" s="215"/>
    </row>
    <row r="92" spans="2:50" ht="19.5" customHeight="1" thickBot="1" x14ac:dyDescent="0.3">
      <c r="B92" s="554"/>
      <c r="C92" s="554"/>
      <c r="D92" s="287" t="str">
        <f>IF(AV43&gt;0,AV43,"-")</f>
        <v>-</v>
      </c>
      <c r="E92" s="391" t="str">
        <f>IF(AV43&gt;0,"gramas por planta","-")</f>
        <v>-</v>
      </c>
      <c r="F92" s="391"/>
      <c r="G92" s="391"/>
      <c r="H92" s="272" t="s">
        <v>603</v>
      </c>
      <c r="I92" s="272">
        <f>IFERROR((D92/1000)*VLOOKUP(B91,$V$100:$W$179,2,0),0)</f>
        <v>0</v>
      </c>
      <c r="M92" s="217"/>
      <c r="N92" s="218"/>
      <c r="O92" s="218"/>
      <c r="P92" s="218"/>
      <c r="Q92" s="218"/>
      <c r="R92" s="219"/>
      <c r="U92" s="560"/>
      <c r="V92" s="299">
        <f t="shared" si="13"/>
        <v>0</v>
      </c>
      <c r="W92" s="299">
        <f t="shared" si="13"/>
        <v>0</v>
      </c>
      <c r="X92" s="299">
        <f t="shared" si="14"/>
        <v>0</v>
      </c>
      <c r="Y92" s="299">
        <f t="shared" si="11"/>
        <v>0</v>
      </c>
      <c r="Z92" s="299">
        <f t="shared" si="11"/>
        <v>0</v>
      </c>
      <c r="AA92" s="299">
        <f t="shared" si="11"/>
        <v>0</v>
      </c>
      <c r="AB92" s="299">
        <f t="shared" si="11"/>
        <v>0</v>
      </c>
      <c r="AC92" s="300">
        <f t="shared" si="15"/>
        <v>0</v>
      </c>
      <c r="AD92" s="300">
        <f t="shared" si="16"/>
        <v>0</v>
      </c>
      <c r="AE92" s="300">
        <f t="shared" si="12"/>
        <v>0</v>
      </c>
      <c r="AS92" s="215"/>
      <c r="AT92" s="215"/>
      <c r="AU92" s="215"/>
      <c r="AV92" s="215"/>
      <c r="AW92" s="215"/>
      <c r="AX92" s="215"/>
    </row>
    <row r="93" spans="2:50" ht="19.5" customHeight="1" thickBot="1" x14ac:dyDescent="0.3">
      <c r="J93" s="301"/>
      <c r="U93" s="560"/>
      <c r="V93" s="299">
        <f t="shared" si="13"/>
        <v>0</v>
      </c>
      <c r="W93" s="299">
        <f t="shared" si="13"/>
        <v>0</v>
      </c>
      <c r="X93" s="299">
        <f t="shared" si="14"/>
        <v>0</v>
      </c>
      <c r="Y93" s="299">
        <f t="shared" si="11"/>
        <v>0</v>
      </c>
      <c r="Z93" s="299">
        <f t="shared" si="11"/>
        <v>0</v>
      </c>
      <c r="AA93" s="299">
        <f t="shared" si="11"/>
        <v>0</v>
      </c>
      <c r="AB93" s="299">
        <f t="shared" si="11"/>
        <v>0</v>
      </c>
      <c r="AC93" s="300">
        <f t="shared" si="15"/>
        <v>0</v>
      </c>
      <c r="AD93" s="300">
        <f t="shared" si="16"/>
        <v>0</v>
      </c>
      <c r="AE93" s="300">
        <f t="shared" si="12"/>
        <v>0</v>
      </c>
      <c r="AS93" s="215"/>
      <c r="AT93" s="215"/>
      <c r="AU93" s="215"/>
      <c r="AV93" s="215"/>
      <c r="AW93" s="215"/>
      <c r="AX93" s="215"/>
    </row>
    <row r="94" spans="2:50" ht="19.5" customHeight="1" x14ac:dyDescent="0.25">
      <c r="B94" s="554" t="str">
        <f>IF(AP44&gt;0,AP44,"-")</f>
        <v>-</v>
      </c>
      <c r="C94" s="554"/>
      <c r="D94" s="287">
        <f>IFERROR(((D95/1000)*$E$18),0)</f>
        <v>0</v>
      </c>
      <c r="E94" s="555" t="str">
        <f>IF(AV44&gt;0,"quilos para área total","-")</f>
        <v>-</v>
      </c>
      <c r="F94" s="555"/>
      <c r="G94" s="555"/>
      <c r="H94" s="272" t="s">
        <v>598</v>
      </c>
      <c r="I94" s="272">
        <f>I95*$E$18*$I$18</f>
        <v>0</v>
      </c>
      <c r="J94" s="301"/>
      <c r="M94" s="212"/>
      <c r="N94" s="213"/>
      <c r="O94" s="213"/>
      <c r="P94" s="213"/>
      <c r="Q94" s="213"/>
      <c r="R94" s="214"/>
      <c r="U94" s="560"/>
      <c r="V94" s="299">
        <f t="shared" si="13"/>
        <v>0</v>
      </c>
      <c r="W94" s="299">
        <f t="shared" si="13"/>
        <v>0</v>
      </c>
      <c r="X94" s="299">
        <f t="shared" si="14"/>
        <v>0</v>
      </c>
      <c r="Y94" s="299">
        <f t="shared" si="11"/>
        <v>0</v>
      </c>
      <c r="Z94" s="299">
        <f t="shared" si="11"/>
        <v>0</v>
      </c>
      <c r="AA94" s="299">
        <f t="shared" si="11"/>
        <v>0</v>
      </c>
      <c r="AB94" s="299">
        <f t="shared" si="11"/>
        <v>0</v>
      </c>
      <c r="AC94" s="300">
        <f t="shared" si="15"/>
        <v>0</v>
      </c>
      <c r="AD94" s="300">
        <f t="shared" si="16"/>
        <v>0</v>
      </c>
      <c r="AE94" s="300">
        <f t="shared" si="12"/>
        <v>0</v>
      </c>
      <c r="AS94" s="215"/>
      <c r="AT94" s="215"/>
      <c r="AU94" s="215"/>
      <c r="AV94" s="215"/>
      <c r="AW94" s="215"/>
      <c r="AX94" s="215"/>
    </row>
    <row r="95" spans="2:50" ht="19.5" customHeight="1" x14ac:dyDescent="0.25">
      <c r="B95" s="554"/>
      <c r="C95" s="554"/>
      <c r="D95" s="287" t="str">
        <f>IF(AV44&gt;0,AV44,"-")</f>
        <v>-</v>
      </c>
      <c r="E95" s="391" t="str">
        <f>IF(AV44&gt;0,"gramas por planta","-")</f>
        <v>-</v>
      </c>
      <c r="F95" s="391"/>
      <c r="G95" s="391"/>
      <c r="H95" s="272" t="s">
        <v>603</v>
      </c>
      <c r="I95" s="272">
        <f>IFERROR((D95/1000)*VLOOKUP(B94,$V$100:$W$179,2,0),0)</f>
        <v>0</v>
      </c>
      <c r="M95" s="376" t="s">
        <v>269</v>
      </c>
      <c r="N95" s="552"/>
      <c r="O95" s="302" t="s">
        <v>33</v>
      </c>
      <c r="P95" s="302" t="s">
        <v>223</v>
      </c>
      <c r="Q95" s="302" t="s">
        <v>224</v>
      </c>
      <c r="R95" s="216"/>
      <c r="U95" s="560"/>
      <c r="V95" s="299">
        <f t="shared" si="13"/>
        <v>0</v>
      </c>
      <c r="W95" s="299">
        <f t="shared" si="13"/>
        <v>0</v>
      </c>
      <c r="X95" s="299">
        <f t="shared" si="14"/>
        <v>0</v>
      </c>
      <c r="Y95" s="299">
        <f t="shared" si="11"/>
        <v>0</v>
      </c>
      <c r="Z95" s="299">
        <f t="shared" si="11"/>
        <v>0</v>
      </c>
      <c r="AA95" s="299">
        <f t="shared" si="11"/>
        <v>0</v>
      </c>
      <c r="AB95" s="299">
        <f t="shared" si="11"/>
        <v>0</v>
      </c>
      <c r="AC95" s="300">
        <f t="shared" si="15"/>
        <v>0</v>
      </c>
      <c r="AD95" s="300">
        <f t="shared" si="16"/>
        <v>0</v>
      </c>
      <c r="AE95" s="300">
        <f t="shared" si="12"/>
        <v>0</v>
      </c>
      <c r="AS95" s="215"/>
      <c r="AT95" s="215"/>
      <c r="AU95" s="215"/>
      <c r="AV95" s="215"/>
      <c r="AW95" s="215"/>
      <c r="AX95" s="215"/>
    </row>
    <row r="96" spans="2:50" ht="19.5" customHeight="1" x14ac:dyDescent="0.25">
      <c r="G96" s="45"/>
      <c r="H96" s="45"/>
      <c r="I96" s="45"/>
      <c r="M96" s="376" t="s">
        <v>262</v>
      </c>
      <c r="N96" s="552"/>
      <c r="O96" s="303">
        <f>$AC$30</f>
        <v>138</v>
      </c>
      <c r="P96" s="303">
        <f>$AC$31</f>
        <v>66</v>
      </c>
      <c r="Q96" s="303">
        <f>$AC$32</f>
        <v>162</v>
      </c>
      <c r="R96" s="216"/>
      <c r="AS96" s="215"/>
      <c r="AT96" s="215"/>
      <c r="AU96" s="215"/>
      <c r="AV96" s="215"/>
      <c r="AW96" s="215"/>
      <c r="AX96" s="215"/>
    </row>
    <row r="97" spans="1:50" ht="19.5" customHeight="1" x14ac:dyDescent="0.25">
      <c r="A97" s="42"/>
      <c r="B97" s="553" t="s">
        <v>536</v>
      </c>
      <c r="C97" s="553"/>
      <c r="D97" s="553"/>
      <c r="E97" s="553"/>
      <c r="F97" s="553"/>
      <c r="G97" s="553"/>
      <c r="H97" s="553"/>
      <c r="I97" s="553"/>
      <c r="M97" s="376" t="s">
        <v>270</v>
      </c>
      <c r="N97" s="552"/>
      <c r="O97" s="263">
        <f>AS21</f>
        <v>138</v>
      </c>
      <c r="P97" s="263">
        <f>AT21</f>
        <v>0</v>
      </c>
      <c r="Q97" s="263">
        <f>AU21</f>
        <v>0</v>
      </c>
      <c r="R97" s="216"/>
      <c r="AS97" s="215"/>
      <c r="AT97" s="215"/>
      <c r="AU97" s="215"/>
      <c r="AV97" s="215"/>
      <c r="AW97" s="215"/>
      <c r="AX97" s="215"/>
    </row>
    <row r="98" spans="1:50" ht="19.5" customHeight="1" thickBot="1" x14ac:dyDescent="0.3">
      <c r="A98" s="43"/>
      <c r="B98" s="553"/>
      <c r="C98" s="553"/>
      <c r="D98" s="553"/>
      <c r="E98" s="553"/>
      <c r="F98" s="553"/>
      <c r="G98" s="553"/>
      <c r="H98" s="553"/>
      <c r="I98" s="553"/>
      <c r="M98" s="217"/>
      <c r="N98" s="218"/>
      <c r="O98" s="218"/>
      <c r="P98" s="218"/>
      <c r="Q98" s="218"/>
      <c r="R98" s="219"/>
      <c r="U98" s="551" t="s">
        <v>136</v>
      </c>
      <c r="V98" s="551" t="s">
        <v>76</v>
      </c>
      <c r="W98" s="551" t="s">
        <v>77</v>
      </c>
      <c r="X98" s="551" t="s">
        <v>78</v>
      </c>
      <c r="Y98" s="551"/>
      <c r="Z98" s="551"/>
      <c r="AA98" s="551"/>
      <c r="AB98" s="551"/>
      <c r="AC98" s="551"/>
      <c r="AD98" s="551"/>
      <c r="AE98" s="551"/>
      <c r="AF98" s="551"/>
      <c r="AG98" s="551"/>
      <c r="AH98" s="551"/>
      <c r="AI98" s="551"/>
      <c r="AJ98" s="551"/>
      <c r="AK98" s="551"/>
      <c r="AL98" s="551"/>
      <c r="AM98" s="551"/>
      <c r="AN98" s="551"/>
      <c r="AO98" s="551"/>
      <c r="AS98" s="215"/>
      <c r="AT98" s="215"/>
      <c r="AU98" s="215"/>
      <c r="AV98" s="215"/>
      <c r="AW98" s="215"/>
      <c r="AX98" s="215"/>
    </row>
    <row r="99" spans="1:50" ht="19.5" customHeight="1" thickBot="1" x14ac:dyDescent="0.3">
      <c r="A99" s="43"/>
      <c r="B99" s="553"/>
      <c r="C99" s="553"/>
      <c r="D99" s="553"/>
      <c r="E99" s="553"/>
      <c r="F99" s="553"/>
      <c r="G99" s="553"/>
      <c r="H99" s="553"/>
      <c r="I99" s="553"/>
      <c r="U99" s="551"/>
      <c r="V99" s="551"/>
      <c r="W99" s="551"/>
      <c r="X99" s="304" t="s">
        <v>33</v>
      </c>
      <c r="Y99" s="304" t="s">
        <v>79</v>
      </c>
      <c r="Z99" s="304" t="s">
        <v>66</v>
      </c>
      <c r="AA99" s="304" t="s">
        <v>80</v>
      </c>
      <c r="AB99" s="304" t="s">
        <v>67</v>
      </c>
      <c r="AC99" s="304" t="s">
        <v>81</v>
      </c>
      <c r="AD99" s="304" t="s">
        <v>82</v>
      </c>
      <c r="AE99" s="304" t="s">
        <v>83</v>
      </c>
      <c r="AF99" s="304" t="s">
        <v>84</v>
      </c>
      <c r="AG99" s="304" t="s">
        <v>85</v>
      </c>
      <c r="AH99" s="304" t="s">
        <v>86</v>
      </c>
      <c r="AI99" s="304" t="s">
        <v>87</v>
      </c>
      <c r="AJ99" s="304" t="s">
        <v>88</v>
      </c>
      <c r="AK99" s="304" t="s">
        <v>89</v>
      </c>
      <c r="AL99" s="304" t="s">
        <v>117</v>
      </c>
      <c r="AM99" s="304" t="s">
        <v>90</v>
      </c>
      <c r="AN99" s="304" t="s">
        <v>91</v>
      </c>
      <c r="AO99" s="304" t="s">
        <v>92</v>
      </c>
      <c r="AS99" s="215"/>
      <c r="AT99" s="215"/>
      <c r="AU99" s="215"/>
      <c r="AV99" s="215"/>
      <c r="AW99" s="215"/>
      <c r="AX99" s="215"/>
    </row>
    <row r="100" spans="1:50" ht="19.5" customHeight="1" x14ac:dyDescent="0.25">
      <c r="A100" s="215"/>
      <c r="B100" s="553"/>
      <c r="C100" s="553"/>
      <c r="D100" s="553"/>
      <c r="E100" s="553"/>
      <c r="F100" s="553"/>
      <c r="G100" s="553"/>
      <c r="H100" s="553"/>
      <c r="I100" s="553"/>
      <c r="M100" s="212"/>
      <c r="N100" s="213"/>
      <c r="O100" s="213"/>
      <c r="P100" s="213"/>
      <c r="Q100" s="213"/>
      <c r="R100" s="214"/>
      <c r="U100" s="544" t="s">
        <v>227</v>
      </c>
      <c r="V100" s="305" t="str">
        <f>'[1]Adubos e corretivos'!C3</f>
        <v>Uréia</v>
      </c>
      <c r="W100" s="305">
        <f>'[1]Adubos e corretivos'!D3</f>
        <v>2.8</v>
      </c>
      <c r="X100" s="305">
        <f>'[1]Adubos e corretivos'!E3</f>
        <v>45</v>
      </c>
      <c r="Y100" s="305">
        <f>'[1]Adubos e corretivos'!F3</f>
        <v>0</v>
      </c>
      <c r="Z100" s="305">
        <f>'[1]Adubos e corretivos'!G3</f>
        <v>0</v>
      </c>
      <c r="AA100" s="305">
        <f>'[1]Adubos e corretivos'!H3</f>
        <v>0</v>
      </c>
      <c r="AB100" s="305">
        <f>'[1]Adubos e corretivos'!I3</f>
        <v>0</v>
      </c>
      <c r="AC100" s="305">
        <f>'[1]Adubos e corretivos'!J3</f>
        <v>0</v>
      </c>
      <c r="AD100" s="305">
        <f>'[1]Adubos e corretivos'!K3</f>
        <v>0</v>
      </c>
      <c r="AE100" s="305">
        <f>'[1]Adubos e corretivos'!L3</f>
        <v>0</v>
      </c>
      <c r="AF100" s="305">
        <f>'[1]Adubos e corretivos'!M3</f>
        <v>0</v>
      </c>
      <c r="AG100" s="305">
        <f>'[1]Adubos e corretivos'!N3</f>
        <v>0</v>
      </c>
      <c r="AH100" s="305">
        <f>'[1]Adubos e corretivos'!O3</f>
        <v>0</v>
      </c>
      <c r="AI100" s="305">
        <f>'[1]Adubos e corretivos'!P3</f>
        <v>0</v>
      </c>
      <c r="AJ100" s="305">
        <f>'[1]Adubos e corretivos'!Q3</f>
        <v>0</v>
      </c>
      <c r="AK100" s="305">
        <f>'[1]Adubos e corretivos'!R3</f>
        <v>0</v>
      </c>
      <c r="AL100" s="305">
        <f>'[1]Adubos e corretivos'!S3</f>
        <v>0</v>
      </c>
      <c r="AM100" s="305">
        <f>'[1]Adubos e corretivos'!T3</f>
        <v>45</v>
      </c>
      <c r="AN100" s="305">
        <f>'[1]Adubos e corretivos'!U3</f>
        <v>0</v>
      </c>
      <c r="AO100" s="305">
        <f>'[1]Adubos e corretivos'!V3</f>
        <v>0</v>
      </c>
      <c r="AS100" s="215"/>
      <c r="AT100" s="215"/>
      <c r="AU100" s="215"/>
      <c r="AV100" s="215"/>
      <c r="AW100" s="215"/>
      <c r="AX100" s="215"/>
    </row>
    <row r="101" spans="1:50" ht="19.5" customHeight="1" thickBot="1" x14ac:dyDescent="0.3">
      <c r="A101" s="215"/>
      <c r="B101" s="306"/>
      <c r="C101" s="306"/>
      <c r="D101" s="287"/>
      <c r="H101" s="272"/>
      <c r="I101" s="272"/>
      <c r="M101" s="376" t="s">
        <v>265</v>
      </c>
      <c r="N101" s="552"/>
      <c r="O101" s="548" t="s">
        <v>255</v>
      </c>
      <c r="P101" s="548"/>
      <c r="Q101" s="548"/>
      <c r="R101" s="216"/>
      <c r="U101" s="544"/>
      <c r="V101" s="305" t="str">
        <f>'[1]Adubos e corretivos'!C4</f>
        <v>Sulfato de amônio</v>
      </c>
      <c r="W101" s="305">
        <f>'[1]Adubos e corretivos'!D4</f>
        <v>1.72</v>
      </c>
      <c r="X101" s="305">
        <f>'[1]Adubos e corretivos'!E4</f>
        <v>20</v>
      </c>
      <c r="Y101" s="305">
        <f>'[1]Adubos e corretivos'!F4</f>
        <v>0</v>
      </c>
      <c r="Z101" s="305">
        <f>'[1]Adubos e corretivos'!G4</f>
        <v>0</v>
      </c>
      <c r="AA101" s="305">
        <f>'[1]Adubos e corretivos'!H4</f>
        <v>0</v>
      </c>
      <c r="AB101" s="305">
        <f>'[1]Adubos e corretivos'!I4</f>
        <v>0</v>
      </c>
      <c r="AC101" s="305">
        <f>'[1]Adubos e corretivos'!J4</f>
        <v>0</v>
      </c>
      <c r="AD101" s="305">
        <f>'[1]Adubos e corretivos'!K4</f>
        <v>0</v>
      </c>
      <c r="AE101" s="305">
        <f>'[1]Adubos e corretivos'!L4</f>
        <v>24</v>
      </c>
      <c r="AF101" s="305">
        <f>'[1]Adubos e corretivos'!M4</f>
        <v>0</v>
      </c>
      <c r="AG101" s="305">
        <f>'[1]Adubos e corretivos'!N4</f>
        <v>0</v>
      </c>
      <c r="AH101" s="305">
        <f>'[1]Adubos e corretivos'!O4</f>
        <v>0</v>
      </c>
      <c r="AI101" s="305">
        <f>'[1]Adubos e corretivos'!P4</f>
        <v>0</v>
      </c>
      <c r="AJ101" s="305">
        <f>'[1]Adubos e corretivos'!Q4</f>
        <v>0</v>
      </c>
      <c r="AK101" s="305">
        <f>'[1]Adubos e corretivos'!R4</f>
        <v>0</v>
      </c>
      <c r="AL101" s="305">
        <f>'[1]Adubos e corretivos'!S4</f>
        <v>0</v>
      </c>
      <c r="AM101" s="305">
        <f>'[1]Adubos e corretivos'!T4</f>
        <v>20</v>
      </c>
      <c r="AN101" s="305">
        <f>'[1]Adubos e corretivos'!U4</f>
        <v>0</v>
      </c>
      <c r="AO101" s="305">
        <f>'[1]Adubos e corretivos'!V4</f>
        <v>0</v>
      </c>
      <c r="AS101" s="215"/>
      <c r="AT101" s="215"/>
      <c r="AU101" s="215"/>
      <c r="AV101" s="215"/>
      <c r="AW101" s="215"/>
      <c r="AX101" s="215"/>
    </row>
    <row r="102" spans="1:50" ht="19.5" customHeight="1" thickBot="1" x14ac:dyDescent="0.3">
      <c r="A102" s="215"/>
      <c r="B102" s="373" t="s">
        <v>613</v>
      </c>
      <c r="C102" s="374"/>
      <c r="D102" s="374"/>
      <c r="E102" s="374"/>
      <c r="F102" s="374"/>
      <c r="G102" s="374"/>
      <c r="H102" s="374"/>
      <c r="I102" s="375"/>
      <c r="M102" s="376"/>
      <c r="N102" s="552"/>
      <c r="O102" s="448" t="s">
        <v>316</v>
      </c>
      <c r="P102" s="448"/>
      <c r="Q102" s="448"/>
      <c r="R102" s="216"/>
      <c r="U102" s="544"/>
      <c r="V102" s="305" t="str">
        <f>'[1]Adubos e corretivos'!C5</f>
        <v>Nitrato de Amônio</v>
      </c>
      <c r="W102" s="305">
        <f>'[1]Adubos e corretivos'!D5</f>
        <v>0</v>
      </c>
      <c r="X102" s="305">
        <f>'[1]Adubos e corretivos'!E5</f>
        <v>29</v>
      </c>
      <c r="Y102" s="305">
        <f>'[1]Adubos e corretivos'!F5</f>
        <v>0</v>
      </c>
      <c r="Z102" s="305">
        <f>'[1]Adubos e corretivos'!G5</f>
        <v>0</v>
      </c>
      <c r="AA102" s="305">
        <f>'[1]Adubos e corretivos'!H5</f>
        <v>0</v>
      </c>
      <c r="AB102" s="305">
        <f>'[1]Adubos e corretivos'!I5</f>
        <v>0</v>
      </c>
      <c r="AC102" s="305">
        <f>'[1]Adubos e corretivos'!J5</f>
        <v>0</v>
      </c>
      <c r="AD102" s="305">
        <f>'[1]Adubos e corretivos'!K5</f>
        <v>1</v>
      </c>
      <c r="AE102" s="305">
        <f>'[1]Adubos e corretivos'!L5</f>
        <v>1</v>
      </c>
      <c r="AF102" s="305">
        <f>'[1]Adubos e corretivos'!M5</f>
        <v>0</v>
      </c>
      <c r="AG102" s="305">
        <f>'[1]Adubos e corretivos'!N5</f>
        <v>0</v>
      </c>
      <c r="AH102" s="305">
        <f>'[1]Adubos e corretivos'!O5</f>
        <v>1</v>
      </c>
      <c r="AI102" s="305">
        <f>'[1]Adubos e corretivos'!P5</f>
        <v>0</v>
      </c>
      <c r="AJ102" s="305">
        <f>'[1]Adubos e corretivos'!Q5</f>
        <v>0</v>
      </c>
      <c r="AK102" s="305">
        <f>'[1]Adubos e corretivos'!R5</f>
        <v>0</v>
      </c>
      <c r="AL102" s="305">
        <f>'[1]Adubos e corretivos'!S5</f>
        <v>0</v>
      </c>
      <c r="AM102" s="305">
        <f>'[1]Adubos e corretivos'!T5</f>
        <v>14.5</v>
      </c>
      <c r="AN102" s="305">
        <f>'[1]Adubos e corretivos'!U5</f>
        <v>14.5</v>
      </c>
      <c r="AO102" s="305">
        <f>'[1]Adubos e corretivos'!V5</f>
        <v>1.5</v>
      </c>
      <c r="AS102" s="215"/>
      <c r="AT102" s="215"/>
      <c r="AU102" s="215"/>
      <c r="AV102" s="215"/>
      <c r="AW102" s="215"/>
      <c r="AX102" s="215"/>
    </row>
    <row r="103" spans="1:50" ht="19.5" customHeight="1" x14ac:dyDescent="0.25">
      <c r="M103" s="376"/>
      <c r="N103" s="552"/>
      <c r="O103" s="448" t="s">
        <v>257</v>
      </c>
      <c r="P103" s="448"/>
      <c r="Q103" s="448"/>
      <c r="R103" s="216"/>
      <c r="U103" s="544"/>
      <c r="V103" s="305" t="str">
        <f>'[1]Adubos e corretivos'!C6</f>
        <v>Nitrato de cálcio</v>
      </c>
      <c r="W103" s="305">
        <f>'[1]Adubos e corretivos'!D6</f>
        <v>2.56</v>
      </c>
      <c r="X103" s="305">
        <f>'[1]Adubos e corretivos'!E6</f>
        <v>15</v>
      </c>
      <c r="Y103" s="305">
        <f>'[1]Adubos e corretivos'!F6</f>
        <v>0</v>
      </c>
      <c r="Z103" s="305">
        <f>'[1]Adubos e corretivos'!G6</f>
        <v>0</v>
      </c>
      <c r="AA103" s="305">
        <f>'[1]Adubos e corretivos'!H6</f>
        <v>0</v>
      </c>
      <c r="AB103" s="305">
        <f>'[1]Adubos e corretivos'!I6</f>
        <v>0</v>
      </c>
      <c r="AC103" s="305">
        <f>'[1]Adubos e corretivos'!J6</f>
        <v>19</v>
      </c>
      <c r="AD103" s="305">
        <f>'[1]Adubos e corretivos'!K6</f>
        <v>0</v>
      </c>
      <c r="AE103" s="305">
        <f>'[1]Adubos e corretivos'!L6</f>
        <v>0</v>
      </c>
      <c r="AF103" s="305">
        <f>'[1]Adubos e corretivos'!M6</f>
        <v>0</v>
      </c>
      <c r="AG103" s="305">
        <f>'[1]Adubos e corretivos'!N6</f>
        <v>0</v>
      </c>
      <c r="AH103" s="305">
        <f>'[1]Adubos e corretivos'!O6</f>
        <v>0</v>
      </c>
      <c r="AI103" s="305">
        <f>'[1]Adubos e corretivos'!P6</f>
        <v>0</v>
      </c>
      <c r="AJ103" s="305">
        <f>'[1]Adubos e corretivos'!Q6</f>
        <v>0</v>
      </c>
      <c r="AK103" s="305">
        <f>'[1]Adubos e corretivos'!R6</f>
        <v>0</v>
      </c>
      <c r="AL103" s="305">
        <f>'[1]Adubos e corretivos'!S6</f>
        <v>0</v>
      </c>
      <c r="AM103" s="305">
        <f>'[1]Adubos e corretivos'!T6</f>
        <v>1</v>
      </c>
      <c r="AN103" s="305">
        <f>'[1]Adubos e corretivos'!U6</f>
        <v>14</v>
      </c>
      <c r="AO103" s="305">
        <f>'[1]Adubos e corretivos'!V6</f>
        <v>1.18</v>
      </c>
      <c r="AS103" s="215"/>
      <c r="AT103" s="215"/>
      <c r="AU103" s="215"/>
      <c r="AV103" s="215"/>
      <c r="AW103" s="215"/>
      <c r="AX103" s="215"/>
    </row>
    <row r="104" spans="1:50" ht="19.5" customHeight="1" x14ac:dyDescent="0.25">
      <c r="C104" s="272" t="s">
        <v>614</v>
      </c>
      <c r="D104" s="272"/>
      <c r="G104" s="549">
        <f>IFERROR((I27+I30+I38+I45+I48+I51+I54+I57+I60+I63+I66+I69+I72+I82+I85+I88+I91+I94),0)</f>
        <v>6936.5033834586475</v>
      </c>
      <c r="H104" s="549"/>
      <c r="I104" s="307"/>
      <c r="M104" s="376"/>
      <c r="N104" s="552"/>
      <c r="O104" s="448" t="s">
        <v>103</v>
      </c>
      <c r="P104" s="448"/>
      <c r="Q104" s="448"/>
      <c r="R104" s="216"/>
      <c r="U104" s="544"/>
      <c r="V104" s="305" t="str">
        <f>'[1]Adubos e corretivos'!C7</f>
        <v>Nitrato de magnésio</v>
      </c>
      <c r="W104" s="305">
        <f>'[1]Adubos e corretivos'!D7</f>
        <v>4.5999999999999996</v>
      </c>
      <c r="X104" s="305">
        <f>'[1]Adubos e corretivos'!E7</f>
        <v>11</v>
      </c>
      <c r="Y104" s="305">
        <f>'[1]Adubos e corretivos'!F7</f>
        <v>0</v>
      </c>
      <c r="Z104" s="305">
        <f>'[1]Adubos e corretivos'!G7</f>
        <v>0</v>
      </c>
      <c r="AA104" s="305">
        <f>'[1]Adubos e corretivos'!H7</f>
        <v>0</v>
      </c>
      <c r="AB104" s="305">
        <f>'[1]Adubos e corretivos'!I7</f>
        <v>0</v>
      </c>
      <c r="AC104" s="305">
        <f>'[1]Adubos e corretivos'!J7</f>
        <v>0</v>
      </c>
      <c r="AD104" s="305">
        <f>'[1]Adubos e corretivos'!K7</f>
        <v>9.5</v>
      </c>
      <c r="AE104" s="305">
        <f>'[1]Adubos e corretivos'!L7</f>
        <v>0</v>
      </c>
      <c r="AF104" s="305">
        <f>'[1]Adubos e corretivos'!M7</f>
        <v>0</v>
      </c>
      <c r="AG104" s="305">
        <f>'[1]Adubos e corretivos'!N7</f>
        <v>0</v>
      </c>
      <c r="AH104" s="305">
        <f>'[1]Adubos e corretivos'!O7</f>
        <v>0</v>
      </c>
      <c r="AI104" s="305">
        <f>'[1]Adubos e corretivos'!P7</f>
        <v>0</v>
      </c>
      <c r="AJ104" s="305">
        <f>'[1]Adubos e corretivos'!Q7</f>
        <v>0</v>
      </c>
      <c r="AK104" s="305">
        <f>'[1]Adubos e corretivos'!R7</f>
        <v>0</v>
      </c>
      <c r="AL104" s="305">
        <f>'[1]Adubos e corretivos'!S7</f>
        <v>0</v>
      </c>
      <c r="AM104" s="305">
        <f>'[1]Adubos e corretivos'!T7</f>
        <v>0</v>
      </c>
      <c r="AN104" s="305">
        <f>'[1]Adubos e corretivos'!U7</f>
        <v>11</v>
      </c>
      <c r="AO104" s="305">
        <f>'[1]Adubos e corretivos'!V7</f>
        <v>0.9</v>
      </c>
      <c r="AS104" s="215"/>
      <c r="AT104" s="215"/>
      <c r="AU104" s="215"/>
      <c r="AV104" s="215"/>
      <c r="AW104" s="215"/>
      <c r="AX104" s="215"/>
    </row>
    <row r="105" spans="1:50" ht="19.5" customHeight="1" x14ac:dyDescent="0.25">
      <c r="M105" s="376"/>
      <c r="N105" s="552"/>
      <c r="O105" s="448" t="s">
        <v>102</v>
      </c>
      <c r="P105" s="448"/>
      <c r="Q105" s="448"/>
      <c r="R105" s="216"/>
      <c r="U105" s="544"/>
      <c r="V105" s="305" t="str">
        <f>'[1]Adubos e corretivos'!C8</f>
        <v>Nitrato de potássio</v>
      </c>
      <c r="W105" s="305">
        <f>'[1]Adubos e corretivos'!D8</f>
        <v>5.92</v>
      </c>
      <c r="X105" s="305">
        <f>'[1]Adubos e corretivos'!E8</f>
        <v>12</v>
      </c>
      <c r="Y105" s="305">
        <f>'[1]Adubos e corretivos'!F8</f>
        <v>0</v>
      </c>
      <c r="Z105" s="305">
        <f>'[1]Adubos e corretivos'!G8</f>
        <v>0</v>
      </c>
      <c r="AA105" s="305">
        <f>'[1]Adubos e corretivos'!H8</f>
        <v>38</v>
      </c>
      <c r="AB105" s="305">
        <f>'[1]Adubos e corretivos'!I8</f>
        <v>0</v>
      </c>
      <c r="AC105" s="305">
        <f>'[1]Adubos e corretivos'!J8</f>
        <v>0</v>
      </c>
      <c r="AD105" s="305">
        <f>'[1]Adubos e corretivos'!K8</f>
        <v>0</v>
      </c>
      <c r="AE105" s="305">
        <f>'[1]Adubos e corretivos'!L8</f>
        <v>0</v>
      </c>
      <c r="AF105" s="305">
        <f>'[1]Adubos e corretivos'!M8</f>
        <v>0</v>
      </c>
      <c r="AG105" s="305">
        <f>'[1]Adubos e corretivos'!N8</f>
        <v>0</v>
      </c>
      <c r="AH105" s="305">
        <f>'[1]Adubos e corretivos'!O8</f>
        <v>0</v>
      </c>
      <c r="AI105" s="305">
        <f>'[1]Adubos e corretivos'!P8</f>
        <v>0</v>
      </c>
      <c r="AJ105" s="305">
        <f>'[1]Adubos e corretivos'!Q8</f>
        <v>0</v>
      </c>
      <c r="AK105" s="305">
        <f>'[1]Adubos e corretivos'!R8</f>
        <v>0</v>
      </c>
      <c r="AL105" s="305">
        <f>'[1]Adubos e corretivos'!S8</f>
        <v>0</v>
      </c>
      <c r="AM105" s="305">
        <f>'[1]Adubos e corretivos'!T8</f>
        <v>0</v>
      </c>
      <c r="AN105" s="305">
        <f>'[1]Adubos e corretivos'!U8</f>
        <v>12</v>
      </c>
      <c r="AO105" s="305">
        <f>'[1]Adubos e corretivos'!V8</f>
        <v>1.28</v>
      </c>
      <c r="AS105" s="215"/>
      <c r="AT105" s="215"/>
      <c r="AU105" s="215"/>
      <c r="AV105" s="215"/>
      <c r="AW105" s="215"/>
      <c r="AX105" s="215"/>
    </row>
    <row r="106" spans="1:50" ht="19.5" customHeight="1" x14ac:dyDescent="0.25">
      <c r="C106" s="272" t="s">
        <v>615</v>
      </c>
      <c r="D106" s="272"/>
      <c r="G106" s="549">
        <f>IFERROR((I27+I30+I38+I48+I51+I54+I57+I60+I63+I66+I69+I72+I82+I85+I88+I91+I94),0)</f>
        <v>6936.5033834586475</v>
      </c>
      <c r="H106" s="549"/>
      <c r="M106" s="376"/>
      <c r="N106" s="552"/>
      <c r="O106" s="448"/>
      <c r="P106" s="448"/>
      <c r="Q106" s="448"/>
      <c r="R106" s="216"/>
      <c r="U106" s="544"/>
      <c r="V106" s="305" t="str">
        <f>'[1]Adubos e corretivos'!C9</f>
        <v>Superfosfato simples</v>
      </c>
      <c r="W106" s="305">
        <f>'[1]Adubos e corretivos'!D9</f>
        <v>1.68</v>
      </c>
      <c r="X106" s="305">
        <f>'[1]Adubos e corretivos'!E9</f>
        <v>0</v>
      </c>
      <c r="Y106" s="305">
        <f>'[1]Adubos e corretivos'!F9</f>
        <v>7.86</v>
      </c>
      <c r="Z106" s="305">
        <f>'[1]Adubos e corretivos'!G9</f>
        <v>18</v>
      </c>
      <c r="AA106" s="305">
        <f>'[1]Adubos e corretivos'!H9</f>
        <v>0</v>
      </c>
      <c r="AB106" s="305">
        <f>'[1]Adubos e corretivos'!I9</f>
        <v>0</v>
      </c>
      <c r="AC106" s="305">
        <f>'[1]Adubos e corretivos'!J9</f>
        <v>0</v>
      </c>
      <c r="AD106" s="305">
        <f>'[1]Adubos e corretivos'!K9</f>
        <v>0</v>
      </c>
      <c r="AE106" s="305">
        <f>'[1]Adubos e corretivos'!L9</f>
        <v>0</v>
      </c>
      <c r="AF106" s="305">
        <f>'[1]Adubos e corretivos'!M9</f>
        <v>0</v>
      </c>
      <c r="AG106" s="305">
        <f>'[1]Adubos e corretivos'!N9</f>
        <v>0</v>
      </c>
      <c r="AH106" s="305">
        <f>'[1]Adubos e corretivos'!O9</f>
        <v>0</v>
      </c>
      <c r="AI106" s="305">
        <f>'[1]Adubos e corretivos'!P9</f>
        <v>0</v>
      </c>
      <c r="AJ106" s="305">
        <f>'[1]Adubos e corretivos'!Q9</f>
        <v>0</v>
      </c>
      <c r="AK106" s="305">
        <f>'[1]Adubos e corretivos'!R9</f>
        <v>0</v>
      </c>
      <c r="AL106" s="305">
        <f>'[1]Adubos e corretivos'!S9</f>
        <v>0</v>
      </c>
      <c r="AM106" s="305">
        <f>'[1]Adubos e corretivos'!T9</f>
        <v>0</v>
      </c>
      <c r="AN106" s="305">
        <f>'[1]Adubos e corretivos'!U9</f>
        <v>0</v>
      </c>
      <c r="AO106" s="305">
        <f>'[1]Adubos e corretivos'!V9</f>
        <v>0</v>
      </c>
    </row>
    <row r="107" spans="1:50" ht="19.5" customHeight="1" thickBot="1" x14ac:dyDescent="0.3">
      <c r="C107" s="550"/>
      <c r="D107" s="550"/>
      <c r="M107" s="217"/>
      <c r="N107" s="218"/>
      <c r="O107" s="218"/>
      <c r="P107" s="218"/>
      <c r="Q107" s="218"/>
      <c r="R107" s="219"/>
      <c r="U107" s="544"/>
      <c r="V107" s="305" t="str">
        <f>'[1]Adubos e corretivos'!C10</f>
        <v>Superfosfato triplo</v>
      </c>
      <c r="W107" s="305">
        <f>'[1]Adubos e corretivos'!D10</f>
        <v>3.8</v>
      </c>
      <c r="X107" s="305">
        <f>'[1]Adubos e corretivos'!E10</f>
        <v>0</v>
      </c>
      <c r="Y107" s="305">
        <f>'[1]Adubos e corretivos'!F10</f>
        <v>17.91</v>
      </c>
      <c r="Z107" s="305">
        <f>'[1]Adubos e corretivos'!G10</f>
        <v>41</v>
      </c>
      <c r="AA107" s="305">
        <f>'[1]Adubos e corretivos'!H10</f>
        <v>0</v>
      </c>
      <c r="AB107" s="305">
        <f>'[1]Adubos e corretivos'!I10</f>
        <v>0</v>
      </c>
      <c r="AC107" s="305">
        <f>'[1]Adubos e corretivos'!J10</f>
        <v>0</v>
      </c>
      <c r="AD107" s="305">
        <f>'[1]Adubos e corretivos'!K10</f>
        <v>0</v>
      </c>
      <c r="AE107" s="305">
        <f>'[1]Adubos e corretivos'!L10</f>
        <v>0</v>
      </c>
      <c r="AF107" s="305">
        <f>'[1]Adubos e corretivos'!M10</f>
        <v>0</v>
      </c>
      <c r="AG107" s="305">
        <f>'[1]Adubos e corretivos'!N10</f>
        <v>0</v>
      </c>
      <c r="AH107" s="305">
        <f>'[1]Adubos e corretivos'!O10</f>
        <v>0</v>
      </c>
      <c r="AI107" s="305">
        <f>'[1]Adubos e corretivos'!P10</f>
        <v>0</v>
      </c>
      <c r="AJ107" s="305">
        <f>'[1]Adubos e corretivos'!Q10</f>
        <v>0</v>
      </c>
      <c r="AK107" s="305">
        <f>'[1]Adubos e corretivos'!R10</f>
        <v>0</v>
      </c>
      <c r="AL107" s="305">
        <f>'[1]Adubos e corretivos'!S10</f>
        <v>0</v>
      </c>
      <c r="AM107" s="305">
        <f>'[1]Adubos e corretivos'!T10</f>
        <v>0</v>
      </c>
      <c r="AN107" s="305">
        <f>'[1]Adubos e corretivos'!U10</f>
        <v>0</v>
      </c>
      <c r="AO107" s="305">
        <f>'[1]Adubos e corretivos'!V10</f>
        <v>0</v>
      </c>
    </row>
    <row r="108" spans="1:50" ht="19.5" customHeight="1" thickBot="1" x14ac:dyDescent="0.3">
      <c r="C108" s="272" t="s">
        <v>616</v>
      </c>
      <c r="D108" s="272"/>
      <c r="G108" s="549">
        <f>IFERROR((I28+I31+I39+I46+I49+I52+I55+I58+I61+I64+I67+I70+I73+I83+I86+I89+I92+I95),0)</f>
        <v>4.1619020300751881</v>
      </c>
      <c r="H108" s="549"/>
      <c r="I108" s="307"/>
      <c r="U108" s="544"/>
      <c r="V108" s="305" t="str">
        <f>'[1]Adubos e corretivos'!C11</f>
        <v>Cloreto de potássio</v>
      </c>
      <c r="W108" s="305">
        <f>'[1]Adubos e corretivos'!D11</f>
        <v>3.48</v>
      </c>
      <c r="X108" s="305">
        <f>'[1]Adubos e corretivos'!E11</f>
        <v>0</v>
      </c>
      <c r="Y108" s="305">
        <f>'[1]Adubos e corretivos'!F11</f>
        <v>0</v>
      </c>
      <c r="Z108" s="305">
        <f>'[1]Adubos e corretivos'!G11</f>
        <v>0</v>
      </c>
      <c r="AA108" s="305">
        <f>'[1]Adubos e corretivos'!H11</f>
        <v>50</v>
      </c>
      <c r="AB108" s="305">
        <f>'[1]Adubos e corretivos'!I11</f>
        <v>60</v>
      </c>
      <c r="AC108" s="305">
        <f>'[1]Adubos e corretivos'!J11</f>
        <v>0</v>
      </c>
      <c r="AD108" s="305">
        <f>'[1]Adubos e corretivos'!K11</f>
        <v>0</v>
      </c>
      <c r="AE108" s="305">
        <f>'[1]Adubos e corretivos'!L11</f>
        <v>0</v>
      </c>
      <c r="AF108" s="305">
        <f>'[1]Adubos e corretivos'!M11</f>
        <v>0</v>
      </c>
      <c r="AG108" s="305">
        <f>'[1]Adubos e corretivos'!N11</f>
        <v>0</v>
      </c>
      <c r="AH108" s="305">
        <f>'[1]Adubos e corretivos'!O11</f>
        <v>0</v>
      </c>
      <c r="AI108" s="305">
        <f>'[1]Adubos e corretivos'!P11</f>
        <v>0</v>
      </c>
      <c r="AJ108" s="305">
        <f>'[1]Adubos e corretivos'!Q11</f>
        <v>0</v>
      </c>
      <c r="AK108" s="305">
        <f>'[1]Adubos e corretivos'!R11</f>
        <v>0</v>
      </c>
      <c r="AL108" s="305">
        <f>'[1]Adubos e corretivos'!S11</f>
        <v>0</v>
      </c>
      <c r="AM108" s="305">
        <f>'[1]Adubos e corretivos'!T11</f>
        <v>0</v>
      </c>
      <c r="AN108" s="305">
        <f>'[1]Adubos e corretivos'!U11</f>
        <v>0</v>
      </c>
      <c r="AO108" s="305">
        <f>'[1]Adubos e corretivos'!V11</f>
        <v>1.7</v>
      </c>
    </row>
    <row r="109" spans="1:50" ht="19.5" customHeight="1" x14ac:dyDescent="0.25">
      <c r="M109" s="212"/>
      <c r="N109" s="213"/>
      <c r="O109" s="213"/>
      <c r="P109" s="213"/>
      <c r="Q109" s="213"/>
      <c r="R109" s="214"/>
      <c r="U109" s="544"/>
      <c r="V109" s="305" t="str">
        <f>'[1]Adubos e corretivos'!C12</f>
        <v>Sulfato de potássio</v>
      </c>
      <c r="W109" s="305">
        <f>'[1]Adubos e corretivos'!D12</f>
        <v>5.32</v>
      </c>
      <c r="X109" s="305">
        <f>'[1]Adubos e corretivos'!E12</f>
        <v>0</v>
      </c>
      <c r="Y109" s="305">
        <f>'[1]Adubos e corretivos'!F12</f>
        <v>0</v>
      </c>
      <c r="Z109" s="305">
        <f>'[1]Adubos e corretivos'!G12</f>
        <v>0</v>
      </c>
      <c r="AA109" s="305">
        <f>'[1]Adubos e corretivos'!H12</f>
        <v>43</v>
      </c>
      <c r="AB109" s="305">
        <f>'[1]Adubos e corretivos'!I12</f>
        <v>52</v>
      </c>
      <c r="AC109" s="305">
        <f>'[1]Adubos e corretivos'!J12</f>
        <v>0</v>
      </c>
      <c r="AD109" s="305">
        <f>'[1]Adubos e corretivos'!K12</f>
        <v>0</v>
      </c>
      <c r="AE109" s="305">
        <f>'[1]Adubos e corretivos'!L12</f>
        <v>17</v>
      </c>
      <c r="AF109" s="305">
        <f>'[1]Adubos e corretivos'!M12</f>
        <v>0</v>
      </c>
      <c r="AG109" s="305">
        <f>'[1]Adubos e corretivos'!N12</f>
        <v>0</v>
      </c>
      <c r="AH109" s="305">
        <f>'[1]Adubos e corretivos'!O12</f>
        <v>0</v>
      </c>
      <c r="AI109" s="305">
        <f>'[1]Adubos e corretivos'!P12</f>
        <v>0</v>
      </c>
      <c r="AJ109" s="305">
        <f>'[1]Adubos e corretivos'!Q12</f>
        <v>0</v>
      </c>
      <c r="AK109" s="305">
        <f>'[1]Adubos e corretivos'!R12</f>
        <v>0</v>
      </c>
      <c r="AL109" s="305">
        <f>'[1]Adubos e corretivos'!S12</f>
        <v>0</v>
      </c>
      <c r="AM109" s="305">
        <f>'[1]Adubos e corretivos'!T12</f>
        <v>0</v>
      </c>
      <c r="AN109" s="305">
        <f>'[1]Adubos e corretivos'!U12</f>
        <v>0</v>
      </c>
      <c r="AO109" s="305">
        <f>'[1]Adubos e corretivos'!V12</f>
        <v>1.2</v>
      </c>
    </row>
    <row r="110" spans="1:50" ht="19.5" customHeight="1" x14ac:dyDescent="0.25">
      <c r="C110" s="272" t="s">
        <v>617</v>
      </c>
      <c r="D110" s="272"/>
      <c r="G110" s="549">
        <f>IFERROR((I28+I31+I39+I49+I52+I55+I58+I61+I64+I67+I70+I73+I83+I86+I89+I92+I95),0)</f>
        <v>4.1619020300751881</v>
      </c>
      <c r="H110" s="549"/>
      <c r="M110" s="211" t="s">
        <v>269</v>
      </c>
      <c r="N110" s="302" t="s">
        <v>84</v>
      </c>
      <c r="O110" s="302" t="s">
        <v>87</v>
      </c>
      <c r="P110" s="302" t="s">
        <v>85</v>
      </c>
      <c r="Q110" s="302" t="s">
        <v>86</v>
      </c>
      <c r="R110" s="216"/>
      <c r="U110" s="544"/>
      <c r="V110" s="305" t="str">
        <f>'[1]Adubos e corretivos'!C13</f>
        <v>DRIPSOL Alface</v>
      </c>
      <c r="W110" s="305">
        <f>'[1]Adubos e corretivos'!D13</f>
        <v>9</v>
      </c>
      <c r="X110" s="305">
        <f>'[1]Adubos e corretivos'!E13</f>
        <v>0</v>
      </c>
      <c r="Y110" s="305">
        <f>'[1]Adubos e corretivos'!F13</f>
        <v>0</v>
      </c>
      <c r="Z110" s="305">
        <f>'[1]Adubos e corretivos'!G13</f>
        <v>0</v>
      </c>
      <c r="AA110" s="305">
        <f>'[1]Adubos e corretivos'!H13</f>
        <v>43</v>
      </c>
      <c r="AB110" s="305">
        <f>'[1]Adubos e corretivos'!I13</f>
        <v>52</v>
      </c>
      <c r="AC110" s="305">
        <f>'[1]Adubos e corretivos'!J13</f>
        <v>0</v>
      </c>
      <c r="AD110" s="305">
        <f>'[1]Adubos e corretivos'!K13</f>
        <v>0</v>
      </c>
      <c r="AE110" s="305">
        <f>'[1]Adubos e corretivos'!L13</f>
        <v>0</v>
      </c>
      <c r="AF110" s="305">
        <f>'[1]Adubos e corretivos'!M13</f>
        <v>0</v>
      </c>
      <c r="AG110" s="305">
        <f>'[1]Adubos e corretivos'!N13</f>
        <v>0</v>
      </c>
      <c r="AH110" s="305">
        <f>'[1]Adubos e corretivos'!O13</f>
        <v>0</v>
      </c>
      <c r="AI110" s="305">
        <f>'[1]Adubos e corretivos'!P13</f>
        <v>0</v>
      </c>
      <c r="AJ110" s="305">
        <f>'[1]Adubos e corretivos'!Q13</f>
        <v>0</v>
      </c>
      <c r="AK110" s="305">
        <f>'[1]Adubos e corretivos'!R13</f>
        <v>0</v>
      </c>
      <c r="AL110" s="305">
        <f>'[1]Adubos e corretivos'!S13</f>
        <v>0</v>
      </c>
      <c r="AM110" s="305">
        <f>'[1]Adubos e corretivos'!T13</f>
        <v>0</v>
      </c>
      <c r="AN110" s="305">
        <f>'[1]Adubos e corretivos'!U13</f>
        <v>0</v>
      </c>
      <c r="AO110" s="305">
        <f>'[1]Adubos e corretivos'!V13</f>
        <v>0</v>
      </c>
    </row>
    <row r="111" spans="1:50" ht="19.5" customHeight="1" x14ac:dyDescent="0.25">
      <c r="M111" s="211" t="s">
        <v>262</v>
      </c>
      <c r="N111" s="303">
        <f>AS26</f>
        <v>0.6</v>
      </c>
      <c r="O111" s="303">
        <f>AT26</f>
        <v>0</v>
      </c>
      <c r="P111" s="303">
        <f>AU26</f>
        <v>0</v>
      </c>
      <c r="Q111" s="303">
        <f>AV26</f>
        <v>0</v>
      </c>
      <c r="R111" s="216"/>
      <c r="U111" s="544"/>
      <c r="V111" s="305" t="str">
        <f>'[1]Adubos e corretivos'!C14</f>
        <v>MAP</v>
      </c>
      <c r="W111" s="305">
        <f>'[1]Adubos e corretivos'!D14</f>
        <v>5.52</v>
      </c>
      <c r="X111" s="305">
        <f>'[1]Adubos e corretivos'!E14</f>
        <v>12</v>
      </c>
      <c r="Y111" s="305">
        <f>'[1]Adubos e corretivos'!F14</f>
        <v>27</v>
      </c>
      <c r="Z111" s="305">
        <f>'[1]Adubos e corretivos'!G14</f>
        <v>62</v>
      </c>
      <c r="AA111" s="305">
        <f>'[1]Adubos e corretivos'!H14</f>
        <v>0</v>
      </c>
      <c r="AB111" s="305">
        <f>'[1]Adubos e corretivos'!I14</f>
        <v>0</v>
      </c>
      <c r="AC111" s="305">
        <f>'[1]Adubos e corretivos'!J14</f>
        <v>0</v>
      </c>
      <c r="AD111" s="305">
        <f>'[1]Adubos e corretivos'!K14</f>
        <v>0</v>
      </c>
      <c r="AE111" s="305">
        <f>'[1]Adubos e corretivos'!L14</f>
        <v>0</v>
      </c>
      <c r="AF111" s="305">
        <f>'[1]Adubos e corretivos'!M14</f>
        <v>0</v>
      </c>
      <c r="AG111" s="305">
        <f>'[1]Adubos e corretivos'!N14</f>
        <v>0</v>
      </c>
      <c r="AH111" s="305">
        <f>'[1]Adubos e corretivos'!O14</f>
        <v>0</v>
      </c>
      <c r="AI111" s="305">
        <f>'[1]Adubos e corretivos'!P14</f>
        <v>0</v>
      </c>
      <c r="AJ111" s="305">
        <f>'[1]Adubos e corretivos'!Q14</f>
        <v>0</v>
      </c>
      <c r="AK111" s="305">
        <f>'[1]Adubos e corretivos'!R14</f>
        <v>0</v>
      </c>
      <c r="AL111" s="305">
        <f>'[1]Adubos e corretivos'!S14</f>
        <v>0</v>
      </c>
      <c r="AM111" s="305">
        <f>'[1]Adubos e corretivos'!T14</f>
        <v>12</v>
      </c>
      <c r="AN111" s="305">
        <f>'[1]Adubos e corretivos'!U14</f>
        <v>0</v>
      </c>
      <c r="AO111" s="305">
        <f>'[1]Adubos e corretivos'!V14</f>
        <v>0.95</v>
      </c>
    </row>
    <row r="112" spans="1:50" ht="19.5" customHeight="1" thickBot="1" x14ac:dyDescent="0.3">
      <c r="M112" s="211" t="s">
        <v>270</v>
      </c>
      <c r="N112" s="56">
        <f>AW45</f>
        <v>0</v>
      </c>
      <c r="O112" s="56">
        <f>AX45</f>
        <v>0</v>
      </c>
      <c r="P112" s="56">
        <f>AY45</f>
        <v>0</v>
      </c>
      <c r="Q112" s="56">
        <f>AZ45</f>
        <v>0</v>
      </c>
      <c r="R112" s="216"/>
      <c r="U112" s="544"/>
      <c r="V112" s="305" t="str">
        <f>'[1]Adubos e corretivos'!C15</f>
        <v>MKP</v>
      </c>
      <c r="W112" s="305">
        <f>'[1]Adubos e corretivos'!D15</f>
        <v>8.92</v>
      </c>
      <c r="X112" s="305">
        <f>'[1]Adubos e corretivos'!E15</f>
        <v>0</v>
      </c>
      <c r="Y112" s="305">
        <f>'[1]Adubos e corretivos'!F15</f>
        <v>23</v>
      </c>
      <c r="Z112" s="305">
        <f>'[1]Adubos e corretivos'!G15</f>
        <v>53</v>
      </c>
      <c r="AA112" s="305">
        <f>'[1]Adubos e corretivos'!H15</f>
        <v>28</v>
      </c>
      <c r="AB112" s="305">
        <f>'[1]Adubos e corretivos'!I15</f>
        <v>34</v>
      </c>
      <c r="AC112" s="305">
        <f>'[1]Adubos e corretivos'!J15</f>
        <v>0</v>
      </c>
      <c r="AD112" s="305">
        <f>'[1]Adubos e corretivos'!K15</f>
        <v>0</v>
      </c>
      <c r="AE112" s="305">
        <f>'[1]Adubos e corretivos'!L15</f>
        <v>0</v>
      </c>
      <c r="AF112" s="305">
        <f>'[1]Adubos e corretivos'!M15</f>
        <v>0</v>
      </c>
      <c r="AG112" s="305">
        <f>'[1]Adubos e corretivos'!N15</f>
        <v>0</v>
      </c>
      <c r="AH112" s="305">
        <f>'[1]Adubos e corretivos'!O15</f>
        <v>0</v>
      </c>
      <c r="AI112" s="305">
        <f>'[1]Adubos e corretivos'!P15</f>
        <v>0</v>
      </c>
      <c r="AJ112" s="305">
        <f>'[1]Adubos e corretivos'!Q15</f>
        <v>0</v>
      </c>
      <c r="AK112" s="305">
        <f>'[1]Adubos e corretivos'!R15</f>
        <v>0</v>
      </c>
      <c r="AL112" s="305">
        <f>'[1]Adubos e corretivos'!S15</f>
        <v>0</v>
      </c>
      <c r="AM112" s="305">
        <f>'[1]Adubos e corretivos'!T15</f>
        <v>0</v>
      </c>
      <c r="AN112" s="305">
        <f>'[1]Adubos e corretivos'!U15</f>
        <v>0</v>
      </c>
      <c r="AO112" s="305">
        <f>'[1]Adubos e corretivos'!V15</f>
        <v>0.7</v>
      </c>
    </row>
    <row r="113" spans="2:41" ht="19.5" customHeight="1" thickBot="1" x14ac:dyDescent="0.3">
      <c r="B113" s="388"/>
      <c r="C113" s="389"/>
      <c r="D113" s="389"/>
      <c r="E113" s="390"/>
      <c r="F113" s="388"/>
      <c r="G113" s="389"/>
      <c r="H113" s="389"/>
      <c r="I113" s="390"/>
      <c r="M113" s="217"/>
      <c r="N113" s="218"/>
      <c r="O113" s="218"/>
      <c r="P113" s="218"/>
      <c r="Q113" s="218"/>
      <c r="R113" s="219"/>
      <c r="U113" s="544"/>
      <c r="V113" s="305">
        <f>'[1]Adubos e corretivos'!C16</f>
        <v>0</v>
      </c>
      <c r="W113" s="305">
        <f>'[1]Adubos e corretivos'!D16</f>
        <v>0</v>
      </c>
      <c r="X113" s="305">
        <f>'[1]Adubos e corretivos'!E16</f>
        <v>0</v>
      </c>
      <c r="Y113" s="305">
        <f>'[1]Adubos e corretivos'!F16</f>
        <v>0</v>
      </c>
      <c r="Z113" s="305">
        <f>'[1]Adubos e corretivos'!G16</f>
        <v>0</v>
      </c>
      <c r="AA113" s="305">
        <f>'[1]Adubos e corretivos'!H16</f>
        <v>0</v>
      </c>
      <c r="AB113" s="305">
        <f>'[1]Adubos e corretivos'!I16</f>
        <v>0</v>
      </c>
      <c r="AC113" s="305">
        <f>'[1]Adubos e corretivos'!J16</f>
        <v>0</v>
      </c>
      <c r="AD113" s="305">
        <f>'[1]Adubos e corretivos'!K16</f>
        <v>0</v>
      </c>
      <c r="AE113" s="305">
        <f>'[1]Adubos e corretivos'!L16</f>
        <v>0</v>
      </c>
      <c r="AF113" s="305">
        <f>'[1]Adubos e corretivos'!M16</f>
        <v>0</v>
      </c>
      <c r="AG113" s="305">
        <f>'[1]Adubos e corretivos'!N16</f>
        <v>0</v>
      </c>
      <c r="AH113" s="305">
        <f>'[1]Adubos e corretivos'!O16</f>
        <v>0</v>
      </c>
      <c r="AI113" s="305">
        <f>'[1]Adubos e corretivos'!P16</f>
        <v>0</v>
      </c>
      <c r="AJ113" s="305">
        <f>'[1]Adubos e corretivos'!Q16</f>
        <v>0</v>
      </c>
      <c r="AK113" s="305">
        <f>'[1]Adubos e corretivos'!R16</f>
        <v>0</v>
      </c>
      <c r="AL113" s="305">
        <f>'[1]Adubos e corretivos'!S16</f>
        <v>0</v>
      </c>
      <c r="AM113" s="305">
        <f>'[1]Adubos e corretivos'!T16</f>
        <v>0</v>
      </c>
      <c r="AN113" s="305">
        <f>'[1]Adubos e corretivos'!U16</f>
        <v>0</v>
      </c>
      <c r="AO113" s="305">
        <f>'[1]Adubos e corretivos'!V16</f>
        <v>0</v>
      </c>
    </row>
    <row r="114" spans="2:41" ht="19.5" customHeight="1" thickBot="1" x14ac:dyDescent="0.3">
      <c r="B114" s="376"/>
      <c r="C114" s="391"/>
      <c r="D114" s="391"/>
      <c r="E114" s="392"/>
      <c r="F114" s="376"/>
      <c r="G114" s="391"/>
      <c r="H114" s="391"/>
      <c r="I114" s="392"/>
      <c r="U114" s="544"/>
      <c r="V114" s="305">
        <f>'[1]Adubos e corretivos'!C17</f>
        <v>0</v>
      </c>
      <c r="W114" s="305">
        <f>'[1]Adubos e corretivos'!D17</f>
        <v>0</v>
      </c>
      <c r="X114" s="305">
        <f>'[1]Adubos e corretivos'!E17</f>
        <v>0</v>
      </c>
      <c r="Y114" s="305">
        <f>'[1]Adubos e corretivos'!F17</f>
        <v>0</v>
      </c>
      <c r="Z114" s="305">
        <f>'[1]Adubos e corretivos'!G17</f>
        <v>0</v>
      </c>
      <c r="AA114" s="305">
        <f>'[1]Adubos e corretivos'!H17</f>
        <v>0</v>
      </c>
      <c r="AB114" s="305">
        <f>'[1]Adubos e corretivos'!I17</f>
        <v>0</v>
      </c>
      <c r="AC114" s="305">
        <f>'[1]Adubos e corretivos'!J17</f>
        <v>0</v>
      </c>
      <c r="AD114" s="305">
        <f>'[1]Adubos e corretivos'!K17</f>
        <v>0</v>
      </c>
      <c r="AE114" s="305">
        <f>'[1]Adubos e corretivos'!L17</f>
        <v>0</v>
      </c>
      <c r="AF114" s="305">
        <f>'[1]Adubos e corretivos'!M17</f>
        <v>0</v>
      </c>
      <c r="AG114" s="305">
        <f>'[1]Adubos e corretivos'!N17</f>
        <v>0</v>
      </c>
      <c r="AH114" s="305">
        <f>'[1]Adubos e corretivos'!O17</f>
        <v>0</v>
      </c>
      <c r="AI114" s="305">
        <f>'[1]Adubos e corretivos'!P17</f>
        <v>0</v>
      </c>
      <c r="AJ114" s="305">
        <f>'[1]Adubos e corretivos'!Q17</f>
        <v>0</v>
      </c>
      <c r="AK114" s="305">
        <f>'[1]Adubos e corretivos'!R17</f>
        <v>0</v>
      </c>
      <c r="AL114" s="305">
        <f>'[1]Adubos e corretivos'!S17</f>
        <v>0</v>
      </c>
      <c r="AM114" s="305">
        <f>'[1]Adubos e corretivos'!T17</f>
        <v>0</v>
      </c>
      <c r="AN114" s="305">
        <f>'[1]Adubos e corretivos'!U17</f>
        <v>0</v>
      </c>
      <c r="AO114" s="305">
        <f>'[1]Adubos e corretivos'!V17</f>
        <v>0</v>
      </c>
    </row>
    <row r="115" spans="2:41" ht="19.5" customHeight="1" thickBot="1" x14ac:dyDescent="0.3">
      <c r="B115" s="393"/>
      <c r="C115" s="394"/>
      <c r="D115" s="394"/>
      <c r="E115" s="395"/>
      <c r="F115" s="393"/>
      <c r="G115" s="394"/>
      <c r="H115" s="394"/>
      <c r="I115" s="395"/>
      <c r="M115" s="212"/>
      <c r="N115" s="213"/>
      <c r="O115" s="213"/>
      <c r="P115" s="213"/>
      <c r="Q115" s="213"/>
      <c r="R115" s="214"/>
      <c r="U115" s="543" t="s">
        <v>226</v>
      </c>
      <c r="V115" s="305" t="str">
        <f>'[1]Adubos e corretivos'!C18</f>
        <v>Formulado 03-18-05</v>
      </c>
      <c r="W115" s="305">
        <f>'[1]Adubos e corretivos'!D18</f>
        <v>1.88</v>
      </c>
      <c r="X115" s="305">
        <f>'[1]Adubos e corretivos'!E18</f>
        <v>3</v>
      </c>
      <c r="Y115" s="305">
        <f>'[1]Adubos e corretivos'!F18</f>
        <v>7.87</v>
      </c>
      <c r="Z115" s="305">
        <f>'[1]Adubos e corretivos'!G18</f>
        <v>18</v>
      </c>
      <c r="AA115" s="305">
        <f>'[1]Adubos e corretivos'!H18</f>
        <v>4.2</v>
      </c>
      <c r="AB115" s="305">
        <f>'[1]Adubos e corretivos'!I18</f>
        <v>5</v>
      </c>
      <c r="AC115" s="305">
        <f>'[1]Adubos e corretivos'!J18</f>
        <v>0</v>
      </c>
      <c r="AD115" s="305">
        <f>'[1]Adubos e corretivos'!K18</f>
        <v>0</v>
      </c>
      <c r="AE115" s="305">
        <f>'[1]Adubos e corretivos'!L18</f>
        <v>0</v>
      </c>
      <c r="AF115" s="305">
        <f>'[1]Adubos e corretivos'!M18</f>
        <v>0</v>
      </c>
      <c r="AG115" s="305">
        <f>'[1]Adubos e corretivos'!N18</f>
        <v>0</v>
      </c>
      <c r="AH115" s="305">
        <f>'[1]Adubos e corretivos'!O18</f>
        <v>0</v>
      </c>
      <c r="AI115" s="305">
        <f>'[1]Adubos e corretivos'!P18</f>
        <v>0</v>
      </c>
      <c r="AJ115" s="305">
        <f>'[1]Adubos e corretivos'!Q18</f>
        <v>0</v>
      </c>
      <c r="AK115" s="305">
        <f>'[1]Adubos e corretivos'!R18</f>
        <v>0</v>
      </c>
      <c r="AL115" s="305">
        <f>'[1]Adubos e corretivos'!S18</f>
        <v>0</v>
      </c>
      <c r="AM115" s="305">
        <f>'[1]Adubos e corretivos'!T18</f>
        <v>0</v>
      </c>
      <c r="AN115" s="305">
        <f>'[1]Adubos e corretivos'!U18</f>
        <v>0</v>
      </c>
      <c r="AO115" s="305">
        <f>'[1]Adubos e corretivos'!V18</f>
        <v>0</v>
      </c>
    </row>
    <row r="116" spans="2:41" ht="19.5" customHeight="1" x14ac:dyDescent="0.25">
      <c r="B116" s="545" t="s">
        <v>132</v>
      </c>
      <c r="C116" s="545"/>
      <c r="D116" s="545"/>
      <c r="E116" s="546"/>
      <c r="F116" s="545" t="s">
        <v>133</v>
      </c>
      <c r="G116" s="545"/>
      <c r="H116" s="545"/>
      <c r="I116" s="545"/>
      <c r="M116" s="539" t="s">
        <v>618</v>
      </c>
      <c r="N116" s="547"/>
      <c r="O116" s="548" t="s">
        <v>619</v>
      </c>
      <c r="P116" s="548"/>
      <c r="Q116" s="548"/>
      <c r="R116" s="216"/>
      <c r="U116" s="543"/>
      <c r="V116" s="305" t="str">
        <f>'[1]Adubos e corretivos'!C19</f>
        <v>Formulado 04-14-08</v>
      </c>
      <c r="W116" s="305">
        <f>'[1]Adubos e corretivos'!D19</f>
        <v>1.86</v>
      </c>
      <c r="X116" s="305">
        <f>'[1]Adubos e corretivos'!E19</f>
        <v>4</v>
      </c>
      <c r="Y116" s="305">
        <f>'[1]Adubos e corretivos'!F19</f>
        <v>6.15</v>
      </c>
      <c r="Z116" s="305">
        <f>'[1]Adubos e corretivos'!G19</f>
        <v>14</v>
      </c>
      <c r="AA116" s="305">
        <f>'[1]Adubos e corretivos'!H19</f>
        <v>6.65</v>
      </c>
      <c r="AB116" s="305">
        <f>'[1]Adubos e corretivos'!I19</f>
        <v>8</v>
      </c>
      <c r="AC116" s="305">
        <f>'[1]Adubos e corretivos'!J19</f>
        <v>0</v>
      </c>
      <c r="AD116" s="305">
        <f>'[1]Adubos e corretivos'!K19</f>
        <v>0</v>
      </c>
      <c r="AE116" s="305">
        <f>'[1]Adubos e corretivos'!L19</f>
        <v>0</v>
      </c>
      <c r="AF116" s="305">
        <f>'[1]Adubos e corretivos'!M19</f>
        <v>0</v>
      </c>
      <c r="AG116" s="305">
        <f>'[1]Adubos e corretivos'!N19</f>
        <v>0</v>
      </c>
      <c r="AH116" s="305">
        <f>'[1]Adubos e corretivos'!O19</f>
        <v>0</v>
      </c>
      <c r="AI116" s="305">
        <f>'[1]Adubos e corretivos'!P19</f>
        <v>0</v>
      </c>
      <c r="AJ116" s="305">
        <f>'[1]Adubos e corretivos'!Q19</f>
        <v>0</v>
      </c>
      <c r="AK116" s="305">
        <f>'[1]Adubos e corretivos'!R19</f>
        <v>0</v>
      </c>
      <c r="AL116" s="305">
        <f>'[1]Adubos e corretivos'!S19</f>
        <v>0</v>
      </c>
      <c r="AM116" s="305">
        <f>'[1]Adubos e corretivos'!T19</f>
        <v>0</v>
      </c>
      <c r="AN116" s="305">
        <f>'[1]Adubos e corretivos'!U19</f>
        <v>0</v>
      </c>
      <c r="AO116" s="305">
        <f>'[1]Adubos e corretivos'!V19</f>
        <v>0</v>
      </c>
    </row>
    <row r="117" spans="2:41" ht="19.5" customHeight="1" x14ac:dyDescent="0.25">
      <c r="M117" s="539"/>
      <c r="N117" s="547"/>
      <c r="O117" s="448" t="s">
        <v>158</v>
      </c>
      <c r="P117" s="448"/>
      <c r="Q117" s="266">
        <f>AA188</f>
        <v>0</v>
      </c>
      <c r="R117" s="216"/>
      <c r="U117" s="543"/>
      <c r="V117" s="305" t="str">
        <f>'[1]Adubos e corretivos'!C20</f>
        <v>Formulado 04-30-16</v>
      </c>
      <c r="W117" s="305">
        <f>'[1]Adubos e corretivos'!D20</f>
        <v>2.52</v>
      </c>
      <c r="X117" s="305">
        <f>'[1]Adubos e corretivos'!E20</f>
        <v>4</v>
      </c>
      <c r="Y117" s="305">
        <f>'[1]Adubos e corretivos'!F20</f>
        <v>13.1</v>
      </c>
      <c r="Z117" s="305">
        <f>'[1]Adubos e corretivos'!G20</f>
        <v>30</v>
      </c>
      <c r="AA117" s="305">
        <f>'[1]Adubos e corretivos'!H20</f>
        <v>13.3</v>
      </c>
      <c r="AB117" s="305">
        <f>'[1]Adubos e corretivos'!I20</f>
        <v>16</v>
      </c>
      <c r="AC117" s="305">
        <f>'[1]Adubos e corretivos'!J20</f>
        <v>0</v>
      </c>
      <c r="AD117" s="305">
        <f>'[1]Adubos e corretivos'!K20</f>
        <v>0</v>
      </c>
      <c r="AE117" s="305">
        <f>'[1]Adubos e corretivos'!L20</f>
        <v>0</v>
      </c>
      <c r="AF117" s="305">
        <f>'[1]Adubos e corretivos'!M20</f>
        <v>0</v>
      </c>
      <c r="AG117" s="305">
        <f>'[1]Adubos e corretivos'!N20</f>
        <v>0</v>
      </c>
      <c r="AH117" s="305">
        <f>'[1]Adubos e corretivos'!O20</f>
        <v>0</v>
      </c>
      <c r="AI117" s="305">
        <f>'[1]Adubos e corretivos'!P20</f>
        <v>0</v>
      </c>
      <c r="AJ117" s="305">
        <f>'[1]Adubos e corretivos'!Q20</f>
        <v>0</v>
      </c>
      <c r="AK117" s="305">
        <f>'[1]Adubos e corretivos'!R20</f>
        <v>0</v>
      </c>
      <c r="AL117" s="305">
        <f>'[1]Adubos e corretivos'!S20</f>
        <v>0</v>
      </c>
      <c r="AM117" s="305">
        <f>'[1]Adubos e corretivos'!T20</f>
        <v>0</v>
      </c>
      <c r="AN117" s="305">
        <f>'[1]Adubos e corretivos'!U20</f>
        <v>0</v>
      </c>
      <c r="AO117" s="305">
        <f>'[1]Adubos e corretivos'!V20</f>
        <v>0</v>
      </c>
    </row>
    <row r="118" spans="2:41" ht="19.5" customHeight="1" x14ac:dyDescent="0.25">
      <c r="M118" s="539"/>
      <c r="N118" s="547"/>
      <c r="O118" s="448" t="s">
        <v>166</v>
      </c>
      <c r="P118" s="448"/>
      <c r="Q118" s="266">
        <f t="shared" ref="Q118:Q143" si="17">AA189</f>
        <v>0</v>
      </c>
      <c r="R118" s="216"/>
      <c r="U118" s="543"/>
      <c r="V118" s="305" t="str">
        <f>'[1]Adubos e corretivos'!C21</f>
        <v>Formulado 05-25-15</v>
      </c>
      <c r="W118" s="305">
        <f>'[1]Adubos e corretivos'!D21</f>
        <v>2</v>
      </c>
      <c r="X118" s="305">
        <f>'[1]Adubos e corretivos'!E21</f>
        <v>5</v>
      </c>
      <c r="Y118" s="305">
        <f>'[1]Adubos e corretivos'!F21</f>
        <v>10.95</v>
      </c>
      <c r="Z118" s="305">
        <f>'[1]Adubos e corretivos'!G21</f>
        <v>25</v>
      </c>
      <c r="AA118" s="305">
        <f>'[1]Adubos e corretivos'!H21</f>
        <v>12.45</v>
      </c>
      <c r="AB118" s="305">
        <f>'[1]Adubos e corretivos'!I21</f>
        <v>15</v>
      </c>
      <c r="AC118" s="305">
        <f>'[1]Adubos e corretivos'!J21</f>
        <v>0</v>
      </c>
      <c r="AD118" s="305">
        <f>'[1]Adubos e corretivos'!K21</f>
        <v>0</v>
      </c>
      <c r="AE118" s="305">
        <f>'[1]Adubos e corretivos'!L21</f>
        <v>0</v>
      </c>
      <c r="AF118" s="305">
        <f>'[1]Adubos e corretivos'!M21</f>
        <v>0</v>
      </c>
      <c r="AG118" s="305">
        <f>'[1]Adubos e corretivos'!N21</f>
        <v>0</v>
      </c>
      <c r="AH118" s="305">
        <f>'[1]Adubos e corretivos'!O21</f>
        <v>0</v>
      </c>
      <c r="AI118" s="305">
        <f>'[1]Adubos e corretivos'!P21</f>
        <v>0</v>
      </c>
      <c r="AJ118" s="305">
        <f>'[1]Adubos e corretivos'!Q21</f>
        <v>0</v>
      </c>
      <c r="AK118" s="305">
        <f>'[1]Adubos e corretivos'!R21</f>
        <v>0</v>
      </c>
      <c r="AL118" s="305">
        <f>'[1]Adubos e corretivos'!S21</f>
        <v>0</v>
      </c>
      <c r="AM118" s="305">
        <f>'[1]Adubos e corretivos'!T21</f>
        <v>0</v>
      </c>
      <c r="AN118" s="305">
        <f>'[1]Adubos e corretivos'!U21</f>
        <v>0</v>
      </c>
      <c r="AO118" s="305">
        <f>'[1]Adubos e corretivos'!V21</f>
        <v>0</v>
      </c>
    </row>
    <row r="119" spans="2:41" ht="19.5" customHeight="1" x14ac:dyDescent="0.25">
      <c r="M119" s="539"/>
      <c r="N119" s="547"/>
      <c r="O119" s="448" t="s">
        <v>174</v>
      </c>
      <c r="P119" s="448"/>
      <c r="Q119" s="266">
        <f t="shared" si="17"/>
        <v>5.6843418860808015E-14</v>
      </c>
      <c r="R119" s="216"/>
      <c r="U119" s="543"/>
      <c r="V119" s="305" t="str">
        <f>'[1]Adubos e corretivos'!C22</f>
        <v>Formulado 04-30-10</v>
      </c>
      <c r="W119" s="305">
        <f>'[1]Adubos e corretivos'!D22</f>
        <v>2.44</v>
      </c>
      <c r="X119" s="305">
        <f>'[1]Adubos e corretivos'!E22</f>
        <v>4</v>
      </c>
      <c r="Y119" s="305">
        <f>'[1]Adubos e corretivos'!F22</f>
        <v>13.1</v>
      </c>
      <c r="Z119" s="305">
        <f>'[1]Adubos e corretivos'!G22</f>
        <v>30</v>
      </c>
      <c r="AA119" s="305">
        <f>'[1]Adubos e corretivos'!H22</f>
        <v>8.3000000000000007</v>
      </c>
      <c r="AB119" s="305">
        <f>'[1]Adubos e corretivos'!I22</f>
        <v>10</v>
      </c>
      <c r="AC119" s="305">
        <f>'[1]Adubos e corretivos'!J22</f>
        <v>0</v>
      </c>
      <c r="AD119" s="305">
        <f>'[1]Adubos e corretivos'!K22</f>
        <v>0</v>
      </c>
      <c r="AE119" s="305">
        <f>'[1]Adubos e corretivos'!L22</f>
        <v>0</v>
      </c>
      <c r="AF119" s="305">
        <f>'[1]Adubos e corretivos'!M22</f>
        <v>0</v>
      </c>
      <c r="AG119" s="305">
        <f>'[1]Adubos e corretivos'!N22</f>
        <v>0</v>
      </c>
      <c r="AH119" s="305">
        <f>'[1]Adubos e corretivos'!O22</f>
        <v>0</v>
      </c>
      <c r="AI119" s="305">
        <f>'[1]Adubos e corretivos'!P22</f>
        <v>0</v>
      </c>
      <c r="AJ119" s="305">
        <f>'[1]Adubos e corretivos'!Q22</f>
        <v>0</v>
      </c>
      <c r="AK119" s="305">
        <f>'[1]Adubos e corretivos'!R22</f>
        <v>0</v>
      </c>
      <c r="AL119" s="305">
        <f>'[1]Adubos e corretivos'!S22</f>
        <v>0</v>
      </c>
      <c r="AM119" s="305">
        <f>'[1]Adubos e corretivos'!T22</f>
        <v>0</v>
      </c>
      <c r="AN119" s="305">
        <f>'[1]Adubos e corretivos'!U22</f>
        <v>0</v>
      </c>
      <c r="AO119" s="305">
        <f>'[1]Adubos e corretivos'!V22</f>
        <v>0</v>
      </c>
    </row>
    <row r="120" spans="2:41" ht="19.5" customHeight="1" x14ac:dyDescent="0.25">
      <c r="M120" s="539"/>
      <c r="N120" s="547"/>
      <c r="O120" s="448" t="s">
        <v>179</v>
      </c>
      <c r="P120" s="448"/>
      <c r="Q120" s="266">
        <f t="shared" si="17"/>
        <v>3.6785727068673189</v>
      </c>
      <c r="R120" s="216"/>
      <c r="U120" s="543"/>
      <c r="V120" s="305" t="str">
        <f>'[1]Adubos e corretivos'!C23</f>
        <v>Formulado 00-18-00</v>
      </c>
      <c r="W120" s="305">
        <f>'[1]Adubos e corretivos'!D23</f>
        <v>0</v>
      </c>
      <c r="X120" s="305">
        <f>'[1]Adubos e corretivos'!E23</f>
        <v>0</v>
      </c>
      <c r="Y120" s="305">
        <f>'[1]Adubos e corretivos'!F23</f>
        <v>7.87</v>
      </c>
      <c r="Z120" s="305">
        <f>'[1]Adubos e corretivos'!G23</f>
        <v>18</v>
      </c>
      <c r="AA120" s="305">
        <f>'[1]Adubos e corretivos'!H23</f>
        <v>0</v>
      </c>
      <c r="AB120" s="305">
        <f>'[1]Adubos e corretivos'!I23</f>
        <v>0</v>
      </c>
      <c r="AC120" s="305">
        <f>'[1]Adubos e corretivos'!J23</f>
        <v>0</v>
      </c>
      <c r="AD120" s="305">
        <f>'[1]Adubos e corretivos'!K23</f>
        <v>0</v>
      </c>
      <c r="AE120" s="305">
        <f>'[1]Adubos e corretivos'!L23</f>
        <v>0</v>
      </c>
      <c r="AF120" s="305">
        <f>'[1]Adubos e corretivos'!M23</f>
        <v>0</v>
      </c>
      <c r="AG120" s="305">
        <f>'[1]Adubos e corretivos'!N23</f>
        <v>0</v>
      </c>
      <c r="AH120" s="305">
        <f>'[1]Adubos e corretivos'!O23</f>
        <v>0</v>
      </c>
      <c r="AI120" s="305">
        <f>'[1]Adubos e corretivos'!P23</f>
        <v>0</v>
      </c>
      <c r="AJ120" s="305">
        <f>'[1]Adubos e corretivos'!Q23</f>
        <v>0</v>
      </c>
      <c r="AK120" s="305">
        <f>'[1]Adubos e corretivos'!R23</f>
        <v>0</v>
      </c>
      <c r="AL120" s="305">
        <f>'[1]Adubos e corretivos'!S23</f>
        <v>0</v>
      </c>
      <c r="AM120" s="305">
        <f>'[1]Adubos e corretivos'!T23</f>
        <v>0</v>
      </c>
      <c r="AN120" s="305">
        <f>'[1]Adubos e corretivos'!U23</f>
        <v>0</v>
      </c>
      <c r="AO120" s="305">
        <f>'[1]Adubos e corretivos'!V23</f>
        <v>0</v>
      </c>
    </row>
    <row r="121" spans="2:41" ht="19.5" customHeight="1" x14ac:dyDescent="0.25">
      <c r="M121" s="539"/>
      <c r="N121" s="547"/>
      <c r="O121" s="448" t="s">
        <v>220</v>
      </c>
      <c r="P121" s="448"/>
      <c r="Q121" s="266">
        <f t="shared" si="17"/>
        <v>0</v>
      </c>
      <c r="R121" s="216"/>
      <c r="U121" s="543"/>
      <c r="V121" s="305" t="str">
        <f>'[1]Adubos e corretivos'!C24</f>
        <v>Formulado 08-24-08</v>
      </c>
      <c r="W121" s="305">
        <f>'[1]Adubos e corretivos'!D24</f>
        <v>4.2</v>
      </c>
      <c r="X121" s="305">
        <f>'[1]Adubos e corretivos'!E24</f>
        <v>8</v>
      </c>
      <c r="Y121" s="305">
        <f>'[1]Adubos e corretivos'!F24</f>
        <v>10.5</v>
      </c>
      <c r="Z121" s="305">
        <f>'[1]Adubos e corretivos'!G24</f>
        <v>24</v>
      </c>
      <c r="AA121" s="305">
        <f>'[1]Adubos e corretivos'!H24</f>
        <v>6.65</v>
      </c>
      <c r="AB121" s="305">
        <f>'[1]Adubos e corretivos'!I24</f>
        <v>8</v>
      </c>
      <c r="AC121" s="305">
        <f>'[1]Adubos e corretivos'!J24</f>
        <v>0</v>
      </c>
      <c r="AD121" s="305">
        <f>'[1]Adubos e corretivos'!K24</f>
        <v>0</v>
      </c>
      <c r="AE121" s="305">
        <f>'[1]Adubos e corretivos'!L24</f>
        <v>0</v>
      </c>
      <c r="AF121" s="305">
        <f>'[1]Adubos e corretivos'!M24</f>
        <v>0</v>
      </c>
      <c r="AG121" s="305">
        <f>'[1]Adubos e corretivos'!N24</f>
        <v>0</v>
      </c>
      <c r="AH121" s="305">
        <f>'[1]Adubos e corretivos'!O24</f>
        <v>0</v>
      </c>
      <c r="AI121" s="305">
        <f>'[1]Adubos e corretivos'!P24</f>
        <v>0</v>
      </c>
      <c r="AJ121" s="305">
        <f>'[1]Adubos e corretivos'!Q24</f>
        <v>0</v>
      </c>
      <c r="AK121" s="305">
        <f>'[1]Adubos e corretivos'!R24</f>
        <v>0</v>
      </c>
      <c r="AL121" s="305">
        <f>'[1]Adubos e corretivos'!S24</f>
        <v>0</v>
      </c>
      <c r="AM121" s="305">
        <f>'[1]Adubos e corretivos'!T24</f>
        <v>0</v>
      </c>
      <c r="AN121" s="305">
        <f>'[1]Adubos e corretivos'!U24</f>
        <v>0</v>
      </c>
      <c r="AO121" s="305">
        <f>'[1]Adubos e corretivos'!V24</f>
        <v>0</v>
      </c>
    </row>
    <row r="122" spans="2:41" ht="19.5" customHeight="1" x14ac:dyDescent="0.25">
      <c r="M122" s="539"/>
      <c r="N122" s="547"/>
      <c r="O122" s="448" t="s">
        <v>221</v>
      </c>
      <c r="P122" s="448"/>
      <c r="Q122" s="266">
        <f t="shared" si="17"/>
        <v>35416.666628886451</v>
      </c>
      <c r="R122" s="216"/>
      <c r="U122" s="543"/>
      <c r="V122" s="305" t="str">
        <f>'[1]Adubos e corretivos'!C25</f>
        <v>Formulado 04-26-10</v>
      </c>
      <c r="W122" s="305">
        <f>'[1]Adubos e corretivos'!D25</f>
        <v>2.52</v>
      </c>
      <c r="X122" s="305">
        <f>'[1]Adubos e corretivos'!E25</f>
        <v>4</v>
      </c>
      <c r="Y122" s="305">
        <f>'[1]Adubos e corretivos'!F25</f>
        <v>11.35</v>
      </c>
      <c r="Z122" s="305">
        <f>'[1]Adubos e corretivos'!G25</f>
        <v>26</v>
      </c>
      <c r="AA122" s="305">
        <f>'[1]Adubos e corretivos'!H25</f>
        <v>8.3000000000000007</v>
      </c>
      <c r="AB122" s="305">
        <f>'[1]Adubos e corretivos'!I25</f>
        <v>10</v>
      </c>
      <c r="AC122" s="305">
        <f>'[1]Adubos e corretivos'!J25</f>
        <v>0</v>
      </c>
      <c r="AD122" s="305">
        <f>'[1]Adubos e corretivos'!K25</f>
        <v>0</v>
      </c>
      <c r="AE122" s="305">
        <f>'[1]Adubos e corretivos'!L25</f>
        <v>0</v>
      </c>
      <c r="AF122" s="305">
        <f>'[1]Adubos e corretivos'!M25</f>
        <v>0</v>
      </c>
      <c r="AG122" s="305">
        <f>'[1]Adubos e corretivos'!N25</f>
        <v>0</v>
      </c>
      <c r="AH122" s="305">
        <f>'[1]Adubos e corretivos'!O25</f>
        <v>0</v>
      </c>
      <c r="AI122" s="305">
        <f>'[1]Adubos e corretivos'!P25</f>
        <v>0</v>
      </c>
      <c r="AJ122" s="305">
        <f>'[1]Adubos e corretivos'!Q25</f>
        <v>0</v>
      </c>
      <c r="AK122" s="305">
        <f>'[1]Adubos e corretivos'!R25</f>
        <v>0</v>
      </c>
      <c r="AL122" s="305">
        <f>'[1]Adubos e corretivos'!S25</f>
        <v>0</v>
      </c>
      <c r="AM122" s="305">
        <f>'[1]Adubos e corretivos'!T25</f>
        <v>0</v>
      </c>
      <c r="AN122" s="305">
        <f>'[1]Adubos e corretivos'!U25</f>
        <v>0</v>
      </c>
      <c r="AO122" s="305">
        <f>'[1]Adubos e corretivos'!V25</f>
        <v>0</v>
      </c>
    </row>
    <row r="123" spans="2:41" ht="19.5" customHeight="1" x14ac:dyDescent="0.25">
      <c r="M123" s="539"/>
      <c r="N123" s="547"/>
      <c r="O123" s="448" t="s">
        <v>178</v>
      </c>
      <c r="P123" s="448"/>
      <c r="Q123" s="266">
        <f t="shared" si="17"/>
        <v>4547.0477514809891</v>
      </c>
      <c r="R123" s="216"/>
      <c r="U123" s="543"/>
      <c r="V123" s="305" t="str">
        <f>'[1]Adubos e corretivos'!C26</f>
        <v>Formulado 12-03-24</v>
      </c>
      <c r="W123" s="305">
        <f>'[1]Adubos e corretivos'!D26</f>
        <v>2.72</v>
      </c>
      <c r="X123" s="305">
        <f>'[1]Adubos e corretivos'!E26</f>
        <v>12</v>
      </c>
      <c r="Y123" s="305">
        <f>'[1]Adubos e corretivos'!F26</f>
        <v>1.31</v>
      </c>
      <c r="Z123" s="305">
        <f>'[1]Adubos e corretivos'!G26</f>
        <v>3</v>
      </c>
      <c r="AA123" s="305">
        <f>'[1]Adubos e corretivos'!H26</f>
        <v>20</v>
      </c>
      <c r="AB123" s="305">
        <f>'[1]Adubos e corretivos'!I26</f>
        <v>24</v>
      </c>
      <c r="AC123" s="305">
        <f>'[1]Adubos e corretivos'!J26</f>
        <v>0</v>
      </c>
      <c r="AD123" s="305">
        <f>'[1]Adubos e corretivos'!K26</f>
        <v>0</v>
      </c>
      <c r="AE123" s="305">
        <f>'[1]Adubos e corretivos'!L26</f>
        <v>0</v>
      </c>
      <c r="AF123" s="305">
        <f>'[1]Adubos e corretivos'!M26</f>
        <v>0</v>
      </c>
      <c r="AG123" s="305">
        <f>'[1]Adubos e corretivos'!N26</f>
        <v>0</v>
      </c>
      <c r="AH123" s="305">
        <f>'[1]Adubos e corretivos'!O26</f>
        <v>0</v>
      </c>
      <c r="AI123" s="305">
        <f>'[1]Adubos e corretivos'!P26</f>
        <v>0</v>
      </c>
      <c r="AJ123" s="305">
        <f>'[1]Adubos e corretivos'!Q26</f>
        <v>0</v>
      </c>
      <c r="AK123" s="305">
        <f>'[1]Adubos e corretivos'!R26</f>
        <v>0</v>
      </c>
      <c r="AL123" s="305">
        <f>'[1]Adubos e corretivos'!S26</f>
        <v>0</v>
      </c>
      <c r="AM123" s="305">
        <f>'[1]Adubos e corretivos'!T26</f>
        <v>0</v>
      </c>
      <c r="AN123" s="305">
        <f>'[1]Adubos e corretivos'!U26</f>
        <v>0</v>
      </c>
      <c r="AO123" s="305">
        <f>'[1]Adubos e corretivos'!V26</f>
        <v>0</v>
      </c>
    </row>
    <row r="124" spans="2:41" ht="19.5" customHeight="1" x14ac:dyDescent="0.25">
      <c r="M124" s="539"/>
      <c r="N124" s="547"/>
      <c r="O124" s="448" t="s">
        <v>180</v>
      </c>
      <c r="P124" s="448"/>
      <c r="Q124" s="266">
        <f t="shared" si="17"/>
        <v>5108.9959152090014</v>
      </c>
      <c r="R124" s="216"/>
      <c r="U124" s="543"/>
      <c r="V124" s="305" t="str">
        <f>'[1]Adubos e corretivos'!C27</f>
        <v>Formulado 13-3-25</v>
      </c>
      <c r="W124" s="305">
        <f>'[1]Adubos e corretivos'!D27</f>
        <v>2.2799999999999998</v>
      </c>
      <c r="X124" s="305">
        <f>'[1]Adubos e corretivos'!E27</f>
        <v>13</v>
      </c>
      <c r="Y124" s="305">
        <f>'[1]Adubos e corretivos'!F27</f>
        <v>1.31</v>
      </c>
      <c r="Z124" s="305">
        <f>'[1]Adubos e corretivos'!G27</f>
        <v>3</v>
      </c>
      <c r="AA124" s="305">
        <f>'[1]Adubos e corretivos'!H27</f>
        <v>20.8</v>
      </c>
      <c r="AB124" s="305">
        <f>'[1]Adubos e corretivos'!I27</f>
        <v>25</v>
      </c>
      <c r="AC124" s="305">
        <f>'[1]Adubos e corretivos'!J27</f>
        <v>0</v>
      </c>
      <c r="AD124" s="305">
        <f>'[1]Adubos e corretivos'!K27</f>
        <v>0</v>
      </c>
      <c r="AE124" s="305">
        <f>'[1]Adubos e corretivos'!L27</f>
        <v>0</v>
      </c>
      <c r="AF124" s="305">
        <f>'[1]Adubos e corretivos'!M27</f>
        <v>0</v>
      </c>
      <c r="AG124" s="305">
        <f>'[1]Adubos e corretivos'!N27</f>
        <v>0</v>
      </c>
      <c r="AH124" s="305">
        <f>'[1]Adubos e corretivos'!O27</f>
        <v>0</v>
      </c>
      <c r="AI124" s="305">
        <f>'[1]Adubos e corretivos'!P27</f>
        <v>0</v>
      </c>
      <c r="AJ124" s="305">
        <f>'[1]Adubos e corretivos'!Q27</f>
        <v>0</v>
      </c>
      <c r="AK124" s="305">
        <f>'[1]Adubos e corretivos'!R27</f>
        <v>0</v>
      </c>
      <c r="AL124" s="305">
        <f>'[1]Adubos e corretivos'!S27</f>
        <v>0</v>
      </c>
      <c r="AM124" s="305">
        <f>'[1]Adubos e corretivos'!T27</f>
        <v>0</v>
      </c>
      <c r="AN124" s="305">
        <f>'[1]Adubos e corretivos'!U27</f>
        <v>0</v>
      </c>
      <c r="AO124" s="305">
        <f>'[1]Adubos e corretivos'!V27</f>
        <v>0</v>
      </c>
    </row>
    <row r="125" spans="2:41" ht="19.5" customHeight="1" x14ac:dyDescent="0.25">
      <c r="M125" s="539"/>
      <c r="N125" s="547"/>
      <c r="O125" s="448" t="s">
        <v>173</v>
      </c>
      <c r="P125" s="448"/>
      <c r="Q125" s="266">
        <f t="shared" si="17"/>
        <v>0</v>
      </c>
      <c r="R125" s="216"/>
      <c r="U125" s="543"/>
      <c r="V125" s="305" t="str">
        <f>'[1]Adubos e corretivos'!C28</f>
        <v>Formulado 10-10-10</v>
      </c>
      <c r="W125" s="305">
        <f>'[1]Adubos e corretivos'!D28</f>
        <v>2</v>
      </c>
      <c r="X125" s="305">
        <f>'[1]Adubos e corretivos'!E28</f>
        <v>10</v>
      </c>
      <c r="Y125" s="305">
        <f>'[1]Adubos e corretivos'!F28</f>
        <v>4.4000000000000004</v>
      </c>
      <c r="Z125" s="305">
        <f>'[1]Adubos e corretivos'!G28</f>
        <v>10</v>
      </c>
      <c r="AA125" s="305">
        <f>'[1]Adubos e corretivos'!H28</f>
        <v>8.3000000000000007</v>
      </c>
      <c r="AB125" s="305">
        <f>'[1]Adubos e corretivos'!I28</f>
        <v>10</v>
      </c>
      <c r="AC125" s="305">
        <f>'[1]Adubos e corretivos'!J28</f>
        <v>0</v>
      </c>
      <c r="AD125" s="305">
        <f>'[1]Adubos e corretivos'!K28</f>
        <v>0</v>
      </c>
      <c r="AE125" s="305">
        <f>'[1]Adubos e corretivos'!L28</f>
        <v>0</v>
      </c>
      <c r="AF125" s="305">
        <f>'[1]Adubos e corretivos'!M28</f>
        <v>0</v>
      </c>
      <c r="AG125" s="305">
        <f>'[1]Adubos e corretivos'!N28</f>
        <v>0</v>
      </c>
      <c r="AH125" s="305">
        <f>'[1]Adubos e corretivos'!O28</f>
        <v>0</v>
      </c>
      <c r="AI125" s="305">
        <f>'[1]Adubos e corretivos'!P28</f>
        <v>0</v>
      </c>
      <c r="AJ125" s="305">
        <f>'[1]Adubos e corretivos'!Q28</f>
        <v>0</v>
      </c>
      <c r="AK125" s="305">
        <f>'[1]Adubos e corretivos'!R28</f>
        <v>0</v>
      </c>
      <c r="AL125" s="305">
        <f>'[1]Adubos e corretivos'!S28</f>
        <v>0</v>
      </c>
      <c r="AM125" s="305">
        <f>'[1]Adubos e corretivos'!T28</f>
        <v>0</v>
      </c>
      <c r="AN125" s="305">
        <f>'[1]Adubos e corretivos'!U28</f>
        <v>0</v>
      </c>
      <c r="AO125" s="305">
        <f>'[1]Adubos e corretivos'!V28</f>
        <v>0</v>
      </c>
    </row>
    <row r="126" spans="2:41" ht="19.5" customHeight="1" x14ac:dyDescent="0.25">
      <c r="M126" s="539"/>
      <c r="N126" s="547"/>
      <c r="O126" s="448" t="s">
        <v>175</v>
      </c>
      <c r="P126" s="448"/>
      <c r="Q126" s="266">
        <f t="shared" si="17"/>
        <v>-7.1054273576010019E-15</v>
      </c>
      <c r="R126" s="216"/>
      <c r="U126" s="543"/>
      <c r="V126" s="305" t="str">
        <f>'[1]Adubos e corretivos'!C29</f>
        <v>Formulado 20-00-20</v>
      </c>
      <c r="W126" s="305">
        <f>'[1]Adubos e corretivos'!D29</f>
        <v>2.2799999999999998</v>
      </c>
      <c r="X126" s="305">
        <f>'[1]Adubos e corretivos'!E29</f>
        <v>20</v>
      </c>
      <c r="Y126" s="305">
        <f>'[1]Adubos e corretivos'!F29</f>
        <v>0</v>
      </c>
      <c r="Z126" s="305">
        <f>'[1]Adubos e corretivos'!G29</f>
        <v>0</v>
      </c>
      <c r="AA126" s="305">
        <f>'[1]Adubos e corretivos'!H29</f>
        <v>16.600000000000001</v>
      </c>
      <c r="AB126" s="305">
        <f>'[1]Adubos e corretivos'!I29</f>
        <v>20</v>
      </c>
      <c r="AC126" s="305">
        <f>'[1]Adubos e corretivos'!J29</f>
        <v>0</v>
      </c>
      <c r="AD126" s="305">
        <f>'[1]Adubos e corretivos'!K29</f>
        <v>0</v>
      </c>
      <c r="AE126" s="305">
        <f>'[1]Adubos e corretivos'!L29</f>
        <v>0</v>
      </c>
      <c r="AF126" s="305">
        <f>'[1]Adubos e corretivos'!M29</f>
        <v>0</v>
      </c>
      <c r="AG126" s="305">
        <f>'[1]Adubos e corretivos'!N29</f>
        <v>0</v>
      </c>
      <c r="AH126" s="305">
        <f>'[1]Adubos e corretivos'!O29</f>
        <v>0</v>
      </c>
      <c r="AI126" s="305">
        <f>'[1]Adubos e corretivos'!P29</f>
        <v>0</v>
      </c>
      <c r="AJ126" s="305">
        <f>'[1]Adubos e corretivos'!Q29</f>
        <v>0</v>
      </c>
      <c r="AK126" s="305">
        <f>'[1]Adubos e corretivos'!R29</f>
        <v>0</v>
      </c>
      <c r="AL126" s="305">
        <f>'[1]Adubos e corretivos'!S29</f>
        <v>0</v>
      </c>
      <c r="AM126" s="305">
        <f>'[1]Adubos e corretivos'!T29</f>
        <v>0</v>
      </c>
      <c r="AN126" s="305">
        <f>'[1]Adubos e corretivos'!U29</f>
        <v>0</v>
      </c>
      <c r="AO126" s="305">
        <f>'[1]Adubos e corretivos'!V29</f>
        <v>0</v>
      </c>
    </row>
    <row r="127" spans="2:41" ht="19.5" customHeight="1" x14ac:dyDescent="0.25">
      <c r="M127" s="539"/>
      <c r="N127" s="547"/>
      <c r="O127" s="448" t="s">
        <v>176</v>
      </c>
      <c r="P127" s="448"/>
      <c r="Q127" s="266">
        <f t="shared" si="17"/>
        <v>0</v>
      </c>
      <c r="R127" s="216"/>
      <c r="U127" s="543"/>
      <c r="V127" s="305" t="str">
        <f>'[1]Adubos e corretivos'!C30</f>
        <v>Formulado 07-00-30 + 12% Calcio</v>
      </c>
      <c r="W127" s="305">
        <f>'[1]Adubos e corretivos'!D30</f>
        <v>3.36</v>
      </c>
      <c r="X127" s="305">
        <f>'[1]Adubos e corretivos'!E30</f>
        <v>7</v>
      </c>
      <c r="Y127" s="305">
        <f>'[1]Adubos e corretivos'!F30</f>
        <v>0</v>
      </c>
      <c r="Z127" s="305">
        <f>'[1]Adubos e corretivos'!G30</f>
        <v>0</v>
      </c>
      <c r="AA127" s="305">
        <f>'[1]Adubos e corretivos'!H30</f>
        <v>24.89</v>
      </c>
      <c r="AB127" s="305">
        <f>'[1]Adubos e corretivos'!I30</f>
        <v>30</v>
      </c>
      <c r="AC127" s="305">
        <f>'[1]Adubos e corretivos'!J30</f>
        <v>12</v>
      </c>
      <c r="AD127" s="305">
        <f>'[1]Adubos e corretivos'!K30</f>
        <v>0</v>
      </c>
      <c r="AE127" s="305">
        <f>'[1]Adubos e corretivos'!L30</f>
        <v>0</v>
      </c>
      <c r="AF127" s="305">
        <f>'[1]Adubos e corretivos'!M30</f>
        <v>0</v>
      </c>
      <c r="AG127" s="305">
        <f>'[1]Adubos e corretivos'!N30</f>
        <v>0</v>
      </c>
      <c r="AH127" s="305">
        <f>'[1]Adubos e corretivos'!O30</f>
        <v>0</v>
      </c>
      <c r="AI127" s="305">
        <f>'[1]Adubos e corretivos'!P30</f>
        <v>0</v>
      </c>
      <c r="AJ127" s="305">
        <f>'[1]Adubos e corretivos'!Q30</f>
        <v>0</v>
      </c>
      <c r="AK127" s="305">
        <f>'[1]Adubos e corretivos'!R30</f>
        <v>0</v>
      </c>
      <c r="AL127" s="305">
        <f>'[1]Adubos e corretivos'!S30</f>
        <v>0</v>
      </c>
      <c r="AM127" s="305">
        <f>'[1]Adubos e corretivos'!T30</f>
        <v>0</v>
      </c>
      <c r="AN127" s="305">
        <f>'[1]Adubos e corretivos'!U30</f>
        <v>0</v>
      </c>
      <c r="AO127" s="305">
        <f>'[1]Adubos e corretivos'!V30</f>
        <v>0</v>
      </c>
    </row>
    <row r="128" spans="2:41" ht="19.5" customHeight="1" x14ac:dyDescent="0.25">
      <c r="M128" s="539"/>
      <c r="N128" s="547"/>
      <c r="O128" s="448" t="s">
        <v>181</v>
      </c>
      <c r="P128" s="448"/>
      <c r="Q128" s="266">
        <f t="shared" si="17"/>
        <v>1.1368683772161603E-13</v>
      </c>
      <c r="R128" s="216"/>
      <c r="U128" s="543"/>
      <c r="V128" s="305">
        <f>'[1]Adubos e corretivos'!C31</f>
        <v>0</v>
      </c>
      <c r="W128" s="305">
        <f>'[1]Adubos e corretivos'!D31</f>
        <v>0</v>
      </c>
      <c r="X128" s="305">
        <f>'[1]Adubos e corretivos'!E31</f>
        <v>0</v>
      </c>
      <c r="Y128" s="305">
        <f>'[1]Adubos e corretivos'!F31</f>
        <v>0</v>
      </c>
      <c r="Z128" s="305">
        <f>'[1]Adubos e corretivos'!G31</f>
        <v>0</v>
      </c>
      <c r="AA128" s="305">
        <f>'[1]Adubos e corretivos'!H31</f>
        <v>0</v>
      </c>
      <c r="AB128" s="305">
        <f>'[1]Adubos e corretivos'!I31</f>
        <v>0</v>
      </c>
      <c r="AC128" s="305">
        <f>'[1]Adubos e corretivos'!J31</f>
        <v>0</v>
      </c>
      <c r="AD128" s="305">
        <f>'[1]Adubos e corretivos'!K31</f>
        <v>0</v>
      </c>
      <c r="AE128" s="305">
        <f>'[1]Adubos e corretivos'!L31</f>
        <v>0</v>
      </c>
      <c r="AF128" s="305">
        <f>'[1]Adubos e corretivos'!M31</f>
        <v>0</v>
      </c>
      <c r="AG128" s="305">
        <f>'[1]Adubos e corretivos'!N31</f>
        <v>0</v>
      </c>
      <c r="AH128" s="305">
        <f>'[1]Adubos e corretivos'!O31</f>
        <v>0</v>
      </c>
      <c r="AI128" s="305">
        <f>'[1]Adubos e corretivos'!P31</f>
        <v>0</v>
      </c>
      <c r="AJ128" s="305">
        <f>'[1]Adubos e corretivos'!Q31</f>
        <v>0</v>
      </c>
      <c r="AK128" s="305">
        <f>'[1]Adubos e corretivos'!R31</f>
        <v>0</v>
      </c>
      <c r="AL128" s="305">
        <f>'[1]Adubos e corretivos'!S31</f>
        <v>0</v>
      </c>
      <c r="AM128" s="305">
        <f>'[1]Adubos e corretivos'!T31</f>
        <v>0</v>
      </c>
      <c r="AN128" s="305">
        <f>'[1]Adubos e corretivos'!U31</f>
        <v>0</v>
      </c>
      <c r="AO128" s="305">
        <f>'[1]Adubos e corretivos'!V31</f>
        <v>0</v>
      </c>
    </row>
    <row r="129" spans="13:41" ht="19.5" customHeight="1" x14ac:dyDescent="0.25">
      <c r="M129" s="539"/>
      <c r="N129" s="547"/>
      <c r="O129" s="448" t="s">
        <v>620</v>
      </c>
      <c r="P129" s="448"/>
      <c r="Q129" s="266">
        <f t="shared" si="17"/>
        <v>0</v>
      </c>
      <c r="R129" s="216"/>
      <c r="U129" s="543"/>
      <c r="V129" s="305">
        <f>'[1]Adubos e corretivos'!C32</f>
        <v>0</v>
      </c>
      <c r="W129" s="305">
        <f>'[1]Adubos e corretivos'!D32</f>
        <v>0</v>
      </c>
      <c r="X129" s="305">
        <f>'[1]Adubos e corretivos'!E32</f>
        <v>0</v>
      </c>
      <c r="Y129" s="305">
        <f>'[1]Adubos e corretivos'!F32</f>
        <v>0</v>
      </c>
      <c r="Z129" s="305">
        <f>'[1]Adubos e corretivos'!G32</f>
        <v>0</v>
      </c>
      <c r="AA129" s="305">
        <f>'[1]Adubos e corretivos'!H32</f>
        <v>0</v>
      </c>
      <c r="AB129" s="305">
        <f>'[1]Adubos e corretivos'!I32</f>
        <v>0</v>
      </c>
      <c r="AC129" s="305">
        <f>'[1]Adubos e corretivos'!J32</f>
        <v>0</v>
      </c>
      <c r="AD129" s="305">
        <f>'[1]Adubos e corretivos'!K32</f>
        <v>0</v>
      </c>
      <c r="AE129" s="305">
        <f>'[1]Adubos e corretivos'!L32</f>
        <v>0</v>
      </c>
      <c r="AF129" s="305">
        <f>'[1]Adubos e corretivos'!M32</f>
        <v>0</v>
      </c>
      <c r="AG129" s="305">
        <f>'[1]Adubos e corretivos'!N32</f>
        <v>0</v>
      </c>
      <c r="AH129" s="305">
        <f>'[1]Adubos e corretivos'!O32</f>
        <v>0</v>
      </c>
      <c r="AI129" s="305">
        <f>'[1]Adubos e corretivos'!P32</f>
        <v>0</v>
      </c>
      <c r="AJ129" s="305">
        <f>'[1]Adubos e corretivos'!Q32</f>
        <v>0</v>
      </c>
      <c r="AK129" s="305">
        <f>'[1]Adubos e corretivos'!R32</f>
        <v>0</v>
      </c>
      <c r="AL129" s="305">
        <f>'[1]Adubos e corretivos'!S32</f>
        <v>0</v>
      </c>
      <c r="AM129" s="305">
        <f>'[1]Adubos e corretivos'!T32</f>
        <v>0</v>
      </c>
      <c r="AN129" s="305">
        <f>'[1]Adubos e corretivos'!U32</f>
        <v>0</v>
      </c>
      <c r="AO129" s="305">
        <f>'[1]Adubos e corretivos'!V32</f>
        <v>0</v>
      </c>
    </row>
    <row r="130" spans="13:41" ht="19.5" customHeight="1" x14ac:dyDescent="0.25">
      <c r="M130" s="539"/>
      <c r="N130" s="547"/>
      <c r="O130" s="448" t="s">
        <v>229</v>
      </c>
      <c r="P130" s="448"/>
      <c r="Q130" s="266">
        <f t="shared" si="17"/>
        <v>0</v>
      </c>
      <c r="R130" s="216"/>
      <c r="U130" s="543"/>
      <c r="V130" s="305">
        <f>'[1]Adubos e corretivos'!C33</f>
        <v>0</v>
      </c>
      <c r="W130" s="305">
        <f>'[1]Adubos e corretivos'!D33</f>
        <v>0</v>
      </c>
      <c r="X130" s="305">
        <f>'[1]Adubos e corretivos'!E33</f>
        <v>0</v>
      </c>
      <c r="Y130" s="305">
        <f>'[1]Adubos e corretivos'!F33</f>
        <v>0</v>
      </c>
      <c r="Z130" s="305">
        <f>'[1]Adubos e corretivos'!G33</f>
        <v>0</v>
      </c>
      <c r="AA130" s="305">
        <f>'[1]Adubos e corretivos'!H33</f>
        <v>0</v>
      </c>
      <c r="AB130" s="305">
        <f>'[1]Adubos e corretivos'!I33</f>
        <v>0</v>
      </c>
      <c r="AC130" s="305">
        <f>'[1]Adubos e corretivos'!J33</f>
        <v>0</v>
      </c>
      <c r="AD130" s="305">
        <f>'[1]Adubos e corretivos'!K33</f>
        <v>0</v>
      </c>
      <c r="AE130" s="305">
        <f>'[1]Adubos e corretivos'!L33</f>
        <v>0</v>
      </c>
      <c r="AF130" s="305">
        <f>'[1]Adubos e corretivos'!M33</f>
        <v>0</v>
      </c>
      <c r="AG130" s="305">
        <f>'[1]Adubos e corretivos'!N33</f>
        <v>0</v>
      </c>
      <c r="AH130" s="305">
        <f>'[1]Adubos e corretivos'!O33</f>
        <v>0</v>
      </c>
      <c r="AI130" s="305">
        <f>'[1]Adubos e corretivos'!P33</f>
        <v>0</v>
      </c>
      <c r="AJ130" s="305">
        <f>'[1]Adubos e corretivos'!Q33</f>
        <v>0</v>
      </c>
      <c r="AK130" s="305">
        <f>'[1]Adubos e corretivos'!R33</f>
        <v>0</v>
      </c>
      <c r="AL130" s="305">
        <f>'[1]Adubos e corretivos'!S33</f>
        <v>0</v>
      </c>
      <c r="AM130" s="305">
        <f>'[1]Adubos e corretivos'!T33</f>
        <v>0</v>
      </c>
      <c r="AN130" s="305">
        <f>'[1]Adubos e corretivos'!U33</f>
        <v>0</v>
      </c>
      <c r="AO130" s="305">
        <f>'[1]Adubos e corretivos'!V33</f>
        <v>0</v>
      </c>
    </row>
    <row r="131" spans="13:41" ht="19.5" customHeight="1" x14ac:dyDescent="0.25">
      <c r="M131" s="539"/>
      <c r="N131" s="547"/>
      <c r="O131" s="448" t="s">
        <v>161</v>
      </c>
      <c r="P131" s="448"/>
      <c r="Q131" s="266">
        <f t="shared" si="17"/>
        <v>963.62433740756171</v>
      </c>
      <c r="R131" s="216"/>
      <c r="U131" s="536" t="s">
        <v>280</v>
      </c>
      <c r="V131" s="305" t="str">
        <f>'[1]Adubos e corretivos'!C34</f>
        <v>Esterco de galinha</v>
      </c>
      <c r="W131" s="305">
        <f>'[1]Adubos e corretivos'!D34</f>
        <v>0.25</v>
      </c>
      <c r="X131" s="305">
        <f>'[1]Adubos e corretivos'!E34</f>
        <v>3</v>
      </c>
      <c r="Y131" s="305">
        <f>'[1]Adubos e corretivos'!F34</f>
        <v>1.31</v>
      </c>
      <c r="Z131" s="305">
        <f>'[1]Adubos e corretivos'!G34</f>
        <v>3</v>
      </c>
      <c r="AA131" s="305">
        <f>'[1]Adubos e corretivos'!H34</f>
        <v>1.665</v>
      </c>
      <c r="AB131" s="305">
        <f>'[1]Adubos e corretivos'!I34</f>
        <v>2</v>
      </c>
      <c r="AC131" s="305">
        <f>'[1]Adubos e corretivos'!J34</f>
        <v>0</v>
      </c>
      <c r="AD131" s="305">
        <f>'[1]Adubos e corretivos'!K34</f>
        <v>0</v>
      </c>
      <c r="AE131" s="305">
        <f>'[1]Adubos e corretivos'!L34</f>
        <v>0</v>
      </c>
      <c r="AF131" s="305">
        <f>'[1]Adubos e corretivos'!M34</f>
        <v>0</v>
      </c>
      <c r="AG131" s="305">
        <f>'[1]Adubos e corretivos'!N34</f>
        <v>0</v>
      </c>
      <c r="AH131" s="305">
        <f>'[1]Adubos e corretivos'!O34</f>
        <v>0</v>
      </c>
      <c r="AI131" s="305">
        <f>'[1]Adubos e corretivos'!P34</f>
        <v>0</v>
      </c>
      <c r="AJ131" s="305">
        <f>'[1]Adubos e corretivos'!Q34</f>
        <v>0</v>
      </c>
      <c r="AK131" s="305">
        <f>'[1]Adubos e corretivos'!R34</f>
        <v>0</v>
      </c>
      <c r="AL131" s="305">
        <f>'[1]Adubos e corretivos'!S34</f>
        <v>0</v>
      </c>
      <c r="AM131" s="305">
        <f>'[1]Adubos e corretivos'!T34</f>
        <v>0</v>
      </c>
      <c r="AN131" s="305">
        <f>'[1]Adubos e corretivos'!U34</f>
        <v>0</v>
      </c>
      <c r="AO131" s="305">
        <f>'[1]Adubos e corretivos'!V34</f>
        <v>0</v>
      </c>
    </row>
    <row r="132" spans="13:41" ht="19.5" customHeight="1" x14ac:dyDescent="0.25">
      <c r="M132" s="539"/>
      <c r="N132" s="547"/>
      <c r="O132" s="448" t="s">
        <v>621</v>
      </c>
      <c r="P132" s="448"/>
      <c r="Q132" s="266">
        <f t="shared" si="17"/>
        <v>0</v>
      </c>
      <c r="R132" s="216"/>
      <c r="U132" s="536"/>
      <c r="V132" s="305" t="str">
        <f>'[1]Adubos e corretivos'!C35</f>
        <v>Esterco de gado</v>
      </c>
      <c r="W132" s="305">
        <f>'[1]Adubos e corretivos'!D35</f>
        <v>0.25</v>
      </c>
      <c r="X132" s="305">
        <f>'[1]Adubos e corretivos'!E35</f>
        <v>1</v>
      </c>
      <c r="Y132" s="305">
        <f>'[1]Adubos e corretivos'!F35</f>
        <v>0.4366666666666667</v>
      </c>
      <c r="Z132" s="305">
        <f>'[1]Adubos e corretivos'!G35</f>
        <v>1</v>
      </c>
      <c r="AA132" s="305">
        <f>'[1]Adubos e corretivos'!H35</f>
        <v>0.55500000000000005</v>
      </c>
      <c r="AB132" s="305">
        <f>'[1]Adubos e corretivos'!I35</f>
        <v>0.7</v>
      </c>
      <c r="AC132" s="305">
        <f>'[1]Adubos e corretivos'!J35</f>
        <v>0</v>
      </c>
      <c r="AD132" s="305">
        <f>'[1]Adubos e corretivos'!K35</f>
        <v>0</v>
      </c>
      <c r="AE132" s="305">
        <f>'[1]Adubos e corretivos'!L35</f>
        <v>0</v>
      </c>
      <c r="AF132" s="305">
        <f>'[1]Adubos e corretivos'!M35</f>
        <v>0</v>
      </c>
      <c r="AG132" s="305">
        <f>'[1]Adubos e corretivos'!N35</f>
        <v>0</v>
      </c>
      <c r="AH132" s="305">
        <f>'[1]Adubos e corretivos'!O35</f>
        <v>0</v>
      </c>
      <c r="AI132" s="305">
        <f>'[1]Adubos e corretivos'!P35</f>
        <v>0</v>
      </c>
      <c r="AJ132" s="305">
        <f>'[1]Adubos e corretivos'!Q35</f>
        <v>0</v>
      </c>
      <c r="AK132" s="305">
        <f>'[1]Adubos e corretivos'!R35</f>
        <v>0</v>
      </c>
      <c r="AL132" s="305">
        <f>'[1]Adubos e corretivos'!S35</f>
        <v>0</v>
      </c>
      <c r="AM132" s="305">
        <f>'[1]Adubos e corretivos'!T35</f>
        <v>0</v>
      </c>
      <c r="AN132" s="305">
        <f>'[1]Adubos e corretivos'!U35</f>
        <v>0</v>
      </c>
      <c r="AO132" s="305">
        <f>'[1]Adubos e corretivos'!V35</f>
        <v>0</v>
      </c>
    </row>
    <row r="133" spans="13:41" ht="19.5" customHeight="1" x14ac:dyDescent="0.25">
      <c r="M133" s="539"/>
      <c r="N133" s="547"/>
      <c r="O133" s="448" t="s">
        <v>612</v>
      </c>
      <c r="P133" s="448"/>
      <c r="Q133" s="266">
        <f t="shared" si="17"/>
        <v>0</v>
      </c>
      <c r="R133" s="216"/>
      <c r="U133" s="536"/>
      <c r="V133" s="305" t="str">
        <f>'[1]Adubos e corretivos'!C36</f>
        <v>Minhofertil</v>
      </c>
      <c r="W133" s="305">
        <f>'[1]Adubos e corretivos'!D36</f>
        <v>0</v>
      </c>
      <c r="X133" s="305">
        <f>'[1]Adubos e corretivos'!E36</f>
        <v>1</v>
      </c>
      <c r="Y133" s="305">
        <f>'[1]Adubos e corretivos'!F36</f>
        <v>0</v>
      </c>
      <c r="Z133" s="305">
        <f>'[1]Adubos e corretivos'!G36</f>
        <v>0</v>
      </c>
      <c r="AA133" s="305">
        <f>'[1]Adubos e corretivos'!H36</f>
        <v>0</v>
      </c>
      <c r="AB133" s="305">
        <f>'[1]Adubos e corretivos'!I36</f>
        <v>0</v>
      </c>
      <c r="AC133" s="305">
        <f>'[1]Adubos e corretivos'!J36</f>
        <v>0</v>
      </c>
      <c r="AD133" s="305">
        <f>'[1]Adubos e corretivos'!K36</f>
        <v>0</v>
      </c>
      <c r="AE133" s="305">
        <f>'[1]Adubos e corretivos'!L36</f>
        <v>0</v>
      </c>
      <c r="AF133" s="305">
        <f>'[1]Adubos e corretivos'!M36</f>
        <v>0</v>
      </c>
      <c r="AG133" s="305">
        <f>'[1]Adubos e corretivos'!N36</f>
        <v>0</v>
      </c>
      <c r="AH133" s="305">
        <f>'[1]Adubos e corretivos'!O36</f>
        <v>0</v>
      </c>
      <c r="AI133" s="305">
        <f>'[1]Adubos e corretivos'!P36</f>
        <v>0</v>
      </c>
      <c r="AJ133" s="305">
        <f>'[1]Adubos e corretivos'!Q36</f>
        <v>0</v>
      </c>
      <c r="AK133" s="305">
        <f>'[1]Adubos e corretivos'!R36</f>
        <v>0</v>
      </c>
      <c r="AL133" s="305">
        <f>'[1]Adubos e corretivos'!S36</f>
        <v>0</v>
      </c>
      <c r="AM133" s="305">
        <f>'[1]Adubos e corretivos'!T36</f>
        <v>0</v>
      </c>
      <c r="AN133" s="305">
        <f>'[1]Adubos e corretivos'!U36</f>
        <v>0</v>
      </c>
      <c r="AO133" s="305">
        <f>'[1]Adubos e corretivos'!V36</f>
        <v>0</v>
      </c>
    </row>
    <row r="134" spans="13:41" ht="19.5" customHeight="1" x14ac:dyDescent="0.25">
      <c r="M134" s="539"/>
      <c r="N134" s="547"/>
      <c r="O134" s="448"/>
      <c r="P134" s="448"/>
      <c r="Q134" s="266">
        <f t="shared" si="17"/>
        <v>0</v>
      </c>
      <c r="R134" s="216"/>
      <c r="U134" s="536"/>
      <c r="V134" s="305" t="str">
        <f>'[1]Adubos e corretivos'!C37</f>
        <v>Torta de mamona Super thorg</v>
      </c>
      <c r="W134" s="305">
        <f>'[1]Adubos e corretivos'!D37</f>
        <v>0</v>
      </c>
      <c r="X134" s="305">
        <f>'[1]Adubos e corretivos'!E37</f>
        <v>9.1</v>
      </c>
      <c r="Y134" s="305">
        <f>'[1]Adubos e corretivos'!F37</f>
        <v>0</v>
      </c>
      <c r="Z134" s="305">
        <f>'[1]Adubos e corretivos'!G37</f>
        <v>0</v>
      </c>
      <c r="AA134" s="305">
        <f>'[1]Adubos e corretivos'!H37</f>
        <v>0</v>
      </c>
      <c r="AB134" s="305">
        <f>'[1]Adubos e corretivos'!I37</f>
        <v>0</v>
      </c>
      <c r="AC134" s="305">
        <f>'[1]Adubos e corretivos'!J37</f>
        <v>0</v>
      </c>
      <c r="AD134" s="305">
        <f>'[1]Adubos e corretivos'!K37</f>
        <v>0</v>
      </c>
      <c r="AE134" s="305">
        <f>'[1]Adubos e corretivos'!L37</f>
        <v>0</v>
      </c>
      <c r="AF134" s="305">
        <f>'[1]Adubos e corretivos'!M37</f>
        <v>0</v>
      </c>
      <c r="AG134" s="305">
        <f>'[1]Adubos e corretivos'!N37</f>
        <v>0</v>
      </c>
      <c r="AH134" s="305">
        <f>'[1]Adubos e corretivos'!O37</f>
        <v>0</v>
      </c>
      <c r="AI134" s="305">
        <f>'[1]Adubos e corretivos'!P37</f>
        <v>0</v>
      </c>
      <c r="AJ134" s="305">
        <f>'[1]Adubos e corretivos'!Q37</f>
        <v>0</v>
      </c>
      <c r="AK134" s="305">
        <f>'[1]Adubos e corretivos'!R37</f>
        <v>0</v>
      </c>
      <c r="AL134" s="305">
        <f>'[1]Adubos e corretivos'!S37</f>
        <v>0</v>
      </c>
      <c r="AM134" s="305">
        <f>'[1]Adubos e corretivos'!T37</f>
        <v>0</v>
      </c>
      <c r="AN134" s="305">
        <f>'[1]Adubos e corretivos'!U37</f>
        <v>0</v>
      </c>
      <c r="AO134" s="305">
        <f>'[1]Adubos e corretivos'!V37</f>
        <v>0</v>
      </c>
    </row>
    <row r="135" spans="13:41" ht="19.5" customHeight="1" x14ac:dyDescent="0.25">
      <c r="M135" s="539"/>
      <c r="N135" s="547"/>
      <c r="O135" s="448"/>
      <c r="P135" s="448"/>
      <c r="Q135" s="266">
        <f t="shared" si="17"/>
        <v>0</v>
      </c>
      <c r="R135" s="216"/>
      <c r="U135" s="536"/>
      <c r="V135" s="305" t="str">
        <f>'[1]Adubos e corretivos'!C38</f>
        <v>Torta de mamona Nutrisafra</v>
      </c>
      <c r="W135" s="305">
        <f>'[1]Adubos e corretivos'!D38</f>
        <v>0</v>
      </c>
      <c r="X135" s="305">
        <f>'[1]Adubos e corretivos'!E38</f>
        <v>5</v>
      </c>
      <c r="Y135" s="305">
        <f>'[1]Adubos e corretivos'!F38</f>
        <v>0</v>
      </c>
      <c r="Z135" s="305">
        <f>'[1]Adubos e corretivos'!G38</f>
        <v>0</v>
      </c>
      <c r="AA135" s="305">
        <f>'[1]Adubos e corretivos'!H38</f>
        <v>0</v>
      </c>
      <c r="AB135" s="305">
        <f>'[1]Adubos e corretivos'!I38</f>
        <v>0</v>
      </c>
      <c r="AC135" s="305">
        <f>'[1]Adubos e corretivos'!J38</f>
        <v>0</v>
      </c>
      <c r="AD135" s="305">
        <f>'[1]Adubos e corretivos'!K38</f>
        <v>0</v>
      </c>
      <c r="AE135" s="305">
        <f>'[1]Adubos e corretivos'!L38</f>
        <v>0</v>
      </c>
      <c r="AF135" s="305">
        <f>'[1]Adubos e corretivos'!M38</f>
        <v>0</v>
      </c>
      <c r="AG135" s="305">
        <f>'[1]Adubos e corretivos'!N38</f>
        <v>0</v>
      </c>
      <c r="AH135" s="305">
        <f>'[1]Adubos e corretivos'!O38</f>
        <v>0</v>
      </c>
      <c r="AI135" s="305">
        <f>'[1]Adubos e corretivos'!P38</f>
        <v>0</v>
      </c>
      <c r="AJ135" s="305">
        <f>'[1]Adubos e corretivos'!Q38</f>
        <v>0</v>
      </c>
      <c r="AK135" s="305">
        <f>'[1]Adubos e corretivos'!R38</f>
        <v>0</v>
      </c>
      <c r="AL135" s="305">
        <f>'[1]Adubos e corretivos'!S38</f>
        <v>0</v>
      </c>
      <c r="AM135" s="305">
        <f>'[1]Adubos e corretivos'!T38</f>
        <v>0</v>
      </c>
      <c r="AN135" s="305">
        <f>'[1]Adubos e corretivos'!U38</f>
        <v>0</v>
      </c>
      <c r="AO135" s="305">
        <f>'[1]Adubos e corretivos'!V38</f>
        <v>0</v>
      </c>
    </row>
    <row r="136" spans="13:41" ht="19.5" customHeight="1" x14ac:dyDescent="0.25">
      <c r="M136" s="539"/>
      <c r="N136" s="547"/>
      <c r="O136" s="448"/>
      <c r="P136" s="448"/>
      <c r="Q136" s="266">
        <f t="shared" si="17"/>
        <v>0</v>
      </c>
      <c r="R136" s="216"/>
      <c r="U136" s="536"/>
      <c r="V136" s="305" t="str">
        <f>'[1]Adubos e corretivos'!C39</f>
        <v>Torta de mamona Vitaplan</v>
      </c>
      <c r="W136" s="305">
        <f>'[1]Adubos e corretivos'!D39</f>
        <v>0</v>
      </c>
      <c r="X136" s="305">
        <f>'[1]Adubos e corretivos'!E39</f>
        <v>8.5</v>
      </c>
      <c r="Y136" s="305">
        <f>'[1]Adubos e corretivos'!F39</f>
        <v>0</v>
      </c>
      <c r="Z136" s="305">
        <f>'[1]Adubos e corretivos'!G39</f>
        <v>0</v>
      </c>
      <c r="AA136" s="305">
        <f>'[1]Adubos e corretivos'!H39</f>
        <v>0</v>
      </c>
      <c r="AB136" s="305">
        <f>'[1]Adubos e corretivos'!I39</f>
        <v>0</v>
      </c>
      <c r="AC136" s="305">
        <f>'[1]Adubos e corretivos'!J39</f>
        <v>0</v>
      </c>
      <c r="AD136" s="305">
        <f>'[1]Adubos e corretivos'!K39</f>
        <v>0</v>
      </c>
      <c r="AE136" s="305">
        <f>'[1]Adubos e corretivos'!L39</f>
        <v>0</v>
      </c>
      <c r="AF136" s="305">
        <f>'[1]Adubos e corretivos'!M39</f>
        <v>0</v>
      </c>
      <c r="AG136" s="305">
        <f>'[1]Adubos e corretivos'!N39</f>
        <v>0</v>
      </c>
      <c r="AH136" s="305">
        <f>'[1]Adubos e corretivos'!O39</f>
        <v>0</v>
      </c>
      <c r="AI136" s="305">
        <f>'[1]Adubos e corretivos'!P39</f>
        <v>0</v>
      </c>
      <c r="AJ136" s="305">
        <f>'[1]Adubos e corretivos'!Q39</f>
        <v>0</v>
      </c>
      <c r="AK136" s="305">
        <f>'[1]Adubos e corretivos'!R39</f>
        <v>0</v>
      </c>
      <c r="AL136" s="305">
        <f>'[1]Adubos e corretivos'!S39</f>
        <v>0</v>
      </c>
      <c r="AM136" s="305">
        <f>'[1]Adubos e corretivos'!T39</f>
        <v>0</v>
      </c>
      <c r="AN136" s="305">
        <f>'[1]Adubos e corretivos'!U39</f>
        <v>0</v>
      </c>
      <c r="AO136" s="305">
        <f>'[1]Adubos e corretivos'!V39</f>
        <v>0</v>
      </c>
    </row>
    <row r="137" spans="13:41" ht="19.5" customHeight="1" x14ac:dyDescent="0.25">
      <c r="M137" s="539"/>
      <c r="N137" s="547"/>
      <c r="O137" s="448"/>
      <c r="P137" s="448"/>
      <c r="Q137" s="266">
        <f t="shared" si="17"/>
        <v>0</v>
      </c>
      <c r="R137" s="216"/>
      <c r="U137" s="536"/>
      <c r="V137" s="305" t="str">
        <f>'[1]Adubos e corretivos'!C40</f>
        <v>Farinha de osso</v>
      </c>
      <c r="W137" s="305">
        <f>'[1]Adubos e corretivos'!D40</f>
        <v>0</v>
      </c>
      <c r="X137" s="305">
        <f>'[1]Adubos e corretivos'!E40</f>
        <v>0</v>
      </c>
      <c r="Y137" s="305">
        <f>'[1]Adubos e corretivos'!F40</f>
        <v>18.2</v>
      </c>
      <c r="Z137" s="305">
        <f>'[1]Adubos e corretivos'!G40</f>
        <v>42</v>
      </c>
      <c r="AA137" s="305">
        <f>'[1]Adubos e corretivos'!H40</f>
        <v>0</v>
      </c>
      <c r="AB137" s="305">
        <f>'[1]Adubos e corretivos'!I40</f>
        <v>0</v>
      </c>
      <c r="AC137" s="305">
        <f>'[1]Adubos e corretivos'!J40</f>
        <v>39.5</v>
      </c>
      <c r="AD137" s="305">
        <f>'[1]Adubos e corretivos'!K40</f>
        <v>0</v>
      </c>
      <c r="AE137" s="305">
        <f>'[1]Adubos e corretivos'!L40</f>
        <v>0</v>
      </c>
      <c r="AF137" s="305">
        <f>'[1]Adubos e corretivos'!M40</f>
        <v>0</v>
      </c>
      <c r="AG137" s="305">
        <f>'[1]Adubos e corretivos'!N40</f>
        <v>0</v>
      </c>
      <c r="AH137" s="305">
        <f>'[1]Adubos e corretivos'!O40</f>
        <v>0</v>
      </c>
      <c r="AI137" s="305">
        <f>'[1]Adubos e corretivos'!P40</f>
        <v>0</v>
      </c>
      <c r="AJ137" s="305">
        <f>'[1]Adubos e corretivos'!Q40</f>
        <v>0</v>
      </c>
      <c r="AK137" s="305">
        <f>'[1]Adubos e corretivos'!R40</f>
        <v>0</v>
      </c>
      <c r="AL137" s="305">
        <f>'[1]Adubos e corretivos'!S40</f>
        <v>0</v>
      </c>
      <c r="AM137" s="305">
        <f>'[1]Adubos e corretivos'!T40</f>
        <v>7.5</v>
      </c>
      <c r="AN137" s="305">
        <f>'[1]Adubos e corretivos'!U40</f>
        <v>0</v>
      </c>
      <c r="AO137" s="305">
        <f>'[1]Adubos e corretivos'!V40</f>
        <v>0</v>
      </c>
    </row>
    <row r="138" spans="13:41" ht="19.5" customHeight="1" x14ac:dyDescent="0.25">
      <c r="M138" s="539"/>
      <c r="N138" s="547"/>
      <c r="O138" s="448"/>
      <c r="P138" s="448"/>
      <c r="Q138" s="266">
        <f t="shared" si="17"/>
        <v>0</v>
      </c>
      <c r="R138" s="216"/>
      <c r="U138" s="536"/>
      <c r="V138" s="305" t="str">
        <f>'[1]Adubos e corretivos'!C41</f>
        <v>Termofosfato YOORIN</v>
      </c>
      <c r="W138" s="305">
        <f>'[1]Adubos e corretivos'!D41</f>
        <v>2.3250000000000002</v>
      </c>
      <c r="X138" s="305">
        <f>'[1]Adubos e corretivos'!E41</f>
        <v>0</v>
      </c>
      <c r="Y138" s="305">
        <f>'[1]Adubos e corretivos'!F41</f>
        <v>7.6440000000000001</v>
      </c>
      <c r="Z138" s="305">
        <f>'[1]Adubos e corretivos'!G41</f>
        <v>17.5</v>
      </c>
      <c r="AA138" s="305">
        <f>'[1]Adubos e corretivos'!H41</f>
        <v>0</v>
      </c>
      <c r="AB138" s="305">
        <f>'[1]Adubos e corretivos'!I41</f>
        <v>0</v>
      </c>
      <c r="AC138" s="305">
        <f>'[1]Adubos e corretivos'!J41</f>
        <v>18</v>
      </c>
      <c r="AD138" s="305">
        <f>'[1]Adubos e corretivos'!K41</f>
        <v>7</v>
      </c>
      <c r="AE138" s="305">
        <f>'[1]Adubos e corretivos'!L41</f>
        <v>0</v>
      </c>
      <c r="AF138" s="305">
        <f>'[1]Adubos e corretivos'!M41</f>
        <v>0.1</v>
      </c>
      <c r="AG138" s="305">
        <f>'[1]Adubos e corretivos'!N41</f>
        <v>0.3</v>
      </c>
      <c r="AH138" s="305">
        <f>'[1]Adubos e corretivos'!O41</f>
        <v>5.5</v>
      </c>
      <c r="AI138" s="305">
        <f>'[1]Adubos e corretivos'!P41</f>
        <v>0.5</v>
      </c>
      <c r="AJ138" s="305">
        <f>'[1]Adubos e corretivos'!Q41</f>
        <v>0</v>
      </c>
      <c r="AK138" s="305">
        <f>'[1]Adubos e corretivos'!R41</f>
        <v>0</v>
      </c>
      <c r="AL138" s="305">
        <f>'[1]Adubos e corretivos'!S41</f>
        <v>10</v>
      </c>
      <c r="AM138" s="305">
        <f>'[1]Adubos e corretivos'!T41</f>
        <v>0</v>
      </c>
      <c r="AN138" s="305">
        <f>'[1]Adubos e corretivos'!U41</f>
        <v>0</v>
      </c>
      <c r="AO138" s="305">
        <f>'[1]Adubos e corretivos'!V41</f>
        <v>0</v>
      </c>
    </row>
    <row r="139" spans="13:41" ht="19.5" customHeight="1" x14ac:dyDescent="0.25">
      <c r="M139" s="539"/>
      <c r="N139" s="547"/>
      <c r="O139" s="448"/>
      <c r="P139" s="448"/>
      <c r="Q139" s="266">
        <f t="shared" si="17"/>
        <v>0</v>
      </c>
      <c r="R139" s="216"/>
      <c r="U139" s="536"/>
      <c r="V139" s="305" t="str">
        <f>'[1]Adubos e corretivos'!C42</f>
        <v>Kmag</v>
      </c>
      <c r="W139" s="305">
        <f>'[1]Adubos e corretivos'!D42</f>
        <v>2.9</v>
      </c>
      <c r="X139" s="305">
        <f>'[1]Adubos e corretivos'!E42</f>
        <v>0</v>
      </c>
      <c r="Y139" s="305">
        <f>'[1]Adubos e corretivos'!F42</f>
        <v>0</v>
      </c>
      <c r="Z139" s="305">
        <f>'[1]Adubos e corretivos'!G42</f>
        <v>0</v>
      </c>
      <c r="AA139" s="305">
        <f>'[1]Adubos e corretivos'!H42</f>
        <v>17.45</v>
      </c>
      <c r="AB139" s="305">
        <f>'[1]Adubos e corretivos'!I42</f>
        <v>21</v>
      </c>
      <c r="AC139" s="305">
        <f>'[1]Adubos e corretivos'!J42</f>
        <v>10</v>
      </c>
      <c r="AD139" s="305">
        <f>'[1]Adubos e corretivos'!K42</f>
        <v>21</v>
      </c>
      <c r="AE139" s="305">
        <f>'[1]Adubos e corretivos'!L42</f>
        <v>0</v>
      </c>
      <c r="AF139" s="305">
        <f>'[1]Adubos e corretivos'!M42</f>
        <v>0</v>
      </c>
      <c r="AG139" s="305">
        <f>'[1]Adubos e corretivos'!N42</f>
        <v>0</v>
      </c>
      <c r="AH139" s="305">
        <f>'[1]Adubos e corretivos'!O42</f>
        <v>0</v>
      </c>
      <c r="AI139" s="305">
        <f>'[1]Adubos e corretivos'!P42</f>
        <v>0</v>
      </c>
      <c r="AJ139" s="305">
        <f>'[1]Adubos e corretivos'!Q42</f>
        <v>0</v>
      </c>
      <c r="AK139" s="305">
        <f>'[1]Adubos e corretivos'!R42</f>
        <v>0</v>
      </c>
      <c r="AL139" s="305">
        <f>'[1]Adubos e corretivos'!S42</f>
        <v>0</v>
      </c>
      <c r="AM139" s="305">
        <f>'[1]Adubos e corretivos'!T42</f>
        <v>0</v>
      </c>
      <c r="AN139" s="305">
        <f>'[1]Adubos e corretivos'!U42</f>
        <v>0</v>
      </c>
      <c r="AO139" s="305">
        <f>'[1]Adubos e corretivos'!V42</f>
        <v>0</v>
      </c>
    </row>
    <row r="140" spans="13:41" ht="19.5" customHeight="1" x14ac:dyDescent="0.25">
      <c r="M140" s="539"/>
      <c r="N140" s="547"/>
      <c r="O140" s="448"/>
      <c r="P140" s="448"/>
      <c r="Q140" s="266">
        <f t="shared" si="17"/>
        <v>0</v>
      </c>
      <c r="R140" s="216"/>
      <c r="U140" s="536"/>
      <c r="V140" s="305" t="str">
        <f>'[1]Adubos e corretivos'!C43</f>
        <v>Algas marinhas Algen</v>
      </c>
      <c r="W140" s="305">
        <f>'[1]Adubos e corretivos'!D43</f>
        <v>1.96</v>
      </c>
      <c r="X140" s="305">
        <f>'[1]Adubos e corretivos'!E43</f>
        <v>0</v>
      </c>
      <c r="Y140" s="305">
        <f>'[1]Adubos e corretivos'!F43</f>
        <v>0</v>
      </c>
      <c r="Z140" s="305">
        <f>'[1]Adubos e corretivos'!G43</f>
        <v>0</v>
      </c>
      <c r="AA140" s="305">
        <f>'[1]Adubos e corretivos'!H43</f>
        <v>0</v>
      </c>
      <c r="AB140" s="305">
        <f>'[1]Adubos e corretivos'!I43</f>
        <v>0</v>
      </c>
      <c r="AC140" s="305">
        <f>'[1]Adubos e corretivos'!J43</f>
        <v>32</v>
      </c>
      <c r="AD140" s="305">
        <f>'[1]Adubos e corretivos'!K43</f>
        <v>2</v>
      </c>
      <c r="AE140" s="305">
        <f>'[1]Adubos e corretivos'!L43</f>
        <v>0</v>
      </c>
      <c r="AF140" s="305">
        <f>'[1]Adubos e corretivos'!M43</f>
        <v>0</v>
      </c>
      <c r="AG140" s="305">
        <f>'[1]Adubos e corretivos'!N43</f>
        <v>0</v>
      </c>
      <c r="AH140" s="305">
        <f>'[1]Adubos e corretivos'!O43</f>
        <v>0</v>
      </c>
      <c r="AI140" s="305">
        <f>'[1]Adubos e corretivos'!P43</f>
        <v>0</v>
      </c>
      <c r="AJ140" s="305">
        <f>'[1]Adubos e corretivos'!Q43</f>
        <v>0</v>
      </c>
      <c r="AK140" s="305">
        <f>'[1]Adubos e corretivos'!R43</f>
        <v>0</v>
      </c>
      <c r="AL140" s="305">
        <f>'[1]Adubos e corretivos'!S43</f>
        <v>0</v>
      </c>
      <c r="AM140" s="305">
        <f>'[1]Adubos e corretivos'!T43</f>
        <v>0</v>
      </c>
      <c r="AN140" s="305">
        <f>'[1]Adubos e corretivos'!U43</f>
        <v>0</v>
      </c>
      <c r="AO140" s="305">
        <f>'[1]Adubos e corretivos'!V43</f>
        <v>0</v>
      </c>
    </row>
    <row r="141" spans="13:41" ht="19.5" customHeight="1" x14ac:dyDescent="0.25">
      <c r="M141" s="539"/>
      <c r="N141" s="547"/>
      <c r="O141" s="448"/>
      <c r="P141" s="448"/>
      <c r="Q141" s="266">
        <f t="shared" si="17"/>
        <v>0</v>
      </c>
      <c r="R141" s="216"/>
      <c r="U141" s="536"/>
      <c r="V141" s="305" t="str">
        <f>'[1]Adubos e corretivos'!C44</f>
        <v>Sulfato de magnésio</v>
      </c>
      <c r="W141" s="305">
        <f>'[1]Adubos e corretivos'!D44</f>
        <v>1.6</v>
      </c>
      <c r="X141" s="305">
        <f>'[1]Adubos e corretivos'!E44</f>
        <v>0</v>
      </c>
      <c r="Y141" s="305">
        <f>'[1]Adubos e corretivos'!F44</f>
        <v>0</v>
      </c>
      <c r="Z141" s="305">
        <f>'[1]Adubos e corretivos'!G44</f>
        <v>0</v>
      </c>
      <c r="AA141" s="305">
        <f>'[1]Adubos e corretivos'!H44</f>
        <v>0</v>
      </c>
      <c r="AB141" s="305">
        <f>'[1]Adubos e corretivos'!I44</f>
        <v>0</v>
      </c>
      <c r="AC141" s="305">
        <f>'[1]Adubos e corretivos'!J44</f>
        <v>0</v>
      </c>
      <c r="AD141" s="305">
        <f>'[1]Adubos e corretivos'!K44</f>
        <v>9.5</v>
      </c>
      <c r="AE141" s="305">
        <f>'[1]Adubos e corretivos'!L44</f>
        <v>12</v>
      </c>
      <c r="AF141" s="305">
        <f>'[1]Adubos e corretivos'!M44</f>
        <v>0</v>
      </c>
      <c r="AG141" s="305">
        <f>'[1]Adubos e corretivos'!N44</f>
        <v>0</v>
      </c>
      <c r="AH141" s="305">
        <f>'[1]Adubos e corretivos'!O44</f>
        <v>0</v>
      </c>
      <c r="AI141" s="305">
        <f>'[1]Adubos e corretivos'!P44</f>
        <v>0</v>
      </c>
      <c r="AJ141" s="305">
        <f>'[1]Adubos e corretivos'!Q44</f>
        <v>0</v>
      </c>
      <c r="AK141" s="305">
        <f>'[1]Adubos e corretivos'!R44</f>
        <v>0</v>
      </c>
      <c r="AL141" s="305">
        <f>'[1]Adubos e corretivos'!S44</f>
        <v>0</v>
      </c>
      <c r="AM141" s="305">
        <f>'[1]Adubos e corretivos'!T44</f>
        <v>0</v>
      </c>
      <c r="AN141" s="305">
        <f>'[1]Adubos e corretivos'!U44</f>
        <v>0</v>
      </c>
      <c r="AO141" s="305">
        <f>'[1]Adubos e corretivos'!V44</f>
        <v>0</v>
      </c>
    </row>
    <row r="142" spans="13:41" ht="19.5" customHeight="1" x14ac:dyDescent="0.25">
      <c r="M142" s="539"/>
      <c r="N142" s="547"/>
      <c r="O142" s="448"/>
      <c r="P142" s="448"/>
      <c r="Q142" s="266">
        <f t="shared" si="17"/>
        <v>0</v>
      </c>
      <c r="R142" s="216"/>
      <c r="U142" s="536"/>
      <c r="V142" s="305">
        <f>'[1]Adubos e corretivos'!C45</f>
        <v>0</v>
      </c>
      <c r="W142" s="305">
        <f>'[1]Adubos e corretivos'!D45</f>
        <v>0</v>
      </c>
      <c r="X142" s="305">
        <f>'[1]Adubos e corretivos'!E45</f>
        <v>0</v>
      </c>
      <c r="Y142" s="305">
        <f>'[1]Adubos e corretivos'!F45</f>
        <v>0</v>
      </c>
      <c r="Z142" s="305">
        <f>'[1]Adubos e corretivos'!G45</f>
        <v>0</v>
      </c>
      <c r="AA142" s="305">
        <f>'[1]Adubos e corretivos'!H45</f>
        <v>0</v>
      </c>
      <c r="AB142" s="305">
        <f>'[1]Adubos e corretivos'!I45</f>
        <v>0</v>
      </c>
      <c r="AC142" s="305">
        <f>'[1]Adubos e corretivos'!J45</f>
        <v>0</v>
      </c>
      <c r="AD142" s="305">
        <f>'[1]Adubos e corretivos'!K45</f>
        <v>0</v>
      </c>
      <c r="AE142" s="305">
        <f>'[1]Adubos e corretivos'!L45</f>
        <v>0</v>
      </c>
      <c r="AF142" s="305">
        <f>'[1]Adubos e corretivos'!M45</f>
        <v>0</v>
      </c>
      <c r="AG142" s="305">
        <f>'[1]Adubos e corretivos'!N45</f>
        <v>0</v>
      </c>
      <c r="AH142" s="305">
        <f>'[1]Adubos e corretivos'!O45</f>
        <v>0</v>
      </c>
      <c r="AI142" s="305">
        <f>'[1]Adubos e corretivos'!P45</f>
        <v>0</v>
      </c>
      <c r="AJ142" s="305">
        <f>'[1]Adubos e corretivos'!Q45</f>
        <v>0</v>
      </c>
      <c r="AK142" s="305">
        <f>'[1]Adubos e corretivos'!R45</f>
        <v>0</v>
      </c>
      <c r="AL142" s="305">
        <f>'[1]Adubos e corretivos'!S45</f>
        <v>0</v>
      </c>
      <c r="AM142" s="305">
        <f>'[1]Adubos e corretivos'!T45</f>
        <v>0</v>
      </c>
      <c r="AN142" s="305">
        <f>'[1]Adubos e corretivos'!U45</f>
        <v>0</v>
      </c>
      <c r="AO142" s="305">
        <f>'[1]Adubos e corretivos'!V45</f>
        <v>0</v>
      </c>
    </row>
    <row r="143" spans="13:41" ht="19.5" customHeight="1" x14ac:dyDescent="0.25">
      <c r="M143" s="539"/>
      <c r="N143" s="547"/>
      <c r="O143" s="448"/>
      <c r="P143" s="448"/>
      <c r="Q143" s="266">
        <f t="shared" si="17"/>
        <v>0</v>
      </c>
      <c r="R143" s="216"/>
      <c r="U143" s="536"/>
      <c r="V143" s="305">
        <f>'[1]Adubos e corretivos'!C46</f>
        <v>0</v>
      </c>
      <c r="W143" s="305">
        <f>'[1]Adubos e corretivos'!D46</f>
        <v>0</v>
      </c>
      <c r="X143" s="305">
        <f>'[1]Adubos e corretivos'!E46</f>
        <v>0</v>
      </c>
      <c r="Y143" s="305">
        <f>'[1]Adubos e corretivos'!F46</f>
        <v>0</v>
      </c>
      <c r="Z143" s="305">
        <f>'[1]Adubos e corretivos'!G46</f>
        <v>0</v>
      </c>
      <c r="AA143" s="305">
        <f>'[1]Adubos e corretivos'!H46</f>
        <v>0</v>
      </c>
      <c r="AB143" s="305">
        <f>'[1]Adubos e corretivos'!I46</f>
        <v>0</v>
      </c>
      <c r="AC143" s="305">
        <f>'[1]Adubos e corretivos'!J46</f>
        <v>0</v>
      </c>
      <c r="AD143" s="305">
        <f>'[1]Adubos e corretivos'!K46</f>
        <v>0</v>
      </c>
      <c r="AE143" s="305">
        <f>'[1]Adubos e corretivos'!L46</f>
        <v>0</v>
      </c>
      <c r="AF143" s="305">
        <f>'[1]Adubos e corretivos'!M46</f>
        <v>0</v>
      </c>
      <c r="AG143" s="305">
        <f>'[1]Adubos e corretivos'!N46</f>
        <v>0</v>
      </c>
      <c r="AH143" s="305">
        <f>'[1]Adubos e corretivos'!O46</f>
        <v>0</v>
      </c>
      <c r="AI143" s="305">
        <f>'[1]Adubos e corretivos'!P46</f>
        <v>0</v>
      </c>
      <c r="AJ143" s="305">
        <f>'[1]Adubos e corretivos'!Q46</f>
        <v>0</v>
      </c>
      <c r="AK143" s="305">
        <f>'[1]Adubos e corretivos'!R46</f>
        <v>0</v>
      </c>
      <c r="AL143" s="305">
        <f>'[1]Adubos e corretivos'!S46</f>
        <v>0</v>
      </c>
      <c r="AM143" s="305">
        <f>'[1]Adubos e corretivos'!T46</f>
        <v>0</v>
      </c>
      <c r="AN143" s="305">
        <f>'[1]Adubos e corretivos'!U46</f>
        <v>0</v>
      </c>
      <c r="AO143" s="305">
        <f>'[1]Adubos e corretivos'!V46</f>
        <v>0</v>
      </c>
    </row>
    <row r="144" spans="13:41" ht="19.5" customHeight="1" x14ac:dyDescent="0.25">
      <c r="M144" s="308"/>
      <c r="N144" s="309"/>
      <c r="O144" s="215"/>
      <c r="P144" s="215"/>
      <c r="Q144" s="215"/>
      <c r="R144" s="216"/>
      <c r="U144" s="536"/>
      <c r="V144" s="305">
        <f>'[1]Adubos e corretivos'!C47</f>
        <v>0</v>
      </c>
      <c r="W144" s="305">
        <f>'[1]Adubos e corretivos'!D47</f>
        <v>0</v>
      </c>
      <c r="X144" s="305">
        <f>'[1]Adubos e corretivos'!E47</f>
        <v>0</v>
      </c>
      <c r="Y144" s="305">
        <f>'[1]Adubos e corretivos'!F47</f>
        <v>0</v>
      </c>
      <c r="Z144" s="305">
        <f>'[1]Adubos e corretivos'!G47</f>
        <v>0</v>
      </c>
      <c r="AA144" s="305">
        <f>'[1]Adubos e corretivos'!H47</f>
        <v>0</v>
      </c>
      <c r="AB144" s="305">
        <f>'[1]Adubos e corretivos'!I47</f>
        <v>0</v>
      </c>
      <c r="AC144" s="305">
        <f>'[1]Adubos e corretivos'!J47</f>
        <v>0</v>
      </c>
      <c r="AD144" s="305">
        <f>'[1]Adubos e corretivos'!K47</f>
        <v>0</v>
      </c>
      <c r="AE144" s="305">
        <f>'[1]Adubos e corretivos'!L47</f>
        <v>0</v>
      </c>
      <c r="AF144" s="305">
        <f>'[1]Adubos e corretivos'!M47</f>
        <v>0</v>
      </c>
      <c r="AG144" s="305">
        <f>'[1]Adubos e corretivos'!N47</f>
        <v>0</v>
      </c>
      <c r="AH144" s="305">
        <f>'[1]Adubos e corretivos'!O47</f>
        <v>0</v>
      </c>
      <c r="AI144" s="305">
        <f>'[1]Adubos e corretivos'!P47</f>
        <v>0</v>
      </c>
      <c r="AJ144" s="305">
        <f>'[1]Adubos e corretivos'!Q47</f>
        <v>0</v>
      </c>
      <c r="AK144" s="305">
        <f>'[1]Adubos e corretivos'!R47</f>
        <v>0</v>
      </c>
      <c r="AL144" s="305">
        <f>'[1]Adubos e corretivos'!S47</f>
        <v>0</v>
      </c>
      <c r="AM144" s="305">
        <f>'[1]Adubos e corretivos'!T47</f>
        <v>0</v>
      </c>
      <c r="AN144" s="305">
        <f>'[1]Adubos e corretivos'!U47</f>
        <v>0</v>
      </c>
      <c r="AO144" s="305">
        <f>'[1]Adubos e corretivos'!V47</f>
        <v>0</v>
      </c>
    </row>
    <row r="145" spans="11:41" ht="19.5" customHeight="1" x14ac:dyDescent="0.25">
      <c r="M145" s="539" t="s">
        <v>622</v>
      </c>
      <c r="N145" s="540"/>
      <c r="O145" s="541" t="s">
        <v>598</v>
      </c>
      <c r="P145" s="542"/>
      <c r="Q145" s="310" t="e">
        <f>$AB$215*$O$34</f>
        <v>#N/A</v>
      </c>
      <c r="R145" s="311"/>
      <c r="U145" s="536"/>
      <c r="V145" s="305">
        <f>'[1]Adubos e corretivos'!C48</f>
        <v>0</v>
      </c>
      <c r="W145" s="305">
        <f>'[1]Adubos e corretivos'!D48</f>
        <v>0</v>
      </c>
      <c r="X145" s="305">
        <f>'[1]Adubos e corretivos'!E48</f>
        <v>0</v>
      </c>
      <c r="Y145" s="305">
        <f>'[1]Adubos e corretivos'!F48</f>
        <v>0</v>
      </c>
      <c r="Z145" s="305">
        <f>'[1]Adubos e corretivos'!G48</f>
        <v>0</v>
      </c>
      <c r="AA145" s="305">
        <f>'[1]Adubos e corretivos'!H48</f>
        <v>0</v>
      </c>
      <c r="AB145" s="305">
        <f>'[1]Adubos e corretivos'!I48</f>
        <v>0</v>
      </c>
      <c r="AC145" s="305">
        <f>'[1]Adubos e corretivos'!J48</f>
        <v>0</v>
      </c>
      <c r="AD145" s="305">
        <f>'[1]Adubos e corretivos'!K48</f>
        <v>0</v>
      </c>
      <c r="AE145" s="305">
        <f>'[1]Adubos e corretivos'!L48</f>
        <v>0</v>
      </c>
      <c r="AF145" s="305">
        <f>'[1]Adubos e corretivos'!M48</f>
        <v>0</v>
      </c>
      <c r="AG145" s="305">
        <f>'[1]Adubos e corretivos'!N48</f>
        <v>0</v>
      </c>
      <c r="AH145" s="305">
        <f>'[1]Adubos e corretivos'!O48</f>
        <v>0</v>
      </c>
      <c r="AI145" s="305">
        <f>'[1]Adubos e corretivos'!P48</f>
        <v>0</v>
      </c>
      <c r="AJ145" s="305">
        <f>'[1]Adubos e corretivos'!Q48</f>
        <v>0</v>
      </c>
      <c r="AK145" s="305">
        <f>'[1]Adubos e corretivos'!R48</f>
        <v>0</v>
      </c>
      <c r="AL145" s="305">
        <f>'[1]Adubos e corretivos'!S48</f>
        <v>0</v>
      </c>
      <c r="AM145" s="305">
        <f>'[1]Adubos e corretivos'!T48</f>
        <v>0</v>
      </c>
      <c r="AN145" s="305">
        <f>'[1]Adubos e corretivos'!U48</f>
        <v>0</v>
      </c>
      <c r="AO145" s="305">
        <f>'[1]Adubos e corretivos'!V48</f>
        <v>0</v>
      </c>
    </row>
    <row r="146" spans="11:41" ht="19.5" customHeight="1" x14ac:dyDescent="0.25">
      <c r="M146" s="539"/>
      <c r="N146" s="540"/>
      <c r="O146" s="215"/>
      <c r="P146" s="215"/>
      <c r="Q146" s="215"/>
      <c r="R146" s="216"/>
      <c r="U146" s="536"/>
      <c r="V146" s="305">
        <f>'[1]Adubos e corretivos'!C49</f>
        <v>0</v>
      </c>
      <c r="W146" s="305">
        <f>'[1]Adubos e corretivos'!D49</f>
        <v>0</v>
      </c>
      <c r="X146" s="305">
        <f>'[1]Adubos e corretivos'!E49</f>
        <v>0</v>
      </c>
      <c r="Y146" s="305">
        <f>'[1]Adubos e corretivos'!F49</f>
        <v>0</v>
      </c>
      <c r="Z146" s="305">
        <f>'[1]Adubos e corretivos'!G49</f>
        <v>0</v>
      </c>
      <c r="AA146" s="305">
        <f>'[1]Adubos e corretivos'!H49</f>
        <v>0</v>
      </c>
      <c r="AB146" s="305">
        <f>'[1]Adubos e corretivos'!I49</f>
        <v>0</v>
      </c>
      <c r="AC146" s="305">
        <f>'[1]Adubos e corretivos'!J49</f>
        <v>0</v>
      </c>
      <c r="AD146" s="305">
        <f>'[1]Adubos e corretivos'!K49</f>
        <v>0</v>
      </c>
      <c r="AE146" s="305">
        <f>'[1]Adubos e corretivos'!L49</f>
        <v>0</v>
      </c>
      <c r="AF146" s="305">
        <f>'[1]Adubos e corretivos'!M49</f>
        <v>0</v>
      </c>
      <c r="AG146" s="305">
        <f>'[1]Adubos e corretivos'!N49</f>
        <v>0</v>
      </c>
      <c r="AH146" s="305">
        <f>'[1]Adubos e corretivos'!O49</f>
        <v>0</v>
      </c>
      <c r="AI146" s="305">
        <f>'[1]Adubos e corretivos'!P49</f>
        <v>0</v>
      </c>
      <c r="AJ146" s="305">
        <f>'[1]Adubos e corretivos'!Q49</f>
        <v>0</v>
      </c>
      <c r="AK146" s="305">
        <f>'[1]Adubos e corretivos'!R49</f>
        <v>0</v>
      </c>
      <c r="AL146" s="305">
        <f>'[1]Adubos e corretivos'!S49</f>
        <v>0</v>
      </c>
      <c r="AM146" s="305">
        <f>'[1]Adubos e corretivos'!T49</f>
        <v>0</v>
      </c>
      <c r="AN146" s="305">
        <f>'[1]Adubos e corretivos'!U49</f>
        <v>0</v>
      </c>
      <c r="AO146" s="305">
        <f>'[1]Adubos e corretivos'!V49</f>
        <v>0</v>
      </c>
    </row>
    <row r="147" spans="11:41" ht="19.5" customHeight="1" x14ac:dyDescent="0.25">
      <c r="M147" s="539"/>
      <c r="N147" s="540"/>
      <c r="O147" s="541" t="s">
        <v>603</v>
      </c>
      <c r="P147" s="542"/>
      <c r="Q147" s="310" t="e">
        <f>Q145/$E$18</f>
        <v>#N/A</v>
      </c>
      <c r="R147" s="311"/>
      <c r="U147" s="536"/>
      <c r="V147" s="305">
        <f>'[1]Adubos e corretivos'!C50</f>
        <v>0</v>
      </c>
      <c r="W147" s="305">
        <f>'[1]Adubos e corretivos'!D50</f>
        <v>0</v>
      </c>
      <c r="X147" s="305">
        <f>'[1]Adubos e corretivos'!E50</f>
        <v>0</v>
      </c>
      <c r="Y147" s="305">
        <f>'[1]Adubos e corretivos'!F50</f>
        <v>0</v>
      </c>
      <c r="Z147" s="305">
        <f>'[1]Adubos e corretivos'!G50</f>
        <v>0</v>
      </c>
      <c r="AA147" s="305">
        <f>'[1]Adubos e corretivos'!H50</f>
        <v>0</v>
      </c>
      <c r="AB147" s="305">
        <f>'[1]Adubos e corretivos'!I50</f>
        <v>0</v>
      </c>
      <c r="AC147" s="305">
        <f>'[1]Adubos e corretivos'!J50</f>
        <v>0</v>
      </c>
      <c r="AD147" s="305">
        <f>'[1]Adubos e corretivos'!K50</f>
        <v>0</v>
      </c>
      <c r="AE147" s="305">
        <f>'[1]Adubos e corretivos'!L50</f>
        <v>0</v>
      </c>
      <c r="AF147" s="305">
        <f>'[1]Adubos e corretivos'!M50</f>
        <v>0</v>
      </c>
      <c r="AG147" s="305">
        <f>'[1]Adubos e corretivos'!N50</f>
        <v>0</v>
      </c>
      <c r="AH147" s="305">
        <f>'[1]Adubos e corretivos'!O50</f>
        <v>0</v>
      </c>
      <c r="AI147" s="305">
        <f>'[1]Adubos e corretivos'!P50</f>
        <v>0</v>
      </c>
      <c r="AJ147" s="305">
        <f>'[1]Adubos e corretivos'!Q50</f>
        <v>0</v>
      </c>
      <c r="AK147" s="305">
        <f>'[1]Adubos e corretivos'!R50</f>
        <v>0</v>
      </c>
      <c r="AL147" s="305">
        <f>'[1]Adubos e corretivos'!S50</f>
        <v>0</v>
      </c>
      <c r="AM147" s="305">
        <f>'[1]Adubos e corretivos'!T50</f>
        <v>0</v>
      </c>
      <c r="AN147" s="305">
        <f>'[1]Adubos e corretivos'!U50</f>
        <v>0</v>
      </c>
      <c r="AO147" s="305">
        <f>'[1]Adubos e corretivos'!V50</f>
        <v>0</v>
      </c>
    </row>
    <row r="148" spans="11:41" ht="19.5" customHeight="1" thickBot="1" x14ac:dyDescent="0.3">
      <c r="M148" s="217"/>
      <c r="N148" s="218"/>
      <c r="O148" s="218"/>
      <c r="P148" s="218"/>
      <c r="Q148" s="218"/>
      <c r="R148" s="219"/>
      <c r="U148" s="536"/>
      <c r="V148" s="305">
        <f>'[1]Adubos e corretivos'!C51</f>
        <v>0</v>
      </c>
      <c r="W148" s="305">
        <f>'[1]Adubos e corretivos'!D51</f>
        <v>0</v>
      </c>
      <c r="X148" s="305">
        <f>'[1]Adubos e corretivos'!E51</f>
        <v>0</v>
      </c>
      <c r="Y148" s="305">
        <f>'[1]Adubos e corretivos'!F51</f>
        <v>0</v>
      </c>
      <c r="Z148" s="305">
        <f>'[1]Adubos e corretivos'!G51</f>
        <v>0</v>
      </c>
      <c r="AA148" s="305">
        <f>'[1]Adubos e corretivos'!H51</f>
        <v>0</v>
      </c>
      <c r="AB148" s="305">
        <f>'[1]Adubos e corretivos'!I51</f>
        <v>0</v>
      </c>
      <c r="AC148" s="305">
        <f>'[1]Adubos e corretivos'!J51</f>
        <v>0</v>
      </c>
      <c r="AD148" s="305">
        <f>'[1]Adubos e corretivos'!K51</f>
        <v>0</v>
      </c>
      <c r="AE148" s="305">
        <f>'[1]Adubos e corretivos'!L51</f>
        <v>0</v>
      </c>
      <c r="AF148" s="305">
        <f>'[1]Adubos e corretivos'!M51</f>
        <v>0</v>
      </c>
      <c r="AG148" s="305">
        <f>'[1]Adubos e corretivos'!N51</f>
        <v>0</v>
      </c>
      <c r="AH148" s="305">
        <f>'[1]Adubos e corretivos'!O51</f>
        <v>0</v>
      </c>
      <c r="AI148" s="305">
        <f>'[1]Adubos e corretivos'!P51</f>
        <v>0</v>
      </c>
      <c r="AJ148" s="305">
        <f>'[1]Adubos e corretivos'!Q51</f>
        <v>0</v>
      </c>
      <c r="AK148" s="305">
        <f>'[1]Adubos e corretivos'!R51</f>
        <v>0</v>
      </c>
      <c r="AL148" s="305">
        <f>'[1]Adubos e corretivos'!S51</f>
        <v>0</v>
      </c>
      <c r="AM148" s="305">
        <f>'[1]Adubos e corretivos'!T51</f>
        <v>0</v>
      </c>
      <c r="AN148" s="305">
        <f>'[1]Adubos e corretivos'!U51</f>
        <v>0</v>
      </c>
      <c r="AO148" s="305">
        <f>'[1]Adubos e corretivos'!V51</f>
        <v>0</v>
      </c>
    </row>
    <row r="149" spans="11:41" ht="19.5" customHeight="1" x14ac:dyDescent="0.25">
      <c r="U149" s="536"/>
      <c r="V149" s="305">
        <f>'[1]Adubos e corretivos'!C52</f>
        <v>0</v>
      </c>
      <c r="W149" s="305">
        <f>'[1]Adubos e corretivos'!D52</f>
        <v>0</v>
      </c>
      <c r="X149" s="305">
        <f>'[1]Adubos e corretivos'!E52</f>
        <v>0</v>
      </c>
      <c r="Y149" s="305">
        <f>'[1]Adubos e corretivos'!F52</f>
        <v>0</v>
      </c>
      <c r="Z149" s="305">
        <f>'[1]Adubos e corretivos'!G52</f>
        <v>0</v>
      </c>
      <c r="AA149" s="305">
        <f>'[1]Adubos e corretivos'!H52</f>
        <v>0</v>
      </c>
      <c r="AB149" s="305">
        <f>'[1]Adubos e corretivos'!I52</f>
        <v>0</v>
      </c>
      <c r="AC149" s="305">
        <f>'[1]Adubos e corretivos'!J52</f>
        <v>0</v>
      </c>
      <c r="AD149" s="305">
        <f>'[1]Adubos e corretivos'!K52</f>
        <v>0</v>
      </c>
      <c r="AE149" s="305">
        <f>'[1]Adubos e corretivos'!L52</f>
        <v>0</v>
      </c>
      <c r="AF149" s="305">
        <f>'[1]Adubos e corretivos'!M52</f>
        <v>0</v>
      </c>
      <c r="AG149" s="305">
        <f>'[1]Adubos e corretivos'!N52</f>
        <v>0</v>
      </c>
      <c r="AH149" s="305">
        <f>'[1]Adubos e corretivos'!O52</f>
        <v>0</v>
      </c>
      <c r="AI149" s="305">
        <f>'[1]Adubos e corretivos'!P52</f>
        <v>0</v>
      </c>
      <c r="AJ149" s="305">
        <f>'[1]Adubos e corretivos'!Q52</f>
        <v>0</v>
      </c>
      <c r="AK149" s="305">
        <f>'[1]Adubos e corretivos'!R52</f>
        <v>0</v>
      </c>
      <c r="AL149" s="305">
        <f>'[1]Adubos e corretivos'!S52</f>
        <v>0</v>
      </c>
      <c r="AM149" s="305">
        <f>'[1]Adubos e corretivos'!T52</f>
        <v>0</v>
      </c>
      <c r="AN149" s="305">
        <f>'[1]Adubos e corretivos'!U52</f>
        <v>0</v>
      </c>
      <c r="AO149" s="305">
        <f>'[1]Adubos e corretivos'!V52</f>
        <v>0</v>
      </c>
    </row>
    <row r="150" spans="11:41" ht="19.5" customHeight="1" x14ac:dyDescent="0.25">
      <c r="U150" s="536"/>
      <c r="V150" s="305">
        <f>'[1]Adubos e corretivos'!C53</f>
        <v>0</v>
      </c>
      <c r="W150" s="305">
        <f>'[1]Adubos e corretivos'!D53</f>
        <v>0</v>
      </c>
      <c r="X150" s="305">
        <f>'[1]Adubos e corretivos'!E53</f>
        <v>0</v>
      </c>
      <c r="Y150" s="305">
        <f>'[1]Adubos e corretivos'!F53</f>
        <v>0</v>
      </c>
      <c r="Z150" s="305">
        <f>'[1]Adubos e corretivos'!G53</f>
        <v>0</v>
      </c>
      <c r="AA150" s="305">
        <f>'[1]Adubos e corretivos'!H53</f>
        <v>0</v>
      </c>
      <c r="AB150" s="305">
        <f>'[1]Adubos e corretivos'!I53</f>
        <v>0</v>
      </c>
      <c r="AC150" s="305">
        <f>'[1]Adubos e corretivos'!J53</f>
        <v>0</v>
      </c>
      <c r="AD150" s="305">
        <f>'[1]Adubos e corretivos'!K53</f>
        <v>0</v>
      </c>
      <c r="AE150" s="305">
        <f>'[1]Adubos e corretivos'!L53</f>
        <v>0</v>
      </c>
      <c r="AF150" s="305">
        <f>'[1]Adubos e corretivos'!M53</f>
        <v>0</v>
      </c>
      <c r="AG150" s="305">
        <f>'[1]Adubos e corretivos'!N53</f>
        <v>0</v>
      </c>
      <c r="AH150" s="305">
        <f>'[1]Adubos e corretivos'!O53</f>
        <v>0</v>
      </c>
      <c r="AI150" s="305">
        <f>'[1]Adubos e corretivos'!P53</f>
        <v>0</v>
      </c>
      <c r="AJ150" s="305">
        <f>'[1]Adubos e corretivos'!Q53</f>
        <v>0</v>
      </c>
      <c r="AK150" s="305">
        <f>'[1]Adubos e corretivos'!R53</f>
        <v>0</v>
      </c>
      <c r="AL150" s="305">
        <f>'[1]Adubos e corretivos'!S53</f>
        <v>0</v>
      </c>
      <c r="AM150" s="305">
        <f>'[1]Adubos e corretivos'!T53</f>
        <v>0</v>
      </c>
      <c r="AN150" s="305">
        <f>'[1]Adubos e corretivos'!U53</f>
        <v>0</v>
      </c>
      <c r="AO150" s="305">
        <f>'[1]Adubos e corretivos'!V53</f>
        <v>0</v>
      </c>
    </row>
    <row r="151" spans="11:41" ht="19.5" customHeight="1" x14ac:dyDescent="0.25">
      <c r="U151" s="543" t="s">
        <v>150</v>
      </c>
      <c r="V151" s="305" t="str">
        <f>'[1]Adubos e corretivos'!C54</f>
        <v>EkoSil</v>
      </c>
      <c r="W151" s="305">
        <f>'[1]Adubos e corretivos'!D54</f>
        <v>0</v>
      </c>
      <c r="X151" s="305">
        <f>'[1]Adubos e corretivos'!E54</f>
        <v>0</v>
      </c>
      <c r="Y151" s="305">
        <f>'[1]Adubos e corretivos'!F54</f>
        <v>0</v>
      </c>
      <c r="Z151" s="305">
        <f>'[1]Adubos e corretivos'!G54</f>
        <v>0</v>
      </c>
      <c r="AA151" s="305">
        <f>'[1]Adubos e corretivos'!H54</f>
        <v>6.65</v>
      </c>
      <c r="AB151" s="305">
        <f>'[1]Adubos e corretivos'!I54</f>
        <v>8</v>
      </c>
      <c r="AC151" s="305">
        <f>'[1]Adubos e corretivos'!J54</f>
        <v>1.5</v>
      </c>
      <c r="AD151" s="305">
        <f>'[1]Adubos e corretivos'!K54</f>
        <v>0.2</v>
      </c>
      <c r="AE151" s="305">
        <f>'[1]Adubos e corretivos'!L54</f>
        <v>0</v>
      </c>
      <c r="AF151" s="305">
        <f>'[1]Adubos e corretivos'!M54</f>
        <v>6.4999999999999994E-5</v>
      </c>
      <c r="AG151" s="305">
        <f>'[1]Adubos e corretivos'!N54</f>
        <v>6.4999999999999994E-5</v>
      </c>
      <c r="AH151" s="305">
        <f>'[1]Adubos e corretivos'!O54</f>
        <v>1.25E-4</v>
      </c>
      <c r="AI151" s="305">
        <f>'[1]Adubos e corretivos'!P54</f>
        <v>1.4E-5</v>
      </c>
      <c r="AJ151" s="305">
        <f>'[1]Adubos e corretivos'!Q54</f>
        <v>7.9999999999999996E-6</v>
      </c>
      <c r="AK151" s="305">
        <f>'[1]Adubos e corretivos'!R54</f>
        <v>0</v>
      </c>
      <c r="AL151" s="305">
        <f>'[1]Adubos e corretivos'!S54</f>
        <v>54</v>
      </c>
      <c r="AM151" s="305">
        <f>'[1]Adubos e corretivos'!T54</f>
        <v>0</v>
      </c>
      <c r="AN151" s="305">
        <f>'[1]Adubos e corretivos'!U54</f>
        <v>0</v>
      </c>
      <c r="AO151" s="305">
        <f>'[1]Adubos e corretivos'!V54</f>
        <v>0</v>
      </c>
    </row>
    <row r="152" spans="11:41" ht="19.5" customHeight="1" x14ac:dyDescent="0.25">
      <c r="U152" s="543"/>
      <c r="V152" s="305" t="str">
        <f>'[1]Adubos e corretivos'!C55</f>
        <v>FNR Fertipar</v>
      </c>
      <c r="W152" s="305">
        <f>'[1]Adubos e corretivos'!D55</f>
        <v>0</v>
      </c>
      <c r="X152" s="305">
        <f>'[1]Adubos e corretivos'!E55</f>
        <v>0</v>
      </c>
      <c r="Y152" s="305">
        <f>'[1]Adubos e corretivos'!F55</f>
        <v>12.67</v>
      </c>
      <c r="Z152" s="305">
        <f>'[1]Adubos e corretivos'!G55</f>
        <v>29</v>
      </c>
      <c r="AA152" s="305">
        <f>'[1]Adubos e corretivos'!H55</f>
        <v>0</v>
      </c>
      <c r="AB152" s="305">
        <f>'[1]Adubos e corretivos'!I55</f>
        <v>0</v>
      </c>
      <c r="AC152" s="305">
        <f>'[1]Adubos e corretivos'!J55</f>
        <v>0</v>
      </c>
      <c r="AD152" s="305">
        <f>'[1]Adubos e corretivos'!K55</f>
        <v>0</v>
      </c>
      <c r="AE152" s="305">
        <f>'[1]Adubos e corretivos'!L55</f>
        <v>0</v>
      </c>
      <c r="AF152" s="305">
        <f>'[1]Adubos e corretivos'!M55</f>
        <v>0</v>
      </c>
      <c r="AG152" s="305">
        <f>'[1]Adubos e corretivos'!N55</f>
        <v>0</v>
      </c>
      <c r="AH152" s="305">
        <f>'[1]Adubos e corretivos'!O55</f>
        <v>0</v>
      </c>
      <c r="AI152" s="305">
        <f>'[1]Adubos e corretivos'!P55</f>
        <v>0</v>
      </c>
      <c r="AJ152" s="305">
        <f>'[1]Adubos e corretivos'!Q55</f>
        <v>0</v>
      </c>
      <c r="AK152" s="305">
        <f>'[1]Adubos e corretivos'!R55</f>
        <v>0</v>
      </c>
      <c r="AL152" s="305">
        <f>'[1]Adubos e corretivos'!S55</f>
        <v>0</v>
      </c>
      <c r="AM152" s="305">
        <f>'[1]Adubos e corretivos'!T55</f>
        <v>0</v>
      </c>
      <c r="AN152" s="305">
        <f>'[1]Adubos e corretivos'!U55</f>
        <v>0</v>
      </c>
      <c r="AO152" s="305">
        <f>'[1]Adubos e corretivos'!V55</f>
        <v>0</v>
      </c>
    </row>
    <row r="153" spans="11:41" ht="19.5" customHeight="1" x14ac:dyDescent="0.25">
      <c r="U153" s="543"/>
      <c r="V153" s="305" t="str">
        <f>'[1]Adubos e corretivos'!C56</f>
        <v>FNR Heringer</v>
      </c>
      <c r="W153" s="305">
        <f>'[1]Adubos e corretivos'!D56</f>
        <v>0</v>
      </c>
      <c r="X153" s="305">
        <f>'[1]Adubos e corretivos'!E56</f>
        <v>0</v>
      </c>
      <c r="Y153" s="305">
        <f>'[1]Adubos e corretivos'!F56</f>
        <v>13.11</v>
      </c>
      <c r="Z153" s="305">
        <f>'[1]Adubos e corretivos'!G56</f>
        <v>30</v>
      </c>
      <c r="AA153" s="305">
        <f>'[1]Adubos e corretivos'!H56</f>
        <v>0</v>
      </c>
      <c r="AB153" s="305">
        <f>'[1]Adubos e corretivos'!I56</f>
        <v>0</v>
      </c>
      <c r="AC153" s="305">
        <f>'[1]Adubos e corretivos'!J56</f>
        <v>0</v>
      </c>
      <c r="AD153" s="305">
        <f>'[1]Adubos e corretivos'!K56</f>
        <v>0</v>
      </c>
      <c r="AE153" s="305">
        <f>'[1]Adubos e corretivos'!L56</f>
        <v>0</v>
      </c>
      <c r="AF153" s="305">
        <f>'[1]Adubos e corretivos'!M56</f>
        <v>0</v>
      </c>
      <c r="AG153" s="305">
        <f>'[1]Adubos e corretivos'!N56</f>
        <v>0</v>
      </c>
      <c r="AH153" s="305">
        <f>'[1]Adubos e corretivos'!O56</f>
        <v>0</v>
      </c>
      <c r="AI153" s="305">
        <f>'[1]Adubos e corretivos'!P56</f>
        <v>0</v>
      </c>
      <c r="AJ153" s="305">
        <f>'[1]Adubos e corretivos'!Q56</f>
        <v>0</v>
      </c>
      <c r="AK153" s="305">
        <f>'[1]Adubos e corretivos'!R56</f>
        <v>0</v>
      </c>
      <c r="AL153" s="305">
        <f>'[1]Adubos e corretivos'!S56</f>
        <v>0</v>
      </c>
      <c r="AM153" s="305">
        <f>'[1]Adubos e corretivos'!T56</f>
        <v>0</v>
      </c>
      <c r="AN153" s="305">
        <f>'[1]Adubos e corretivos'!U56</f>
        <v>0</v>
      </c>
      <c r="AO153" s="305">
        <f>'[1]Adubos e corretivos'!V56</f>
        <v>0</v>
      </c>
    </row>
    <row r="154" spans="11:41" ht="19.5" customHeight="1" x14ac:dyDescent="0.25">
      <c r="K154" s="215"/>
      <c r="U154" s="543"/>
      <c r="V154" s="305" t="str">
        <f>'[1]Adubos e corretivos'!C57</f>
        <v>FNR Paulivida</v>
      </c>
      <c r="W154" s="305">
        <f>'[1]Adubos e corretivos'!D57</f>
        <v>0</v>
      </c>
      <c r="X154" s="305">
        <f>'[1]Adubos e corretivos'!E57</f>
        <v>0</v>
      </c>
      <c r="Y154" s="305">
        <f>'[1]Adubos e corretivos'!F57</f>
        <v>11.8</v>
      </c>
      <c r="Z154" s="305">
        <f>'[1]Adubos e corretivos'!G57</f>
        <v>27</v>
      </c>
      <c r="AA154" s="305">
        <f>'[1]Adubos e corretivos'!H57</f>
        <v>0</v>
      </c>
      <c r="AB154" s="305">
        <f>'[1]Adubos e corretivos'!I57</f>
        <v>0</v>
      </c>
      <c r="AC154" s="305">
        <f>'[1]Adubos e corretivos'!J57</f>
        <v>0</v>
      </c>
      <c r="AD154" s="305">
        <f>'[1]Adubos e corretivos'!K57</f>
        <v>0</v>
      </c>
      <c r="AE154" s="305">
        <f>'[1]Adubos e corretivos'!L57</f>
        <v>0</v>
      </c>
      <c r="AF154" s="305">
        <f>'[1]Adubos e corretivos'!M57</f>
        <v>0</v>
      </c>
      <c r="AG154" s="305">
        <f>'[1]Adubos e corretivos'!N57</f>
        <v>0</v>
      </c>
      <c r="AH154" s="305">
        <f>'[1]Adubos e corretivos'!O57</f>
        <v>0</v>
      </c>
      <c r="AI154" s="305">
        <f>'[1]Adubos e corretivos'!P57</f>
        <v>0</v>
      </c>
      <c r="AJ154" s="305">
        <f>'[1]Adubos e corretivos'!Q57</f>
        <v>0</v>
      </c>
      <c r="AK154" s="305">
        <f>'[1]Adubos e corretivos'!R57</f>
        <v>0</v>
      </c>
      <c r="AL154" s="305">
        <f>'[1]Adubos e corretivos'!S57</f>
        <v>0</v>
      </c>
      <c r="AM154" s="305">
        <f>'[1]Adubos e corretivos'!T57</f>
        <v>0</v>
      </c>
      <c r="AN154" s="305">
        <f>'[1]Adubos e corretivos'!U57</f>
        <v>0</v>
      </c>
      <c r="AO154" s="305">
        <f>'[1]Adubos e corretivos'!V57</f>
        <v>0</v>
      </c>
    </row>
    <row r="155" spans="11:41" ht="19.5" customHeight="1" x14ac:dyDescent="0.25">
      <c r="K155" s="215"/>
      <c r="U155" s="543"/>
      <c r="V155" s="305" t="str">
        <f>'[1]Adubos e corretivos'!C58</f>
        <v>Agroffos Agronelli</v>
      </c>
      <c r="W155" s="305">
        <f>'[1]Adubos e corretivos'!D58</f>
        <v>0</v>
      </c>
      <c r="X155" s="305">
        <f>'[1]Adubos e corretivos'!E58</f>
        <v>0</v>
      </c>
      <c r="Y155" s="305">
        <f>'[1]Adubos e corretivos'!F58</f>
        <v>6.1150000000000002</v>
      </c>
      <c r="Z155" s="305">
        <f>'[1]Adubos e corretivos'!G58</f>
        <v>14</v>
      </c>
      <c r="AA155" s="305">
        <f>'[1]Adubos e corretivos'!H58</f>
        <v>0</v>
      </c>
      <c r="AB155" s="305">
        <f>'[1]Adubos e corretivos'!I58</f>
        <v>0</v>
      </c>
      <c r="AC155" s="305">
        <f>'[1]Adubos e corretivos'!J58</f>
        <v>0</v>
      </c>
      <c r="AD155" s="305">
        <f>'[1]Adubos e corretivos'!K58</f>
        <v>0</v>
      </c>
      <c r="AE155" s="305">
        <f>'[1]Adubos e corretivos'!L58</f>
        <v>0</v>
      </c>
      <c r="AF155" s="305">
        <f>'[1]Adubos e corretivos'!M58</f>
        <v>0</v>
      </c>
      <c r="AG155" s="305">
        <f>'[1]Adubos e corretivos'!N58</f>
        <v>0</v>
      </c>
      <c r="AH155" s="305">
        <f>'[1]Adubos e corretivos'!O58</f>
        <v>0</v>
      </c>
      <c r="AI155" s="305">
        <f>'[1]Adubos e corretivos'!P58</f>
        <v>0</v>
      </c>
      <c r="AJ155" s="305">
        <f>'[1]Adubos e corretivos'!Q58</f>
        <v>0</v>
      </c>
      <c r="AK155" s="305">
        <f>'[1]Adubos e corretivos'!R58</f>
        <v>0</v>
      </c>
      <c r="AL155" s="305">
        <f>'[1]Adubos e corretivos'!S58</f>
        <v>0</v>
      </c>
      <c r="AM155" s="305">
        <f>'[1]Adubos e corretivos'!T58</f>
        <v>0</v>
      </c>
      <c r="AN155" s="305">
        <f>'[1]Adubos e corretivos'!U58</f>
        <v>0</v>
      </c>
      <c r="AO155" s="305">
        <f>'[1]Adubos e corretivos'!V58</f>
        <v>0</v>
      </c>
    </row>
    <row r="156" spans="11:41" ht="19.5" customHeight="1" x14ac:dyDescent="0.25">
      <c r="K156" s="215"/>
      <c r="U156" s="543"/>
      <c r="V156" s="305" t="str">
        <f>'[1]Adubos e corretivos'!C59</f>
        <v>Suphaphos</v>
      </c>
      <c r="W156" s="305">
        <f>'[1]Adubos e corretivos'!D59</f>
        <v>0</v>
      </c>
      <c r="X156" s="305">
        <f>'[1]Adubos e corretivos'!E59</f>
        <v>0</v>
      </c>
      <c r="Y156" s="305">
        <f>'[1]Adubos e corretivos'!F59</f>
        <v>6.1150000000000002</v>
      </c>
      <c r="Z156" s="305">
        <f>'[1]Adubos e corretivos'!G59</f>
        <v>14</v>
      </c>
      <c r="AA156" s="305">
        <f>'[1]Adubos e corretivos'!H59</f>
        <v>0</v>
      </c>
      <c r="AB156" s="305">
        <f>'[1]Adubos e corretivos'!I59</f>
        <v>0</v>
      </c>
      <c r="AC156" s="305">
        <f>'[1]Adubos e corretivos'!J59</f>
        <v>12</v>
      </c>
      <c r="AD156" s="305">
        <f>'[1]Adubos e corretivos'!K59</f>
        <v>0</v>
      </c>
      <c r="AE156" s="305">
        <f>'[1]Adubos e corretivos'!L59</f>
        <v>0</v>
      </c>
      <c r="AF156" s="305">
        <f>'[1]Adubos e corretivos'!M59</f>
        <v>0</v>
      </c>
      <c r="AG156" s="305">
        <f>'[1]Adubos e corretivos'!N59</f>
        <v>0</v>
      </c>
      <c r="AH156" s="305">
        <f>'[1]Adubos e corretivos'!O59</f>
        <v>0</v>
      </c>
      <c r="AI156" s="305">
        <f>'[1]Adubos e corretivos'!P59</f>
        <v>0</v>
      </c>
      <c r="AJ156" s="305">
        <f>'[1]Adubos e corretivos'!Q59</f>
        <v>0</v>
      </c>
      <c r="AK156" s="305">
        <f>'[1]Adubos e corretivos'!R59</f>
        <v>0</v>
      </c>
      <c r="AL156" s="305">
        <f>'[1]Adubos e corretivos'!S59</f>
        <v>0</v>
      </c>
      <c r="AM156" s="305">
        <f>'[1]Adubos e corretivos'!T59</f>
        <v>0</v>
      </c>
      <c r="AN156" s="305">
        <f>'[1]Adubos e corretivos'!U59</f>
        <v>0</v>
      </c>
      <c r="AO156" s="305">
        <f>'[1]Adubos e corretivos'!V59</f>
        <v>0</v>
      </c>
    </row>
    <row r="157" spans="11:41" ht="19.5" customHeight="1" x14ac:dyDescent="0.25">
      <c r="K157" s="215"/>
      <c r="U157" s="543"/>
      <c r="V157" s="305" t="str">
        <f>'[1]Adubos e corretivos'!C60</f>
        <v>Potomag Nutrisafra</v>
      </c>
      <c r="W157" s="305">
        <f>'[1]Adubos e corretivos'!D60</f>
        <v>0</v>
      </c>
      <c r="X157" s="305">
        <f>'[1]Adubos e corretivos'!E60</f>
        <v>0</v>
      </c>
      <c r="Y157" s="305">
        <f>'[1]Adubos e corretivos'!F60</f>
        <v>0</v>
      </c>
      <c r="Z157" s="305">
        <f>'[1]Adubos e corretivos'!G60</f>
        <v>0</v>
      </c>
      <c r="AA157" s="305">
        <f>'[1]Adubos e corretivos'!H60</f>
        <v>18.27</v>
      </c>
      <c r="AB157" s="305">
        <f>'[1]Adubos e corretivos'!I60</f>
        <v>22</v>
      </c>
      <c r="AC157" s="305">
        <f>'[1]Adubos e corretivos'!J60</f>
        <v>0</v>
      </c>
      <c r="AD157" s="305">
        <f>'[1]Adubos e corretivos'!K60</f>
        <v>11</v>
      </c>
      <c r="AE157" s="305">
        <f>'[1]Adubos e corretivos'!L60</f>
        <v>22</v>
      </c>
      <c r="AF157" s="305">
        <f>'[1]Adubos e corretivos'!M60</f>
        <v>0</v>
      </c>
      <c r="AG157" s="305">
        <f>'[1]Adubos e corretivos'!N60</f>
        <v>0</v>
      </c>
      <c r="AH157" s="305">
        <f>'[1]Adubos e corretivos'!O60</f>
        <v>0</v>
      </c>
      <c r="AI157" s="305">
        <f>'[1]Adubos e corretivos'!P60</f>
        <v>0</v>
      </c>
      <c r="AJ157" s="305">
        <f>'[1]Adubos e corretivos'!Q60</f>
        <v>0</v>
      </c>
      <c r="AK157" s="305">
        <f>'[1]Adubos e corretivos'!R60</f>
        <v>0</v>
      </c>
      <c r="AL157" s="305">
        <f>'[1]Adubos e corretivos'!S60</f>
        <v>0</v>
      </c>
      <c r="AM157" s="305">
        <f>'[1]Adubos e corretivos'!T60</f>
        <v>0</v>
      </c>
      <c r="AN157" s="305">
        <f>'[1]Adubos e corretivos'!U60</f>
        <v>0</v>
      </c>
      <c r="AO157" s="305">
        <f>'[1]Adubos e corretivos'!V60</f>
        <v>0</v>
      </c>
    </row>
    <row r="158" spans="11:41" ht="19.5" customHeight="1" x14ac:dyDescent="0.25">
      <c r="K158" s="215"/>
      <c r="L158" s="215"/>
      <c r="U158" s="543"/>
      <c r="V158" s="305">
        <f>'[1]Adubos e corretivos'!C61</f>
        <v>0</v>
      </c>
      <c r="W158" s="305">
        <f>'[1]Adubos e corretivos'!D61</f>
        <v>0</v>
      </c>
      <c r="X158" s="305">
        <f>'[1]Adubos e corretivos'!E61</f>
        <v>0</v>
      </c>
      <c r="Y158" s="305">
        <f>'[1]Adubos e corretivos'!F61</f>
        <v>0</v>
      </c>
      <c r="Z158" s="305">
        <f>'[1]Adubos e corretivos'!G61</f>
        <v>0</v>
      </c>
      <c r="AA158" s="305">
        <f>'[1]Adubos e corretivos'!H61</f>
        <v>0</v>
      </c>
      <c r="AB158" s="305">
        <f>'[1]Adubos e corretivos'!I61</f>
        <v>0</v>
      </c>
      <c r="AC158" s="305">
        <f>'[1]Adubos e corretivos'!J61</f>
        <v>0</v>
      </c>
      <c r="AD158" s="305">
        <f>'[1]Adubos e corretivos'!K61</f>
        <v>0</v>
      </c>
      <c r="AE158" s="305">
        <f>'[1]Adubos e corretivos'!L61</f>
        <v>0</v>
      </c>
      <c r="AF158" s="305">
        <f>'[1]Adubos e corretivos'!M61</f>
        <v>0</v>
      </c>
      <c r="AG158" s="305">
        <f>'[1]Adubos e corretivos'!N61</f>
        <v>0</v>
      </c>
      <c r="AH158" s="305">
        <f>'[1]Adubos e corretivos'!O61</f>
        <v>0</v>
      </c>
      <c r="AI158" s="305">
        <f>'[1]Adubos e corretivos'!P61</f>
        <v>0</v>
      </c>
      <c r="AJ158" s="305">
        <f>'[1]Adubos e corretivos'!Q61</f>
        <v>0</v>
      </c>
      <c r="AK158" s="305">
        <f>'[1]Adubos e corretivos'!R61</f>
        <v>0</v>
      </c>
      <c r="AL158" s="305">
        <f>'[1]Adubos e corretivos'!S61</f>
        <v>0</v>
      </c>
      <c r="AM158" s="305">
        <f>'[1]Adubos e corretivos'!T61</f>
        <v>0</v>
      </c>
      <c r="AN158" s="305">
        <f>'[1]Adubos e corretivos'!U61</f>
        <v>0</v>
      </c>
      <c r="AO158" s="305">
        <f>'[1]Adubos e corretivos'!V61</f>
        <v>0</v>
      </c>
    </row>
    <row r="159" spans="11:41" ht="19.5" customHeight="1" x14ac:dyDescent="0.25">
      <c r="K159" s="215"/>
      <c r="L159" s="215"/>
      <c r="U159" s="543"/>
      <c r="V159" s="305">
        <f>'[1]Adubos e corretivos'!C62</f>
        <v>0</v>
      </c>
      <c r="W159" s="305">
        <f>'[1]Adubos e corretivos'!D62</f>
        <v>0</v>
      </c>
      <c r="X159" s="305">
        <f>'[1]Adubos e corretivos'!E62</f>
        <v>0</v>
      </c>
      <c r="Y159" s="305">
        <f>'[1]Adubos e corretivos'!F62</f>
        <v>0</v>
      </c>
      <c r="Z159" s="305">
        <f>'[1]Adubos e corretivos'!G62</f>
        <v>0</v>
      </c>
      <c r="AA159" s="305">
        <f>'[1]Adubos e corretivos'!H62</f>
        <v>0</v>
      </c>
      <c r="AB159" s="305">
        <f>'[1]Adubos e corretivos'!I62</f>
        <v>0</v>
      </c>
      <c r="AC159" s="305">
        <f>'[1]Adubos e corretivos'!J62</f>
        <v>0</v>
      </c>
      <c r="AD159" s="305">
        <f>'[1]Adubos e corretivos'!K62</f>
        <v>0</v>
      </c>
      <c r="AE159" s="305">
        <f>'[1]Adubos e corretivos'!L62</f>
        <v>0</v>
      </c>
      <c r="AF159" s="305">
        <f>'[1]Adubos e corretivos'!M62</f>
        <v>0</v>
      </c>
      <c r="AG159" s="305">
        <f>'[1]Adubos e corretivos'!N62</f>
        <v>0</v>
      </c>
      <c r="AH159" s="305">
        <f>'[1]Adubos e corretivos'!O62</f>
        <v>0</v>
      </c>
      <c r="AI159" s="305">
        <f>'[1]Adubos e corretivos'!P62</f>
        <v>0</v>
      </c>
      <c r="AJ159" s="305">
        <f>'[1]Adubos e corretivos'!Q62</f>
        <v>0</v>
      </c>
      <c r="AK159" s="305">
        <f>'[1]Adubos e corretivos'!R62</f>
        <v>0</v>
      </c>
      <c r="AL159" s="305">
        <f>'[1]Adubos e corretivos'!S62</f>
        <v>0</v>
      </c>
      <c r="AM159" s="305">
        <f>'[1]Adubos e corretivos'!T62</f>
        <v>0</v>
      </c>
      <c r="AN159" s="305">
        <f>'[1]Adubos e corretivos'!U62</f>
        <v>0</v>
      </c>
      <c r="AO159" s="305">
        <f>'[1]Adubos e corretivos'!V62</f>
        <v>0</v>
      </c>
    </row>
    <row r="160" spans="11:41" ht="19.5" customHeight="1" x14ac:dyDescent="0.25">
      <c r="K160" s="215"/>
      <c r="L160" s="215"/>
      <c r="U160" s="544" t="s">
        <v>283</v>
      </c>
      <c r="V160" s="305" t="str">
        <f>'[1]Adubos e corretivos'!C63</f>
        <v>Micaxisto</v>
      </c>
      <c r="W160" s="305">
        <f>'[1]Adubos e corretivos'!D63</f>
        <v>0.12</v>
      </c>
      <c r="X160" s="305">
        <f>'[1]Adubos e corretivos'!E63</f>
        <v>0</v>
      </c>
      <c r="Y160" s="305">
        <f>'[1]Adubos e corretivos'!F63</f>
        <v>4.4999999999999998E-2</v>
      </c>
      <c r="Z160" s="305">
        <f>'[1]Adubos e corretivos'!G63</f>
        <v>0.1</v>
      </c>
      <c r="AA160" s="305">
        <f>'[1]Adubos e corretivos'!H63</f>
        <v>4.32</v>
      </c>
      <c r="AB160" s="305">
        <f>'[1]Adubos e corretivos'!I63</f>
        <v>5.2</v>
      </c>
      <c r="AC160" s="305">
        <f>'[1]Adubos e corretivos'!J63</f>
        <v>1.2587412587412588</v>
      </c>
      <c r="AD160" s="305">
        <f>'[1]Adubos e corretivos'!K63</f>
        <v>1.1627906976744187</v>
      </c>
      <c r="AE160" s="305">
        <f>'[1]Adubos e corretivos'!L63</f>
        <v>0</v>
      </c>
      <c r="AF160" s="305">
        <f>'[1]Adubos e corretivos'!M63</f>
        <v>0</v>
      </c>
      <c r="AG160" s="305">
        <f>'[1]Adubos e corretivos'!N63</f>
        <v>0</v>
      </c>
      <c r="AH160" s="305">
        <f>'[1]Adubos e corretivos'!O63</f>
        <v>0</v>
      </c>
      <c r="AI160" s="305">
        <f>'[1]Adubos e corretivos'!P63</f>
        <v>0</v>
      </c>
      <c r="AJ160" s="305">
        <f>'[1]Adubos e corretivos'!Q63</f>
        <v>0</v>
      </c>
      <c r="AK160" s="305">
        <f>'[1]Adubos e corretivos'!R63</f>
        <v>0</v>
      </c>
      <c r="AL160" s="305">
        <f>'[1]Adubos e corretivos'!S63</f>
        <v>0</v>
      </c>
      <c r="AM160" s="305">
        <f>'[1]Adubos e corretivos'!T63</f>
        <v>0</v>
      </c>
      <c r="AN160" s="305">
        <f>'[1]Adubos e corretivos'!U63</f>
        <v>0</v>
      </c>
      <c r="AO160" s="305">
        <f>'[1]Adubos e corretivos'!V63</f>
        <v>0</v>
      </c>
    </row>
    <row r="161" spans="11:44" ht="19.5" customHeight="1" x14ac:dyDescent="0.25">
      <c r="K161" s="215"/>
      <c r="L161" s="215"/>
      <c r="U161" s="544"/>
      <c r="V161" s="305" t="str">
        <f>'[1]Adubos e corretivos'!C64</f>
        <v xml:space="preserve"> Remax Mistel</v>
      </c>
      <c r="W161" s="305">
        <f>'[1]Adubos e corretivos'!D64</f>
        <v>0</v>
      </c>
      <c r="X161" s="305">
        <f>'[1]Adubos e corretivos'!E64</f>
        <v>0</v>
      </c>
      <c r="Y161" s="305">
        <f>'[1]Adubos e corretivos'!F64</f>
        <v>4.4999999999999998E-2</v>
      </c>
      <c r="Z161" s="305">
        <f>'[1]Adubos e corretivos'!G64</f>
        <v>0.1</v>
      </c>
      <c r="AA161" s="305">
        <f>'[1]Adubos e corretivos'!H64</f>
        <v>2.1949999999999998</v>
      </c>
      <c r="AB161" s="305">
        <f>'[1]Adubos e corretivos'!I64</f>
        <v>2.6</v>
      </c>
      <c r="AC161" s="305">
        <f>'[1]Adubos e corretivos'!J64</f>
        <v>18.741258741258743</v>
      </c>
      <c r="AD161" s="305">
        <f>'[1]Adubos e corretivos'!K64</f>
        <v>12.44186046511628</v>
      </c>
      <c r="AE161" s="305">
        <f>'[1]Adubos e corretivos'!L64</f>
        <v>0</v>
      </c>
      <c r="AF161" s="305">
        <f>'[1]Adubos e corretivos'!M64</f>
        <v>0</v>
      </c>
      <c r="AG161" s="305">
        <f>'[1]Adubos e corretivos'!N64</f>
        <v>0</v>
      </c>
      <c r="AH161" s="305">
        <f>'[1]Adubos e corretivos'!O64</f>
        <v>0</v>
      </c>
      <c r="AI161" s="305">
        <f>'[1]Adubos e corretivos'!P64</f>
        <v>0</v>
      </c>
      <c r="AJ161" s="305">
        <f>'[1]Adubos e corretivos'!Q64</f>
        <v>0</v>
      </c>
      <c r="AK161" s="305">
        <f>'[1]Adubos e corretivos'!R64</f>
        <v>0</v>
      </c>
      <c r="AL161" s="305">
        <f>'[1]Adubos e corretivos'!S64</f>
        <v>43.8</v>
      </c>
      <c r="AM161" s="305">
        <f>'[1]Adubos e corretivos'!T64</f>
        <v>0</v>
      </c>
      <c r="AN161" s="305">
        <f>'[1]Adubos e corretivos'!U64</f>
        <v>0</v>
      </c>
      <c r="AO161" s="305">
        <f>'[1]Adubos e corretivos'!V64</f>
        <v>0</v>
      </c>
    </row>
    <row r="162" spans="11:44" ht="19.5" customHeight="1" x14ac:dyDescent="0.25">
      <c r="K162" s="215"/>
      <c r="L162" s="215"/>
      <c r="U162" s="544"/>
      <c r="V162" s="305" t="str">
        <f>'[1]Adubos e corretivos'!C65</f>
        <v>Pó de brita Fmx</v>
      </c>
      <c r="W162" s="305">
        <f>'[1]Adubos e corretivos'!D65</f>
        <v>0</v>
      </c>
      <c r="X162" s="305">
        <f>'[1]Adubos e corretivos'!E65</f>
        <v>0</v>
      </c>
      <c r="Y162" s="305">
        <f>'[1]Adubos e corretivos'!F65</f>
        <v>0</v>
      </c>
      <c r="Z162" s="305">
        <f>'[1]Adubos e corretivos'!G65</f>
        <v>0</v>
      </c>
      <c r="AA162" s="305">
        <f>'[1]Adubos e corretivos'!H65</f>
        <v>4.99</v>
      </c>
      <c r="AB162" s="305">
        <f>'[1]Adubos e corretivos'!I65</f>
        <v>6</v>
      </c>
      <c r="AC162" s="305">
        <f>'[1]Adubos e corretivos'!J65</f>
        <v>4.1958041958041958</v>
      </c>
      <c r="AD162" s="305">
        <f>'[1]Adubos e corretivos'!K65</f>
        <v>0.83056478405315615</v>
      </c>
      <c r="AE162" s="305">
        <f>'[1]Adubos e corretivos'!L65</f>
        <v>0</v>
      </c>
      <c r="AF162" s="305">
        <f>'[1]Adubos e corretivos'!M65</f>
        <v>0</v>
      </c>
      <c r="AG162" s="305">
        <f>'[1]Adubos e corretivos'!N65</f>
        <v>0</v>
      </c>
      <c r="AH162" s="305">
        <f>'[1]Adubos e corretivos'!O65</f>
        <v>0</v>
      </c>
      <c r="AI162" s="305">
        <f>'[1]Adubos e corretivos'!P65</f>
        <v>0</v>
      </c>
      <c r="AJ162" s="305">
        <f>'[1]Adubos e corretivos'!Q65</f>
        <v>0</v>
      </c>
      <c r="AK162" s="305">
        <f>'[1]Adubos e corretivos'!R65</f>
        <v>0</v>
      </c>
      <c r="AL162" s="305">
        <f>'[1]Adubos e corretivos'!S65</f>
        <v>0</v>
      </c>
      <c r="AM162" s="305">
        <f>'[1]Adubos e corretivos'!T65</f>
        <v>0</v>
      </c>
      <c r="AN162" s="305">
        <f>'[1]Adubos e corretivos'!U65</f>
        <v>0</v>
      </c>
      <c r="AO162" s="305">
        <f>'[1]Adubos e corretivos'!V65</f>
        <v>0</v>
      </c>
    </row>
    <row r="163" spans="11:44" ht="19.5" customHeight="1" x14ac:dyDescent="0.25">
      <c r="K163" s="215"/>
      <c r="L163" s="215"/>
      <c r="U163" s="544"/>
      <c r="V163" s="305" t="str">
        <f>'[1]Adubos e corretivos'!C66</f>
        <v>Biotita Xisto</v>
      </c>
      <c r="W163" s="305">
        <f>'[1]Adubos e corretivos'!D66</f>
        <v>0</v>
      </c>
      <c r="X163" s="305">
        <f>'[1]Adubos e corretivos'!E66</f>
        <v>0</v>
      </c>
      <c r="Y163" s="305">
        <f>'[1]Adubos e corretivos'!F66</f>
        <v>8.7999999999999995E-2</v>
      </c>
      <c r="Z163" s="305">
        <f>'[1]Adubos e corretivos'!G66</f>
        <v>0.2</v>
      </c>
      <c r="AA163" s="305">
        <f>'[1]Adubos e corretivos'!H66</f>
        <v>2.83</v>
      </c>
      <c r="AB163" s="305">
        <f>'[1]Adubos e corretivos'!I66</f>
        <v>3.4</v>
      </c>
      <c r="AC163" s="305">
        <f>'[1]Adubos e corretivos'!J66</f>
        <v>2.5174825174825175</v>
      </c>
      <c r="AD163" s="305">
        <f>'[1]Adubos e corretivos'!K66</f>
        <v>7.6411960132890364</v>
      </c>
      <c r="AE163" s="305">
        <f>'[1]Adubos e corretivos'!L66</f>
        <v>0</v>
      </c>
      <c r="AF163" s="305">
        <f>'[1]Adubos e corretivos'!M66</f>
        <v>0</v>
      </c>
      <c r="AG163" s="305">
        <f>'[1]Adubos e corretivos'!N66</f>
        <v>0</v>
      </c>
      <c r="AH163" s="305">
        <f>'[1]Adubos e corretivos'!O66</f>
        <v>0</v>
      </c>
      <c r="AI163" s="305">
        <f>'[1]Adubos e corretivos'!P66</f>
        <v>0</v>
      </c>
      <c r="AJ163" s="305">
        <f>'[1]Adubos e corretivos'!Q66</f>
        <v>0</v>
      </c>
      <c r="AK163" s="305">
        <f>'[1]Adubos e corretivos'!R66</f>
        <v>0</v>
      </c>
      <c r="AL163" s="305">
        <f>'[1]Adubos e corretivos'!S66</f>
        <v>57.8</v>
      </c>
      <c r="AM163" s="305">
        <f>'[1]Adubos e corretivos'!T66</f>
        <v>0</v>
      </c>
      <c r="AN163" s="305">
        <f>'[1]Adubos e corretivos'!U66</f>
        <v>0</v>
      </c>
      <c r="AO163" s="305">
        <f>'[1]Adubos e corretivos'!V66</f>
        <v>0</v>
      </c>
    </row>
    <row r="164" spans="11:44" ht="19.5" customHeight="1" x14ac:dyDescent="0.25">
      <c r="K164" s="215"/>
      <c r="L164" s="215"/>
      <c r="U164" s="544"/>
      <c r="V164" s="305" t="str">
        <f>'[1]Adubos e corretivos'!C67</f>
        <v>Kamafugito</v>
      </c>
      <c r="W164" s="305">
        <f>'[1]Adubos e corretivos'!D67</f>
        <v>0</v>
      </c>
      <c r="X164" s="305">
        <f>'[1]Adubos e corretivos'!E67</f>
        <v>0</v>
      </c>
      <c r="Y164" s="305">
        <f>'[1]Adubos e corretivos'!F67</f>
        <v>1.5069999999999999</v>
      </c>
      <c r="Z164" s="305">
        <f>'[1]Adubos e corretivos'!G67</f>
        <v>3.5</v>
      </c>
      <c r="AA164" s="305">
        <f>'[1]Adubos e corretivos'!H67</f>
        <v>3.3250000000000002</v>
      </c>
      <c r="AB164" s="305">
        <f>'[1]Adubos e corretivos'!I67</f>
        <v>4</v>
      </c>
      <c r="AC164" s="305">
        <f>'[1]Adubos e corretivos'!J67</f>
        <v>2.86</v>
      </c>
      <c r="AD164" s="305">
        <f>'[1]Adubos e corretivos'!K67</f>
        <v>0</v>
      </c>
      <c r="AE164" s="305">
        <f>'[1]Adubos e corretivos'!L67</f>
        <v>0</v>
      </c>
      <c r="AF164" s="305">
        <f>'[1]Adubos e corretivos'!M67</f>
        <v>0</v>
      </c>
      <c r="AG164" s="305">
        <f>'[1]Adubos e corretivos'!N67</f>
        <v>0</v>
      </c>
      <c r="AH164" s="305">
        <f>'[1]Adubos e corretivos'!O67</f>
        <v>0</v>
      </c>
      <c r="AI164" s="305">
        <f>'[1]Adubos e corretivos'!P67</f>
        <v>0</v>
      </c>
      <c r="AJ164" s="305">
        <f>'[1]Adubos e corretivos'!Q67</f>
        <v>0</v>
      </c>
      <c r="AK164" s="305">
        <f>'[1]Adubos e corretivos'!R67</f>
        <v>0</v>
      </c>
      <c r="AL164" s="305">
        <f>'[1]Adubos e corretivos'!S67</f>
        <v>0</v>
      </c>
      <c r="AM164" s="305">
        <f>'[1]Adubos e corretivos'!T67</f>
        <v>0</v>
      </c>
      <c r="AN164" s="305">
        <f>'[1]Adubos e corretivos'!U67</f>
        <v>0</v>
      </c>
      <c r="AO164" s="305">
        <f>'[1]Adubos e corretivos'!V67</f>
        <v>0</v>
      </c>
    </row>
    <row r="165" spans="11:44" ht="19.5" customHeight="1" x14ac:dyDescent="0.25">
      <c r="K165" s="215"/>
      <c r="L165" s="215"/>
      <c r="U165" s="544"/>
      <c r="V165" s="305">
        <f>'[1]Adubos e corretivos'!C68</f>
        <v>0</v>
      </c>
      <c r="W165" s="305">
        <f>'[1]Adubos e corretivos'!D68</f>
        <v>0</v>
      </c>
      <c r="X165" s="305">
        <f>'[1]Adubos e corretivos'!E68</f>
        <v>0</v>
      </c>
      <c r="Y165" s="305">
        <f>'[1]Adubos e corretivos'!F68</f>
        <v>0</v>
      </c>
      <c r="Z165" s="305">
        <f>'[1]Adubos e corretivos'!G68</f>
        <v>0</v>
      </c>
      <c r="AA165" s="305">
        <f>'[1]Adubos e corretivos'!H68</f>
        <v>0</v>
      </c>
      <c r="AB165" s="305">
        <f>'[1]Adubos e corretivos'!I68</f>
        <v>0</v>
      </c>
      <c r="AC165" s="305">
        <f>'[1]Adubos e corretivos'!J68</f>
        <v>0</v>
      </c>
      <c r="AD165" s="305">
        <f>'[1]Adubos e corretivos'!K68</f>
        <v>0</v>
      </c>
      <c r="AE165" s="305">
        <f>'[1]Adubos e corretivos'!L68</f>
        <v>0</v>
      </c>
      <c r="AF165" s="305">
        <f>'[1]Adubos e corretivos'!M68</f>
        <v>0</v>
      </c>
      <c r="AG165" s="305">
        <f>'[1]Adubos e corretivos'!N68</f>
        <v>0</v>
      </c>
      <c r="AH165" s="305">
        <f>'[1]Adubos e corretivos'!O68</f>
        <v>0</v>
      </c>
      <c r="AI165" s="305">
        <f>'[1]Adubos e corretivos'!P68</f>
        <v>0</v>
      </c>
      <c r="AJ165" s="305">
        <f>'[1]Adubos e corretivos'!Q68</f>
        <v>0</v>
      </c>
      <c r="AK165" s="305">
        <f>'[1]Adubos e corretivos'!R68</f>
        <v>0</v>
      </c>
      <c r="AL165" s="305">
        <f>'[1]Adubos e corretivos'!S68</f>
        <v>0</v>
      </c>
      <c r="AM165" s="305">
        <f>'[1]Adubos e corretivos'!T68</f>
        <v>0</v>
      </c>
      <c r="AN165" s="305">
        <f>'[1]Adubos e corretivos'!U68</f>
        <v>0</v>
      </c>
      <c r="AO165" s="305">
        <f>'[1]Adubos e corretivos'!V68</f>
        <v>0</v>
      </c>
    </row>
    <row r="166" spans="11:44" ht="19.5" customHeight="1" x14ac:dyDescent="0.25">
      <c r="K166" s="215"/>
      <c r="L166" s="215"/>
      <c r="U166" s="544"/>
      <c r="V166" s="305">
        <f>'[1]Adubos e corretivos'!C69</f>
        <v>0</v>
      </c>
      <c r="W166" s="305">
        <f>'[1]Adubos e corretivos'!D69</f>
        <v>0</v>
      </c>
      <c r="X166" s="305">
        <f>'[1]Adubos e corretivos'!E69</f>
        <v>0</v>
      </c>
      <c r="Y166" s="305">
        <f>'[1]Adubos e corretivos'!F69</f>
        <v>0</v>
      </c>
      <c r="Z166" s="305">
        <f>'[1]Adubos e corretivos'!G69</f>
        <v>0</v>
      </c>
      <c r="AA166" s="305">
        <f>'[1]Adubos e corretivos'!H69</f>
        <v>0</v>
      </c>
      <c r="AB166" s="305">
        <f>'[1]Adubos e corretivos'!I69</f>
        <v>0</v>
      </c>
      <c r="AC166" s="305">
        <f>'[1]Adubos e corretivos'!J69</f>
        <v>0</v>
      </c>
      <c r="AD166" s="305">
        <f>'[1]Adubos e corretivos'!K69</f>
        <v>0</v>
      </c>
      <c r="AE166" s="305">
        <f>'[1]Adubos e corretivos'!L69</f>
        <v>0</v>
      </c>
      <c r="AF166" s="305">
        <f>'[1]Adubos e corretivos'!M69</f>
        <v>0</v>
      </c>
      <c r="AG166" s="305">
        <f>'[1]Adubos e corretivos'!N69</f>
        <v>0</v>
      </c>
      <c r="AH166" s="305">
        <f>'[1]Adubos e corretivos'!O69</f>
        <v>0</v>
      </c>
      <c r="AI166" s="305">
        <f>'[1]Adubos e corretivos'!P69</f>
        <v>0</v>
      </c>
      <c r="AJ166" s="305">
        <f>'[1]Adubos e corretivos'!Q69</f>
        <v>0</v>
      </c>
      <c r="AK166" s="305">
        <f>'[1]Adubos e corretivos'!R69</f>
        <v>0</v>
      </c>
      <c r="AL166" s="305">
        <f>'[1]Adubos e corretivos'!S69</f>
        <v>0</v>
      </c>
      <c r="AM166" s="305">
        <f>'[1]Adubos e corretivos'!T69</f>
        <v>0</v>
      </c>
      <c r="AN166" s="305">
        <f>'[1]Adubos e corretivos'!U69</f>
        <v>0</v>
      </c>
      <c r="AO166" s="305">
        <f>'[1]Adubos e corretivos'!V69</f>
        <v>0</v>
      </c>
    </row>
    <row r="167" spans="11:44" ht="19.5" customHeight="1" x14ac:dyDescent="0.25">
      <c r="K167" s="215"/>
      <c r="L167" s="215"/>
      <c r="U167" s="544"/>
      <c r="V167" s="305">
        <f>'[1]Adubos e corretivos'!C70</f>
        <v>0</v>
      </c>
      <c r="W167" s="305">
        <f>'[1]Adubos e corretivos'!D70</f>
        <v>0</v>
      </c>
      <c r="X167" s="305">
        <f>'[1]Adubos e corretivos'!E70</f>
        <v>0</v>
      </c>
      <c r="Y167" s="305">
        <f>'[1]Adubos e corretivos'!F70</f>
        <v>0</v>
      </c>
      <c r="Z167" s="305">
        <f>'[1]Adubos e corretivos'!G70</f>
        <v>0</v>
      </c>
      <c r="AA167" s="305">
        <f>'[1]Adubos e corretivos'!H70</f>
        <v>0</v>
      </c>
      <c r="AB167" s="305">
        <f>'[1]Adubos e corretivos'!I70</f>
        <v>0</v>
      </c>
      <c r="AC167" s="305">
        <f>'[1]Adubos e corretivos'!J70</f>
        <v>0</v>
      </c>
      <c r="AD167" s="305">
        <f>'[1]Adubos e corretivos'!K70</f>
        <v>0</v>
      </c>
      <c r="AE167" s="305">
        <f>'[1]Adubos e corretivos'!L70</f>
        <v>0</v>
      </c>
      <c r="AF167" s="305">
        <f>'[1]Adubos e corretivos'!M70</f>
        <v>0</v>
      </c>
      <c r="AG167" s="305">
        <f>'[1]Adubos e corretivos'!N70</f>
        <v>0</v>
      </c>
      <c r="AH167" s="305">
        <f>'[1]Adubos e corretivos'!O70</f>
        <v>0</v>
      </c>
      <c r="AI167" s="305">
        <f>'[1]Adubos e corretivos'!P70</f>
        <v>0</v>
      </c>
      <c r="AJ167" s="305">
        <f>'[1]Adubos e corretivos'!Q70</f>
        <v>0</v>
      </c>
      <c r="AK167" s="305">
        <f>'[1]Adubos e corretivos'!R70</f>
        <v>0</v>
      </c>
      <c r="AL167" s="305">
        <f>'[1]Adubos e corretivos'!S70</f>
        <v>0</v>
      </c>
      <c r="AM167" s="305">
        <f>'[1]Adubos e corretivos'!T70</f>
        <v>0</v>
      </c>
      <c r="AN167" s="305">
        <f>'[1]Adubos e corretivos'!U70</f>
        <v>0</v>
      </c>
      <c r="AO167" s="305">
        <f>'[1]Adubos e corretivos'!V70</f>
        <v>0</v>
      </c>
    </row>
    <row r="168" spans="11:44" ht="19.5" customHeight="1" x14ac:dyDescent="0.25">
      <c r="K168" s="215"/>
      <c r="L168" s="215"/>
      <c r="U168" s="544"/>
      <c r="V168" s="305">
        <f>'[1]Adubos e corretivos'!C71</f>
        <v>0</v>
      </c>
      <c r="W168" s="305">
        <f>'[1]Adubos e corretivos'!D71</f>
        <v>0</v>
      </c>
      <c r="X168" s="305">
        <f>'[1]Adubos e corretivos'!E71</f>
        <v>0</v>
      </c>
      <c r="Y168" s="305">
        <f>'[1]Adubos e corretivos'!F71</f>
        <v>0</v>
      </c>
      <c r="Z168" s="305">
        <f>'[1]Adubos e corretivos'!G71</f>
        <v>0</v>
      </c>
      <c r="AA168" s="305">
        <f>'[1]Adubos e corretivos'!H71</f>
        <v>0</v>
      </c>
      <c r="AB168" s="305">
        <f>'[1]Adubos e corretivos'!I71</f>
        <v>0</v>
      </c>
      <c r="AC168" s="305">
        <f>'[1]Adubos e corretivos'!J71</f>
        <v>0</v>
      </c>
      <c r="AD168" s="305">
        <f>'[1]Adubos e corretivos'!K71</f>
        <v>0</v>
      </c>
      <c r="AE168" s="305">
        <f>'[1]Adubos e corretivos'!L71</f>
        <v>0</v>
      </c>
      <c r="AF168" s="305">
        <f>'[1]Adubos e corretivos'!M71</f>
        <v>0</v>
      </c>
      <c r="AG168" s="305">
        <f>'[1]Adubos e corretivos'!N71</f>
        <v>0</v>
      </c>
      <c r="AH168" s="305">
        <f>'[1]Adubos e corretivos'!O71</f>
        <v>0</v>
      </c>
      <c r="AI168" s="305">
        <f>'[1]Adubos e corretivos'!P71</f>
        <v>0</v>
      </c>
      <c r="AJ168" s="305">
        <f>'[1]Adubos e corretivos'!Q71</f>
        <v>0</v>
      </c>
      <c r="AK168" s="305">
        <f>'[1]Adubos e corretivos'!R71</f>
        <v>0</v>
      </c>
      <c r="AL168" s="305">
        <f>'[1]Adubos e corretivos'!S71</f>
        <v>0</v>
      </c>
      <c r="AM168" s="305">
        <f>'[1]Adubos e corretivos'!T71</f>
        <v>0</v>
      </c>
      <c r="AN168" s="305">
        <f>'[1]Adubos e corretivos'!U71</f>
        <v>0</v>
      </c>
      <c r="AO168" s="305">
        <f>'[1]Adubos e corretivos'!V71</f>
        <v>0</v>
      </c>
    </row>
    <row r="169" spans="11:44" ht="19.5" customHeight="1" x14ac:dyDescent="0.25">
      <c r="K169" s="215"/>
      <c r="L169" s="215"/>
      <c r="U169" s="544"/>
      <c r="V169" s="305">
        <f>'[1]Adubos e corretivos'!C72</f>
        <v>0</v>
      </c>
      <c r="W169" s="305">
        <f>'[1]Adubos e corretivos'!D72</f>
        <v>0</v>
      </c>
      <c r="X169" s="305">
        <f>'[1]Adubos e corretivos'!E72</f>
        <v>0</v>
      </c>
      <c r="Y169" s="305">
        <f>'[1]Adubos e corretivos'!F72</f>
        <v>0</v>
      </c>
      <c r="Z169" s="305">
        <f>'[1]Adubos e corretivos'!G72</f>
        <v>0</v>
      </c>
      <c r="AA169" s="305">
        <f>'[1]Adubos e corretivos'!H72</f>
        <v>0</v>
      </c>
      <c r="AB169" s="305">
        <f>'[1]Adubos e corretivos'!I72</f>
        <v>0</v>
      </c>
      <c r="AC169" s="305">
        <f>'[1]Adubos e corretivos'!J72</f>
        <v>0</v>
      </c>
      <c r="AD169" s="305">
        <f>'[1]Adubos e corretivos'!K72</f>
        <v>0</v>
      </c>
      <c r="AE169" s="305">
        <f>'[1]Adubos e corretivos'!L72</f>
        <v>0</v>
      </c>
      <c r="AF169" s="305">
        <f>'[1]Adubos e corretivos'!M72</f>
        <v>0</v>
      </c>
      <c r="AG169" s="305">
        <f>'[1]Adubos e corretivos'!N72</f>
        <v>0</v>
      </c>
      <c r="AH169" s="305">
        <f>'[1]Adubos e corretivos'!O72</f>
        <v>0</v>
      </c>
      <c r="AI169" s="305">
        <f>'[1]Adubos e corretivos'!P72</f>
        <v>0</v>
      </c>
      <c r="AJ169" s="305">
        <f>'[1]Adubos e corretivos'!Q72</f>
        <v>0</v>
      </c>
      <c r="AK169" s="305">
        <f>'[1]Adubos e corretivos'!R72</f>
        <v>0</v>
      </c>
      <c r="AL169" s="305">
        <f>'[1]Adubos e corretivos'!S72</f>
        <v>0</v>
      </c>
      <c r="AM169" s="305">
        <f>'[1]Adubos e corretivos'!T72</f>
        <v>0</v>
      </c>
      <c r="AN169" s="305">
        <f>'[1]Adubos e corretivos'!U72</f>
        <v>0</v>
      </c>
      <c r="AO169" s="305">
        <f>'[1]Adubos e corretivos'!V72</f>
        <v>0</v>
      </c>
      <c r="AP169" s="215"/>
      <c r="AQ169" s="215"/>
      <c r="AR169" s="215"/>
    </row>
    <row r="170" spans="11:44" ht="19.5" customHeight="1" x14ac:dyDescent="0.25">
      <c r="K170" s="215"/>
      <c r="L170" s="215"/>
      <c r="U170" s="536" t="s">
        <v>135</v>
      </c>
      <c r="V170" s="305" t="str">
        <f>'[1]Adubos e corretivos'!C73</f>
        <v>Ácido Bórico</v>
      </c>
      <c r="W170" s="305">
        <f>'[1]Adubos e corretivos'!D73</f>
        <v>5.52</v>
      </c>
      <c r="X170" s="305">
        <f>'[1]Adubos e corretivos'!E73</f>
        <v>0</v>
      </c>
      <c r="Y170" s="305">
        <f>'[1]Adubos e corretivos'!F73</f>
        <v>0</v>
      </c>
      <c r="Z170" s="305">
        <f>'[1]Adubos e corretivos'!G73</f>
        <v>0</v>
      </c>
      <c r="AA170" s="305">
        <f>'[1]Adubos e corretivos'!H73</f>
        <v>0</v>
      </c>
      <c r="AB170" s="305">
        <f>'[1]Adubos e corretivos'!I73</f>
        <v>0</v>
      </c>
      <c r="AC170" s="305">
        <f>'[1]Adubos e corretivos'!J73</f>
        <v>0</v>
      </c>
      <c r="AD170" s="305">
        <f>'[1]Adubos e corretivos'!K73</f>
        <v>0</v>
      </c>
      <c r="AE170" s="305">
        <f>'[1]Adubos e corretivos'!L73</f>
        <v>0</v>
      </c>
      <c r="AF170" s="305">
        <f>'[1]Adubos e corretivos'!M73</f>
        <v>17.5</v>
      </c>
      <c r="AG170" s="305">
        <f>'[1]Adubos e corretivos'!N73</f>
        <v>0</v>
      </c>
      <c r="AH170" s="305">
        <f>'[1]Adubos e corretivos'!O73</f>
        <v>0</v>
      </c>
      <c r="AI170" s="305">
        <f>'[1]Adubos e corretivos'!P73</f>
        <v>0</v>
      </c>
      <c r="AJ170" s="305">
        <f>'[1]Adubos e corretivos'!Q73</f>
        <v>0</v>
      </c>
      <c r="AK170" s="305">
        <f>'[1]Adubos e corretivos'!R73</f>
        <v>0</v>
      </c>
      <c r="AL170" s="305">
        <f>'[1]Adubos e corretivos'!S73</f>
        <v>0</v>
      </c>
      <c r="AM170" s="305">
        <f>'[1]Adubos e corretivos'!T73</f>
        <v>0</v>
      </c>
      <c r="AN170" s="305">
        <f>'[1]Adubos e corretivos'!U73</f>
        <v>0</v>
      </c>
      <c r="AO170" s="305">
        <f>'[1]Adubos e corretivos'!V73</f>
        <v>0</v>
      </c>
    </row>
    <row r="171" spans="11:44" ht="19.5" customHeight="1" x14ac:dyDescent="0.25">
      <c r="K171" s="215"/>
      <c r="L171" s="215"/>
      <c r="U171" s="536"/>
      <c r="V171" s="305" t="str">
        <f>'[1]Adubos e corretivos'!C74</f>
        <v>Boráx</v>
      </c>
      <c r="W171" s="305">
        <f>'[1]Adubos e corretivos'!D74</f>
        <v>3.84</v>
      </c>
      <c r="X171" s="305">
        <f>'[1]Adubos e corretivos'!E74</f>
        <v>0</v>
      </c>
      <c r="Y171" s="305">
        <f>'[1]Adubos e corretivos'!F74</f>
        <v>0</v>
      </c>
      <c r="Z171" s="305">
        <f>'[1]Adubos e corretivos'!G74</f>
        <v>0</v>
      </c>
      <c r="AA171" s="305">
        <f>'[1]Adubos e corretivos'!H74</f>
        <v>0</v>
      </c>
      <c r="AB171" s="305">
        <f>'[1]Adubos e corretivos'!I74</f>
        <v>0</v>
      </c>
      <c r="AC171" s="305">
        <f>'[1]Adubos e corretivos'!J74</f>
        <v>0</v>
      </c>
      <c r="AD171" s="305">
        <f>'[1]Adubos e corretivos'!K74</f>
        <v>0</v>
      </c>
      <c r="AE171" s="305">
        <f>'[1]Adubos e corretivos'!L74</f>
        <v>0</v>
      </c>
      <c r="AF171" s="305">
        <f>'[1]Adubos e corretivos'!M74</f>
        <v>10.5</v>
      </c>
      <c r="AG171" s="305">
        <f>'[1]Adubos e corretivos'!N74</f>
        <v>0</v>
      </c>
      <c r="AH171" s="305">
        <f>'[1]Adubos e corretivos'!O74</f>
        <v>0</v>
      </c>
      <c r="AI171" s="305">
        <f>'[1]Adubos e corretivos'!P74</f>
        <v>0</v>
      </c>
      <c r="AJ171" s="305">
        <f>'[1]Adubos e corretivos'!Q74</f>
        <v>0</v>
      </c>
      <c r="AK171" s="305">
        <f>'[1]Adubos e corretivos'!R74</f>
        <v>0</v>
      </c>
      <c r="AL171" s="305">
        <f>'[1]Adubos e corretivos'!S74</f>
        <v>0</v>
      </c>
      <c r="AM171" s="305">
        <f>'[1]Adubos e corretivos'!T74</f>
        <v>0</v>
      </c>
      <c r="AN171" s="305">
        <f>'[1]Adubos e corretivos'!U74</f>
        <v>0</v>
      </c>
      <c r="AO171" s="305">
        <f>'[1]Adubos e corretivos'!V74</f>
        <v>0</v>
      </c>
    </row>
    <row r="172" spans="11:44" ht="19.5" customHeight="1" x14ac:dyDescent="0.25">
      <c r="K172" s="215"/>
      <c r="L172" s="215"/>
      <c r="U172" s="536"/>
      <c r="V172" s="305" t="str">
        <f>'[1]Adubos e corretivos'!C75</f>
        <v>Brexil Top</v>
      </c>
      <c r="W172" s="305">
        <f>'[1]Adubos e corretivos'!D75</f>
        <v>40</v>
      </c>
      <c r="X172" s="305">
        <f>'[1]Adubos e corretivos'!E75</f>
        <v>0</v>
      </c>
      <c r="Y172" s="305">
        <f>'[1]Adubos e corretivos'!F75</f>
        <v>0</v>
      </c>
      <c r="Z172" s="305">
        <f>'[1]Adubos e corretivos'!G75</f>
        <v>0</v>
      </c>
      <c r="AA172" s="305">
        <f>'[1]Adubos e corretivos'!H75</f>
        <v>0</v>
      </c>
      <c r="AB172" s="305">
        <f>'[1]Adubos e corretivos'!I75</f>
        <v>0</v>
      </c>
      <c r="AC172" s="305">
        <f>'[1]Adubos e corretivos'!J75</f>
        <v>0</v>
      </c>
      <c r="AD172" s="305">
        <f>'[1]Adubos e corretivos'!K75</f>
        <v>1.5</v>
      </c>
      <c r="AE172" s="305">
        <f>'[1]Adubos e corretivos'!L75</f>
        <v>10</v>
      </c>
      <c r="AF172" s="305">
        <f>'[1]Adubos e corretivos'!M75</f>
        <v>2</v>
      </c>
      <c r="AG172" s="305">
        <f>'[1]Adubos e corretivos'!N75</f>
        <v>5</v>
      </c>
      <c r="AH172" s="305">
        <f>'[1]Adubos e corretivos'!O75</f>
        <v>6</v>
      </c>
      <c r="AI172" s="305">
        <f>'[1]Adubos e corretivos'!P75</f>
        <v>0</v>
      </c>
      <c r="AJ172" s="305">
        <f>'[1]Adubos e corretivos'!Q75</f>
        <v>0.5</v>
      </c>
      <c r="AK172" s="305">
        <f>'[1]Adubos e corretivos'!R75</f>
        <v>0</v>
      </c>
      <c r="AL172" s="305">
        <f>'[1]Adubos e corretivos'!S75</f>
        <v>0</v>
      </c>
      <c r="AM172" s="305">
        <f>'[1]Adubos e corretivos'!T75</f>
        <v>0</v>
      </c>
      <c r="AN172" s="305">
        <f>'[1]Adubos e corretivos'!U75</f>
        <v>0</v>
      </c>
      <c r="AO172" s="305">
        <f>'[1]Adubos e corretivos'!V75</f>
        <v>0</v>
      </c>
    </row>
    <row r="173" spans="11:44" ht="19.5" customHeight="1" x14ac:dyDescent="0.25">
      <c r="K173" s="215"/>
      <c r="L173" s="215"/>
      <c r="U173" s="536"/>
      <c r="V173" s="305" t="str">
        <f>'[1]Adubos e corretivos'!C76</f>
        <v>Molibdato de sódio</v>
      </c>
      <c r="W173" s="305">
        <f>'[1]Adubos e corretivos'!D76</f>
        <v>154</v>
      </c>
      <c r="X173" s="305">
        <f>'[1]Adubos e corretivos'!E76</f>
        <v>0</v>
      </c>
      <c r="Y173" s="305">
        <f>'[1]Adubos e corretivos'!F76</f>
        <v>0</v>
      </c>
      <c r="Z173" s="305">
        <f>'[1]Adubos e corretivos'!G76</f>
        <v>0</v>
      </c>
      <c r="AA173" s="305">
        <f>'[1]Adubos e corretivos'!H76</f>
        <v>0</v>
      </c>
      <c r="AB173" s="305">
        <f>'[1]Adubos e corretivos'!I76</f>
        <v>0</v>
      </c>
      <c r="AC173" s="305">
        <f>'[1]Adubos e corretivos'!J76</f>
        <v>0</v>
      </c>
      <c r="AD173" s="305">
        <f>'[1]Adubos e corretivos'!K76</f>
        <v>0</v>
      </c>
      <c r="AE173" s="305">
        <f>'[1]Adubos e corretivos'!L76</f>
        <v>0</v>
      </c>
      <c r="AF173" s="305">
        <f>'[1]Adubos e corretivos'!M76</f>
        <v>0</v>
      </c>
      <c r="AG173" s="305">
        <f>'[1]Adubos e corretivos'!N76</f>
        <v>0</v>
      </c>
      <c r="AH173" s="305">
        <f>'[1]Adubos e corretivos'!O76</f>
        <v>0</v>
      </c>
      <c r="AI173" s="305">
        <f>'[1]Adubos e corretivos'!P76</f>
        <v>0</v>
      </c>
      <c r="AJ173" s="305">
        <f>'[1]Adubos e corretivos'!Q76</f>
        <v>39</v>
      </c>
      <c r="AK173" s="305">
        <f>'[1]Adubos e corretivos'!R76</f>
        <v>0</v>
      </c>
      <c r="AL173" s="305">
        <f>'[1]Adubos e corretivos'!S76</f>
        <v>0</v>
      </c>
      <c r="AM173" s="305">
        <f>'[1]Adubos e corretivos'!T76</f>
        <v>0</v>
      </c>
      <c r="AN173" s="305">
        <f>'[1]Adubos e corretivos'!U76</f>
        <v>0</v>
      </c>
      <c r="AO173" s="305">
        <f>'[1]Adubos e corretivos'!V76</f>
        <v>0</v>
      </c>
    </row>
    <row r="174" spans="11:44" ht="19.5" customHeight="1" x14ac:dyDescent="0.25">
      <c r="K174" s="215"/>
      <c r="L174" s="215"/>
      <c r="U174" s="536"/>
      <c r="V174" s="305" t="str">
        <f>'[1]Adubos e corretivos'!C77</f>
        <v>Sulfato de cobre</v>
      </c>
      <c r="W174" s="305">
        <f>'[1]Adubos e corretivos'!D77</f>
        <v>11.04</v>
      </c>
      <c r="X174" s="305">
        <f>'[1]Adubos e corretivos'!E77</f>
        <v>0</v>
      </c>
      <c r="Y174" s="305">
        <f>'[1]Adubos e corretivos'!F77</f>
        <v>0</v>
      </c>
      <c r="Z174" s="305">
        <f>'[1]Adubos e corretivos'!G77</f>
        <v>0</v>
      </c>
      <c r="AA174" s="305">
        <f>'[1]Adubos e corretivos'!H77</f>
        <v>0</v>
      </c>
      <c r="AB174" s="305">
        <f>'[1]Adubos e corretivos'!I77</f>
        <v>0</v>
      </c>
      <c r="AC174" s="305">
        <f>'[1]Adubos e corretivos'!J77</f>
        <v>0</v>
      </c>
      <c r="AD174" s="305">
        <f>'[1]Adubos e corretivos'!K77</f>
        <v>0</v>
      </c>
      <c r="AE174" s="305">
        <f>'[1]Adubos e corretivos'!L77</f>
        <v>12</v>
      </c>
      <c r="AF174" s="305">
        <f>'[1]Adubos e corretivos'!M77</f>
        <v>0</v>
      </c>
      <c r="AG174" s="305">
        <f>'[1]Adubos e corretivos'!N77</f>
        <v>0</v>
      </c>
      <c r="AH174" s="305">
        <f>'[1]Adubos e corretivos'!O77</f>
        <v>0</v>
      </c>
      <c r="AI174" s="305">
        <f>'[1]Adubos e corretivos'!P77</f>
        <v>25</v>
      </c>
      <c r="AJ174" s="305">
        <f>'[1]Adubos e corretivos'!Q77</f>
        <v>0</v>
      </c>
      <c r="AK174" s="305">
        <f>'[1]Adubos e corretivos'!R77</f>
        <v>0</v>
      </c>
      <c r="AL174" s="305">
        <f>'[1]Adubos e corretivos'!S77</f>
        <v>0</v>
      </c>
      <c r="AM174" s="305">
        <f>'[1]Adubos e corretivos'!T77</f>
        <v>0</v>
      </c>
      <c r="AN174" s="305">
        <f>'[1]Adubos e corretivos'!U77</f>
        <v>0</v>
      </c>
      <c r="AO174" s="305">
        <f>'[1]Adubos e corretivos'!V77</f>
        <v>0</v>
      </c>
    </row>
    <row r="175" spans="11:44" ht="19.5" customHeight="1" x14ac:dyDescent="0.25">
      <c r="K175" s="215"/>
      <c r="L175" s="215"/>
      <c r="U175" s="536"/>
      <c r="V175" s="305" t="str">
        <f>'[1]Adubos e corretivos'!C78</f>
        <v>Sulfato de manganês</v>
      </c>
      <c r="W175" s="305">
        <f>'[1]Adubos e corretivos'!D78</f>
        <v>6.72</v>
      </c>
      <c r="X175" s="305">
        <f>'[1]Adubos e corretivos'!E78</f>
        <v>0</v>
      </c>
      <c r="Y175" s="305">
        <f>'[1]Adubos e corretivos'!F78</f>
        <v>0</v>
      </c>
      <c r="Z175" s="305">
        <f>'[1]Adubos e corretivos'!G78</f>
        <v>0</v>
      </c>
      <c r="AA175" s="305">
        <f>'[1]Adubos e corretivos'!H78</f>
        <v>0</v>
      </c>
      <c r="AB175" s="305">
        <f>'[1]Adubos e corretivos'!I78</f>
        <v>0</v>
      </c>
      <c r="AC175" s="305">
        <f>'[1]Adubos e corretivos'!J78</f>
        <v>0</v>
      </c>
      <c r="AD175" s="305">
        <f>'[1]Adubos e corretivos'!K78</f>
        <v>0</v>
      </c>
      <c r="AE175" s="305">
        <f>'[1]Adubos e corretivos'!L78</f>
        <v>21</v>
      </c>
      <c r="AF175" s="305">
        <f>'[1]Adubos e corretivos'!M78</f>
        <v>0</v>
      </c>
      <c r="AG175" s="305">
        <f>'[1]Adubos e corretivos'!N78</f>
        <v>26</v>
      </c>
      <c r="AH175" s="305">
        <f>'[1]Adubos e corretivos'!O78</f>
        <v>0</v>
      </c>
      <c r="AI175" s="305">
        <f>'[1]Adubos e corretivos'!P78</f>
        <v>0</v>
      </c>
      <c r="AJ175" s="305">
        <f>'[1]Adubos e corretivos'!Q78</f>
        <v>0</v>
      </c>
      <c r="AK175" s="305">
        <f>'[1]Adubos e corretivos'!R78</f>
        <v>0</v>
      </c>
      <c r="AL175" s="305">
        <f>'[1]Adubos e corretivos'!S78</f>
        <v>0</v>
      </c>
      <c r="AM175" s="305">
        <f>'[1]Adubos e corretivos'!T78</f>
        <v>0</v>
      </c>
      <c r="AN175" s="305">
        <f>'[1]Adubos e corretivos'!U78</f>
        <v>0</v>
      </c>
      <c r="AO175" s="305">
        <f>'[1]Adubos e corretivos'!V78</f>
        <v>0</v>
      </c>
    </row>
    <row r="176" spans="11:44" ht="19.5" customHeight="1" x14ac:dyDescent="0.25">
      <c r="K176" s="215"/>
      <c r="L176" s="215"/>
      <c r="U176" s="536"/>
      <c r="V176" s="305" t="str">
        <f>'[1]Adubos e corretivos'!C79</f>
        <v>Sulfato de zinco</v>
      </c>
      <c r="W176" s="305">
        <f>'[1]Adubos e corretivos'!D79</f>
        <v>6.16</v>
      </c>
      <c r="X176" s="305">
        <f>'[1]Adubos e corretivos'!E79</f>
        <v>0</v>
      </c>
      <c r="Y176" s="305">
        <f>'[1]Adubos e corretivos'!F79</f>
        <v>0</v>
      </c>
      <c r="Z176" s="305">
        <f>'[1]Adubos e corretivos'!G79</f>
        <v>0</v>
      </c>
      <c r="AA176" s="305">
        <f>'[1]Adubos e corretivos'!H79</f>
        <v>0</v>
      </c>
      <c r="AB176" s="305">
        <f>'[1]Adubos e corretivos'!I79</f>
        <v>0</v>
      </c>
      <c r="AC176" s="305">
        <f>'[1]Adubos e corretivos'!J79</f>
        <v>0</v>
      </c>
      <c r="AD176" s="305">
        <f>'[1]Adubos e corretivos'!K79</f>
        <v>0</v>
      </c>
      <c r="AE176" s="305">
        <f>'[1]Adubos e corretivos'!L79</f>
        <v>17</v>
      </c>
      <c r="AF176" s="305">
        <f>'[1]Adubos e corretivos'!M79</f>
        <v>0</v>
      </c>
      <c r="AG176" s="305">
        <f>'[1]Adubos e corretivos'!N79</f>
        <v>0</v>
      </c>
      <c r="AH176" s="305">
        <f>'[1]Adubos e corretivos'!O79</f>
        <v>35</v>
      </c>
      <c r="AI176" s="305">
        <f>'[1]Adubos e corretivos'!P79</f>
        <v>0</v>
      </c>
      <c r="AJ176" s="305">
        <f>'[1]Adubos e corretivos'!Q79</f>
        <v>0</v>
      </c>
      <c r="AK176" s="305">
        <f>'[1]Adubos e corretivos'!R79</f>
        <v>0</v>
      </c>
      <c r="AL176" s="305">
        <f>'[1]Adubos e corretivos'!S79</f>
        <v>0</v>
      </c>
      <c r="AM176" s="305">
        <f>'[1]Adubos e corretivos'!T79</f>
        <v>0</v>
      </c>
      <c r="AN176" s="305">
        <f>'[1]Adubos e corretivos'!U79</f>
        <v>0</v>
      </c>
      <c r="AO176" s="305">
        <f>'[1]Adubos e corretivos'!V79</f>
        <v>0</v>
      </c>
    </row>
    <row r="177" spans="11:46" ht="19.5" customHeight="1" x14ac:dyDescent="0.25">
      <c r="K177" s="215"/>
      <c r="L177" s="215"/>
      <c r="U177" s="536"/>
      <c r="V177" s="305" t="str">
        <f>'[1]Adubos e corretivos'!C80</f>
        <v>Ferrelene</v>
      </c>
      <c r="W177" s="305">
        <f>'[1]Adubos e corretivos'!D80</f>
        <v>78</v>
      </c>
      <c r="X177" s="305">
        <f>'[1]Adubos e corretivos'!E80</f>
        <v>0</v>
      </c>
      <c r="Y177" s="305">
        <f>'[1]Adubos e corretivos'!F80</f>
        <v>0</v>
      </c>
      <c r="Z177" s="305">
        <f>'[1]Adubos e corretivos'!G80</f>
        <v>0</v>
      </c>
      <c r="AA177" s="305">
        <f>'[1]Adubos e corretivos'!H80</f>
        <v>0</v>
      </c>
      <c r="AB177" s="305">
        <f>'[1]Adubos e corretivos'!I80</f>
        <v>0</v>
      </c>
      <c r="AC177" s="305">
        <f>'[1]Adubos e corretivos'!J80</f>
        <v>0</v>
      </c>
      <c r="AD177" s="305">
        <f>'[1]Adubos e corretivos'!K80</f>
        <v>0</v>
      </c>
      <c r="AE177" s="305">
        <f>'[1]Adubos e corretivos'!L80</f>
        <v>0</v>
      </c>
      <c r="AF177" s="305">
        <f>'[1]Adubos e corretivos'!M80</f>
        <v>0</v>
      </c>
      <c r="AG177" s="305">
        <f>'[1]Adubos e corretivos'!N80</f>
        <v>0</v>
      </c>
      <c r="AH177" s="305">
        <f>'[1]Adubos e corretivos'!O80</f>
        <v>0</v>
      </c>
      <c r="AI177" s="305">
        <f>'[1]Adubos e corretivos'!P80</f>
        <v>0</v>
      </c>
      <c r="AJ177" s="305">
        <f>'[1]Adubos e corretivos'!Q80</f>
        <v>0</v>
      </c>
      <c r="AK177" s="305">
        <f>'[1]Adubos e corretivos'!R80</f>
        <v>6</v>
      </c>
      <c r="AL177" s="305">
        <f>'[1]Adubos e corretivos'!S80</f>
        <v>0</v>
      </c>
      <c r="AM177" s="305">
        <f>'[1]Adubos e corretivos'!T80</f>
        <v>0</v>
      </c>
      <c r="AN177" s="305">
        <f>'[1]Adubos e corretivos'!U80</f>
        <v>0</v>
      </c>
      <c r="AO177" s="305">
        <f>'[1]Adubos e corretivos'!V80</f>
        <v>0</v>
      </c>
    </row>
    <row r="178" spans="11:46" ht="19.5" customHeight="1" x14ac:dyDescent="0.25">
      <c r="K178" s="215"/>
      <c r="L178" s="215"/>
      <c r="U178" s="536"/>
      <c r="V178" s="305" t="str">
        <f>'[1]Adubos e corretivos'!C81</f>
        <v>FTE BR 12</v>
      </c>
      <c r="W178" s="305">
        <f>'[1]Adubos e corretivos'!D81</f>
        <v>0</v>
      </c>
      <c r="X178" s="305">
        <f>'[1]Adubos e corretivos'!E81</f>
        <v>0</v>
      </c>
      <c r="Y178" s="305">
        <f>'[1]Adubos e corretivos'!F81</f>
        <v>0</v>
      </c>
      <c r="Z178" s="305">
        <f>'[1]Adubos e corretivos'!G81</f>
        <v>0</v>
      </c>
      <c r="AA178" s="305">
        <f>'[1]Adubos e corretivos'!H81</f>
        <v>0</v>
      </c>
      <c r="AB178" s="305">
        <f>'[1]Adubos e corretivos'!I81</f>
        <v>0</v>
      </c>
      <c r="AC178" s="305">
        <f>'[1]Adubos e corretivos'!J81</f>
        <v>0</v>
      </c>
      <c r="AD178" s="305">
        <f>'[1]Adubos e corretivos'!K81</f>
        <v>0</v>
      </c>
      <c r="AE178" s="305">
        <f>'[1]Adubos e corretivos'!L81</f>
        <v>3.9</v>
      </c>
      <c r="AF178" s="305">
        <f>'[1]Adubos e corretivos'!M81</f>
        <v>1.8</v>
      </c>
      <c r="AG178" s="305">
        <f>'[1]Adubos e corretivos'!N81</f>
        <v>2</v>
      </c>
      <c r="AH178" s="305">
        <f>'[1]Adubos e corretivos'!O81</f>
        <v>9</v>
      </c>
      <c r="AI178" s="305">
        <f>'[1]Adubos e corretivos'!P81</f>
        <v>0.85</v>
      </c>
      <c r="AJ178" s="305">
        <f>'[1]Adubos e corretivos'!Q81</f>
        <v>0</v>
      </c>
      <c r="AK178" s="305">
        <f>'[1]Adubos e corretivos'!R81</f>
        <v>0</v>
      </c>
      <c r="AL178" s="305">
        <f>'[1]Adubos e corretivos'!S81</f>
        <v>0</v>
      </c>
      <c r="AM178" s="305">
        <f>'[1]Adubos e corretivos'!T81</f>
        <v>0</v>
      </c>
      <c r="AN178" s="305">
        <f>'[1]Adubos e corretivos'!U81</f>
        <v>0</v>
      </c>
      <c r="AO178" s="305">
        <f>'[1]Adubos e corretivos'!V81</f>
        <v>0</v>
      </c>
    </row>
    <row r="179" spans="11:46" ht="19.5" customHeight="1" x14ac:dyDescent="0.25">
      <c r="K179" s="215"/>
      <c r="L179" s="215"/>
      <c r="U179" s="536"/>
      <c r="V179" s="305" t="str">
        <f>'[1]Adubos e corretivos'!C82</f>
        <v>Gran 12</v>
      </c>
      <c r="W179" s="305">
        <f>'[1]Adubos e corretivos'!D82</f>
        <v>2.72</v>
      </c>
      <c r="X179" s="305">
        <f>'[1]Adubos e corretivos'!E82</f>
        <v>0</v>
      </c>
      <c r="Y179" s="305">
        <f>'[1]Adubos e corretivos'!F82</f>
        <v>0</v>
      </c>
      <c r="Z179" s="305">
        <f>'[1]Adubos e corretivos'!G82</f>
        <v>0</v>
      </c>
      <c r="AA179" s="305">
        <f>'[1]Adubos e corretivos'!H82</f>
        <v>0</v>
      </c>
      <c r="AB179" s="305">
        <f>'[1]Adubos e corretivos'!I82</f>
        <v>0</v>
      </c>
      <c r="AC179" s="305">
        <f>'[1]Adubos e corretivos'!J82</f>
        <v>1.5</v>
      </c>
      <c r="AD179" s="305">
        <f>'[1]Adubos e corretivos'!K82</f>
        <v>0</v>
      </c>
      <c r="AE179" s="305">
        <f>'[1]Adubos e corretivos'!L82</f>
        <v>3.2</v>
      </c>
      <c r="AF179" s="305">
        <f>'[1]Adubos e corretivos'!M82</f>
        <v>1.8</v>
      </c>
      <c r="AG179" s="305">
        <f>'[1]Adubos e corretivos'!N82</f>
        <v>2.1</v>
      </c>
      <c r="AH179" s="305">
        <f>'[1]Adubos e corretivos'!O82</f>
        <v>9</v>
      </c>
      <c r="AI179" s="305">
        <f>'[1]Adubos e corretivos'!P82</f>
        <v>0.85</v>
      </c>
      <c r="AJ179" s="305">
        <f>'[1]Adubos e corretivos'!Q82</f>
        <v>0.1</v>
      </c>
      <c r="AK179" s="305">
        <f>'[1]Adubos e corretivos'!R82</f>
        <v>0</v>
      </c>
      <c r="AL179" s="305">
        <f>'[1]Adubos e corretivos'!S82</f>
        <v>0</v>
      </c>
      <c r="AM179" s="305">
        <f>'[1]Adubos e corretivos'!T82</f>
        <v>0</v>
      </c>
      <c r="AN179" s="305">
        <f>'[1]Adubos e corretivos'!U82</f>
        <v>0</v>
      </c>
      <c r="AO179" s="305">
        <f>'[1]Adubos e corretivos'!V82</f>
        <v>0</v>
      </c>
    </row>
    <row r="186" spans="11:46" ht="19.5" customHeight="1" x14ac:dyDescent="0.25">
      <c r="U186" s="537" t="s">
        <v>136</v>
      </c>
      <c r="V186" s="537" t="s">
        <v>76</v>
      </c>
      <c r="W186" s="537" t="s">
        <v>77</v>
      </c>
      <c r="X186" s="537" t="s">
        <v>78</v>
      </c>
      <c r="Y186" s="537"/>
      <c r="Z186" s="537"/>
      <c r="AA186" s="538" t="s">
        <v>623</v>
      </c>
      <c r="AB186" s="538"/>
      <c r="AC186" s="538"/>
      <c r="AD186" s="538"/>
      <c r="AE186" s="538"/>
      <c r="AH186" s="312"/>
      <c r="AI186" s="312"/>
      <c r="AJ186" s="312"/>
      <c r="AK186" s="312"/>
      <c r="AL186" s="312"/>
      <c r="AM186" s="312"/>
      <c r="AN186" s="312"/>
      <c r="AO186" s="312"/>
      <c r="AP186" s="313"/>
      <c r="AQ186" s="313"/>
      <c r="AR186" s="313"/>
      <c r="AS186" s="313"/>
      <c r="AT186" s="313"/>
    </row>
    <row r="187" spans="11:46" ht="32.25" customHeight="1" x14ac:dyDescent="0.25">
      <c r="U187" s="537"/>
      <c r="V187" s="537"/>
      <c r="W187" s="537"/>
      <c r="X187" s="314" t="s">
        <v>33</v>
      </c>
      <c r="Y187" s="314" t="s">
        <v>66</v>
      </c>
      <c r="Z187" s="314" t="s">
        <v>67</v>
      </c>
      <c r="AA187" s="314" t="s">
        <v>624</v>
      </c>
      <c r="AB187" s="314" t="s">
        <v>625</v>
      </c>
      <c r="AC187" s="314" t="s">
        <v>33</v>
      </c>
      <c r="AD187" s="314" t="s">
        <v>66</v>
      </c>
      <c r="AE187" s="314" t="s">
        <v>224</v>
      </c>
      <c r="AH187" s="313"/>
      <c r="AI187" s="313"/>
      <c r="AJ187" s="313"/>
      <c r="AK187" s="313"/>
      <c r="AL187" s="313"/>
      <c r="AM187" s="313"/>
      <c r="AN187" s="313"/>
      <c r="AO187" s="313"/>
      <c r="AP187" s="215"/>
      <c r="AQ187" s="215"/>
      <c r="AR187" s="215"/>
      <c r="AS187" s="215"/>
      <c r="AT187" s="215"/>
    </row>
    <row r="188" spans="11:46" ht="19.5" customHeight="1" x14ac:dyDescent="0.25">
      <c r="U188" s="535" t="s">
        <v>626</v>
      </c>
      <c r="V188" s="315" t="str">
        <f>O117</f>
        <v>Esterco de galinha</v>
      </c>
      <c r="W188" s="316">
        <f>(VLOOKUP(V188,$V$100:$AB$179,2,0))</f>
        <v>0.25</v>
      </c>
      <c r="X188" s="316">
        <f>(VLOOKUP(V188,$V$100:$AB$179,3,0))</f>
        <v>3</v>
      </c>
      <c r="Y188" s="316">
        <f>(VLOOKUP(V188,$V$100:$AB$179,5,0))</f>
        <v>3</v>
      </c>
      <c r="Z188" s="316">
        <f>(VLOOKUP(V188,$V$100:$AB$179,7,0))</f>
        <v>2</v>
      </c>
      <c r="AA188" s="317">
        <v>0</v>
      </c>
      <c r="AB188" s="317">
        <f>AA188*W188</f>
        <v>0</v>
      </c>
      <c r="AC188" s="317">
        <f>AA188*X188%</f>
        <v>0</v>
      </c>
      <c r="AD188" s="317">
        <f>AA188*Y188%</f>
        <v>0</v>
      </c>
      <c r="AE188" s="317">
        <f>AA188*Z188%</f>
        <v>0</v>
      </c>
      <c r="AH188" s="318"/>
      <c r="AI188" s="318"/>
      <c r="AJ188" s="318"/>
      <c r="AK188" s="318"/>
      <c r="AL188" s="318"/>
      <c r="AM188" s="318"/>
      <c r="AN188" s="318"/>
      <c r="AO188" s="318"/>
      <c r="AP188" s="215"/>
      <c r="AQ188" s="215"/>
      <c r="AR188" s="215"/>
      <c r="AS188" s="215"/>
      <c r="AT188" s="215"/>
    </row>
    <row r="189" spans="11:46" ht="19.5" customHeight="1" x14ac:dyDescent="0.25">
      <c r="U189" s="535"/>
      <c r="V189" s="315" t="str">
        <f t="shared" ref="V189:V214" si="18">O118</f>
        <v>Esterco de gado</v>
      </c>
      <c r="W189" s="316">
        <f t="shared" ref="W189:W214" si="19">(VLOOKUP(V189,$V$100:$AB$179,2,0))</f>
        <v>0.25</v>
      </c>
      <c r="X189" s="316">
        <f t="shared" ref="X189:X214" si="20">(VLOOKUP(V189,$V$100:$AB$179,3,0))</f>
        <v>1</v>
      </c>
      <c r="Y189" s="316">
        <f t="shared" ref="Y189:Y214" si="21">(VLOOKUP(V189,$V$100:$AB$179,5,0))</f>
        <v>1</v>
      </c>
      <c r="Z189" s="316">
        <f t="shared" ref="Z189:Z214" si="22">(VLOOKUP(V189,$V$100:$AB$179,7,0))</f>
        <v>0.7</v>
      </c>
      <c r="AA189" s="317">
        <v>0</v>
      </c>
      <c r="AB189" s="317">
        <f t="shared" ref="AB189:AB214" si="23">AA189*W189</f>
        <v>0</v>
      </c>
      <c r="AC189" s="317">
        <f t="shared" ref="AC189:AC214" si="24">AA189*X189%</f>
        <v>0</v>
      </c>
      <c r="AD189" s="317">
        <f t="shared" ref="AD189:AD214" si="25">AA189*Y189%</f>
        <v>0</v>
      </c>
      <c r="AE189" s="317">
        <f t="shared" ref="AE189:AE214" si="26">AA189*Z189%</f>
        <v>0</v>
      </c>
      <c r="AH189" s="318"/>
      <c r="AI189" s="318"/>
      <c r="AJ189" s="318"/>
      <c r="AK189" s="318"/>
      <c r="AL189" s="318"/>
      <c r="AM189" s="318"/>
      <c r="AN189" s="318"/>
      <c r="AO189" s="318"/>
      <c r="AP189" s="215"/>
      <c r="AQ189" s="215"/>
      <c r="AR189" s="215"/>
      <c r="AS189" s="215"/>
      <c r="AT189" s="215"/>
    </row>
    <row r="190" spans="11:46" ht="19.5" customHeight="1" x14ac:dyDescent="0.25">
      <c r="U190" s="535"/>
      <c r="V190" s="315" t="str">
        <f t="shared" si="18"/>
        <v>Minhofertil (61 3361-6634)</v>
      </c>
      <c r="W190" s="316" t="e">
        <f t="shared" si="19"/>
        <v>#N/A</v>
      </c>
      <c r="X190" s="316" t="e">
        <f t="shared" si="20"/>
        <v>#N/A</v>
      </c>
      <c r="Y190" s="316" t="e">
        <f t="shared" si="21"/>
        <v>#N/A</v>
      </c>
      <c r="Z190" s="316" t="e">
        <f t="shared" si="22"/>
        <v>#N/A</v>
      </c>
      <c r="AA190" s="317">
        <v>5.6843418860808015E-14</v>
      </c>
      <c r="AB190" s="317" t="e">
        <f t="shared" si="23"/>
        <v>#N/A</v>
      </c>
      <c r="AC190" s="317" t="e">
        <f t="shared" si="24"/>
        <v>#N/A</v>
      </c>
      <c r="AD190" s="317" t="e">
        <f t="shared" si="25"/>
        <v>#N/A</v>
      </c>
      <c r="AE190" s="317" t="e">
        <f t="shared" si="26"/>
        <v>#N/A</v>
      </c>
      <c r="AH190" s="318"/>
      <c r="AI190" s="318"/>
      <c r="AJ190" s="318"/>
      <c r="AK190" s="318"/>
      <c r="AL190" s="318"/>
      <c r="AM190" s="318"/>
      <c r="AN190" s="318"/>
      <c r="AO190" s="318"/>
      <c r="AP190" s="215"/>
      <c r="AQ190" s="215"/>
      <c r="AR190" s="215"/>
      <c r="AS190" s="215"/>
      <c r="AT190" s="215"/>
    </row>
    <row r="191" spans="11:46" ht="19.5" customHeight="1" x14ac:dyDescent="0.25">
      <c r="U191" s="535"/>
      <c r="V191" s="315" t="str">
        <f t="shared" si="18"/>
        <v>Composto ORGANICS (062 3247-3100)</v>
      </c>
      <c r="W191" s="316" t="e">
        <f t="shared" si="19"/>
        <v>#N/A</v>
      </c>
      <c r="X191" s="316" t="e">
        <f t="shared" si="20"/>
        <v>#N/A</v>
      </c>
      <c r="Y191" s="316" t="e">
        <f t="shared" si="21"/>
        <v>#N/A</v>
      </c>
      <c r="Z191" s="316" t="e">
        <f t="shared" si="22"/>
        <v>#N/A</v>
      </c>
      <c r="AA191" s="317">
        <v>3.6785727068673189</v>
      </c>
      <c r="AB191" s="317" t="e">
        <f t="shared" si="23"/>
        <v>#N/A</v>
      </c>
      <c r="AC191" s="317" t="e">
        <f t="shared" si="24"/>
        <v>#N/A</v>
      </c>
      <c r="AD191" s="317" t="e">
        <f t="shared" si="25"/>
        <v>#N/A</v>
      </c>
      <c r="AE191" s="317" t="e">
        <f t="shared" si="26"/>
        <v>#N/A</v>
      </c>
      <c r="AH191" s="318"/>
      <c r="AI191" s="318"/>
      <c r="AJ191" s="318"/>
      <c r="AK191" s="318"/>
      <c r="AL191" s="318"/>
      <c r="AM191" s="318"/>
      <c r="AN191" s="318"/>
      <c r="AO191" s="318"/>
      <c r="AP191" s="215"/>
      <c r="AQ191" s="215"/>
      <c r="AR191" s="215"/>
      <c r="AS191" s="215"/>
      <c r="AT191" s="215"/>
    </row>
    <row r="192" spans="11:46" ht="19.5" customHeight="1" x14ac:dyDescent="0.25">
      <c r="U192" s="535"/>
      <c r="V192" s="315" t="str">
        <f t="shared" si="18"/>
        <v>Composto Bioforte BONASA (061 9 9967-0863)</v>
      </c>
      <c r="W192" s="316" t="e">
        <f t="shared" si="19"/>
        <v>#N/A</v>
      </c>
      <c r="X192" s="316" t="e">
        <f t="shared" si="20"/>
        <v>#N/A</v>
      </c>
      <c r="Y192" s="316" t="e">
        <f t="shared" si="21"/>
        <v>#N/A</v>
      </c>
      <c r="Z192" s="316" t="e">
        <f t="shared" si="22"/>
        <v>#N/A</v>
      </c>
      <c r="AA192" s="317">
        <v>0</v>
      </c>
      <c r="AB192" s="317" t="e">
        <f t="shared" si="23"/>
        <v>#N/A</v>
      </c>
      <c r="AC192" s="317" t="e">
        <f t="shared" si="24"/>
        <v>#N/A</v>
      </c>
      <c r="AD192" s="317" t="e">
        <f t="shared" si="25"/>
        <v>#N/A</v>
      </c>
      <c r="AE192" s="317" t="e">
        <f t="shared" si="26"/>
        <v>#N/A</v>
      </c>
      <c r="AH192" s="318"/>
      <c r="AI192" s="318"/>
      <c r="AJ192" s="318"/>
      <c r="AK192" s="318"/>
      <c r="AL192" s="318"/>
      <c r="AM192" s="318"/>
      <c r="AN192" s="318"/>
      <c r="AO192" s="318"/>
      <c r="AP192" s="215"/>
      <c r="AQ192" s="215"/>
      <c r="AR192" s="215"/>
      <c r="AS192" s="215"/>
      <c r="AT192" s="215"/>
    </row>
    <row r="193" spans="21:46" ht="19.5" customHeight="1" x14ac:dyDescent="0.25">
      <c r="U193" s="535"/>
      <c r="V193" s="315" t="str">
        <f t="shared" si="18"/>
        <v>Composto Bioensima BONASA (061 9 9967-0863)</v>
      </c>
      <c r="W193" s="316" t="e">
        <f t="shared" si="19"/>
        <v>#N/A</v>
      </c>
      <c r="X193" s="316" t="e">
        <f t="shared" si="20"/>
        <v>#N/A</v>
      </c>
      <c r="Y193" s="316" t="e">
        <f t="shared" si="21"/>
        <v>#N/A</v>
      </c>
      <c r="Z193" s="316" t="e">
        <f t="shared" si="22"/>
        <v>#N/A</v>
      </c>
      <c r="AA193" s="317">
        <v>35416.666628886451</v>
      </c>
      <c r="AB193" s="317" t="e">
        <f t="shared" si="23"/>
        <v>#N/A</v>
      </c>
      <c r="AC193" s="317" t="e">
        <f t="shared" si="24"/>
        <v>#N/A</v>
      </c>
      <c r="AD193" s="317" t="e">
        <f t="shared" si="25"/>
        <v>#N/A</v>
      </c>
      <c r="AE193" s="317" t="e">
        <f t="shared" si="26"/>
        <v>#N/A</v>
      </c>
      <c r="AH193" s="318"/>
      <c r="AI193" s="318"/>
      <c r="AJ193" s="318"/>
      <c r="AK193" s="318"/>
      <c r="AL193" s="318"/>
      <c r="AM193" s="318"/>
      <c r="AN193" s="318"/>
      <c r="AO193" s="318"/>
      <c r="AP193" s="215"/>
      <c r="AQ193" s="215"/>
      <c r="AR193" s="215"/>
      <c r="AS193" s="215"/>
      <c r="AT193" s="215"/>
    </row>
    <row r="194" spans="21:46" ht="19.5" customHeight="1" x14ac:dyDescent="0.25">
      <c r="U194" s="535"/>
      <c r="V194" s="315" t="str">
        <f t="shared" si="18"/>
        <v>Bokashi Carlos (061 9 9681-3730)</v>
      </c>
      <c r="W194" s="316" t="e">
        <f t="shared" si="19"/>
        <v>#N/A</v>
      </c>
      <c r="X194" s="316" t="e">
        <f t="shared" si="20"/>
        <v>#N/A</v>
      </c>
      <c r="Y194" s="316" t="e">
        <f t="shared" si="21"/>
        <v>#N/A</v>
      </c>
      <c r="Z194" s="316" t="e">
        <f t="shared" si="22"/>
        <v>#N/A</v>
      </c>
      <c r="AA194" s="317">
        <v>4547.0477514809891</v>
      </c>
      <c r="AB194" s="317" t="e">
        <f t="shared" si="23"/>
        <v>#N/A</v>
      </c>
      <c r="AC194" s="317" t="e">
        <f t="shared" si="24"/>
        <v>#N/A</v>
      </c>
      <c r="AD194" s="317" t="e">
        <f t="shared" si="25"/>
        <v>#N/A</v>
      </c>
      <c r="AE194" s="317" t="e">
        <f t="shared" si="26"/>
        <v>#N/A</v>
      </c>
      <c r="AH194" s="318"/>
      <c r="AI194" s="318"/>
      <c r="AJ194" s="318"/>
      <c r="AK194" s="318"/>
      <c r="AL194" s="318"/>
      <c r="AM194" s="318"/>
      <c r="AN194" s="318"/>
      <c r="AO194" s="318"/>
      <c r="AP194" s="215"/>
      <c r="AQ194" s="215"/>
      <c r="AR194" s="215"/>
      <c r="AS194" s="215"/>
      <c r="AT194" s="215"/>
    </row>
    <row r="195" spans="21:46" ht="19.5" customHeight="1" x14ac:dyDescent="0.25">
      <c r="U195" s="535"/>
      <c r="V195" s="315" t="str">
        <f t="shared" si="18"/>
        <v>Bokashi Valdemar (9 9811-2414)</v>
      </c>
      <c r="W195" s="316" t="e">
        <f t="shared" si="19"/>
        <v>#N/A</v>
      </c>
      <c r="X195" s="316" t="e">
        <f t="shared" si="20"/>
        <v>#N/A</v>
      </c>
      <c r="Y195" s="316" t="e">
        <f t="shared" si="21"/>
        <v>#N/A</v>
      </c>
      <c r="Z195" s="316" t="e">
        <f t="shared" si="22"/>
        <v>#N/A</v>
      </c>
      <c r="AA195" s="317">
        <v>5108.9959152090014</v>
      </c>
      <c r="AB195" s="317" t="e">
        <f t="shared" si="23"/>
        <v>#N/A</v>
      </c>
      <c r="AC195" s="317" t="e">
        <f t="shared" si="24"/>
        <v>#N/A</v>
      </c>
      <c r="AD195" s="317" t="e">
        <f t="shared" si="25"/>
        <v>#N/A</v>
      </c>
      <c r="AE195" s="317" t="e">
        <f t="shared" si="26"/>
        <v>#N/A</v>
      </c>
      <c r="AH195" s="318"/>
      <c r="AI195" s="318"/>
      <c r="AJ195" s="318"/>
      <c r="AK195" s="318"/>
      <c r="AL195" s="318"/>
      <c r="AM195" s="318"/>
      <c r="AN195" s="318"/>
      <c r="AO195" s="318"/>
      <c r="AP195" s="215"/>
      <c r="AQ195" s="215"/>
      <c r="AR195" s="215"/>
      <c r="AS195" s="215"/>
      <c r="AT195" s="215"/>
    </row>
    <row r="196" spans="21:46" ht="19.5" customHeight="1" x14ac:dyDescent="0.25">
      <c r="U196" s="535"/>
      <c r="V196" s="315" t="str">
        <f t="shared" si="18"/>
        <v>Biobokashi Farelado FERTIBIO (61 9827-4439)</v>
      </c>
      <c r="W196" s="316" t="e">
        <f t="shared" si="19"/>
        <v>#N/A</v>
      </c>
      <c r="X196" s="316" t="e">
        <f t="shared" si="20"/>
        <v>#N/A</v>
      </c>
      <c r="Y196" s="316" t="e">
        <f t="shared" si="21"/>
        <v>#N/A</v>
      </c>
      <c r="Z196" s="316" t="e">
        <f t="shared" si="22"/>
        <v>#N/A</v>
      </c>
      <c r="AA196" s="317">
        <v>0</v>
      </c>
      <c r="AB196" s="317" t="e">
        <f t="shared" si="23"/>
        <v>#N/A</v>
      </c>
      <c r="AC196" s="317" t="e">
        <f t="shared" si="24"/>
        <v>#N/A</v>
      </c>
      <c r="AD196" s="317" t="e">
        <f t="shared" si="25"/>
        <v>#N/A</v>
      </c>
      <c r="AE196" s="317" t="e">
        <f t="shared" si="26"/>
        <v>#N/A</v>
      </c>
      <c r="AH196" s="318"/>
      <c r="AI196" s="318"/>
      <c r="AJ196" s="318"/>
      <c r="AK196" s="318"/>
      <c r="AL196" s="318"/>
      <c r="AM196" s="318"/>
      <c r="AN196" s="318"/>
      <c r="AO196" s="318"/>
      <c r="AP196" s="215"/>
      <c r="AQ196" s="215"/>
      <c r="AR196" s="215"/>
      <c r="AS196" s="215"/>
      <c r="AT196" s="215"/>
    </row>
    <row r="197" spans="21:46" ht="19.5" customHeight="1" x14ac:dyDescent="0.25">
      <c r="U197" s="535"/>
      <c r="V197" s="315" t="str">
        <f t="shared" si="18"/>
        <v>Torta de mamona Super thorg (061 9 9827-4439)</v>
      </c>
      <c r="W197" s="316" t="e">
        <f t="shared" si="19"/>
        <v>#N/A</v>
      </c>
      <c r="X197" s="316" t="e">
        <f t="shared" si="20"/>
        <v>#N/A</v>
      </c>
      <c r="Y197" s="316" t="e">
        <f t="shared" si="21"/>
        <v>#N/A</v>
      </c>
      <c r="Z197" s="316" t="e">
        <f t="shared" si="22"/>
        <v>#N/A</v>
      </c>
      <c r="AA197" s="317">
        <v>-7.1054273576010019E-15</v>
      </c>
      <c r="AB197" s="317" t="e">
        <f t="shared" si="23"/>
        <v>#N/A</v>
      </c>
      <c r="AC197" s="317" t="e">
        <f t="shared" si="24"/>
        <v>#N/A</v>
      </c>
      <c r="AD197" s="317" t="e">
        <f t="shared" si="25"/>
        <v>#N/A</v>
      </c>
      <c r="AE197" s="317" t="e">
        <f t="shared" si="26"/>
        <v>#N/A</v>
      </c>
      <c r="AH197" s="318"/>
      <c r="AI197" s="318"/>
      <c r="AJ197" s="318"/>
      <c r="AK197" s="318"/>
      <c r="AL197" s="318"/>
      <c r="AM197" s="318"/>
      <c r="AN197" s="318"/>
      <c r="AO197" s="318"/>
      <c r="AP197" s="215"/>
      <c r="AQ197" s="215"/>
      <c r="AR197" s="215"/>
      <c r="AS197" s="215"/>
      <c r="AT197" s="215"/>
    </row>
    <row r="198" spans="21:46" ht="19.5" customHeight="1" x14ac:dyDescent="0.25">
      <c r="U198" s="535"/>
      <c r="V198" s="315" t="str">
        <f t="shared" si="18"/>
        <v>Torta de mamona Nutrisafra (062 3310-8133)</v>
      </c>
      <c r="W198" s="316" t="e">
        <f t="shared" si="19"/>
        <v>#N/A</v>
      </c>
      <c r="X198" s="316" t="e">
        <f t="shared" si="20"/>
        <v>#N/A</v>
      </c>
      <c r="Y198" s="316" t="e">
        <f t="shared" si="21"/>
        <v>#N/A</v>
      </c>
      <c r="Z198" s="316" t="e">
        <f t="shared" si="22"/>
        <v>#N/A</v>
      </c>
      <c r="AA198" s="317">
        <v>0</v>
      </c>
      <c r="AB198" s="317" t="e">
        <f t="shared" si="23"/>
        <v>#N/A</v>
      </c>
      <c r="AC198" s="317" t="e">
        <f t="shared" si="24"/>
        <v>#N/A</v>
      </c>
      <c r="AD198" s="317" t="e">
        <f t="shared" si="25"/>
        <v>#N/A</v>
      </c>
      <c r="AE198" s="317" t="e">
        <f t="shared" si="26"/>
        <v>#N/A</v>
      </c>
      <c r="AH198" s="318"/>
      <c r="AI198" s="318"/>
      <c r="AJ198" s="318"/>
      <c r="AK198" s="318"/>
      <c r="AL198" s="318"/>
      <c r="AM198" s="318"/>
      <c r="AN198" s="318"/>
      <c r="AO198" s="318"/>
      <c r="AP198" s="215"/>
      <c r="AQ198" s="215"/>
      <c r="AR198" s="215"/>
      <c r="AS198" s="215"/>
      <c r="AT198" s="215"/>
    </row>
    <row r="199" spans="21:46" ht="19.5" customHeight="1" x14ac:dyDescent="0.25">
      <c r="U199" s="535"/>
      <c r="V199" s="315" t="str">
        <f t="shared" si="18"/>
        <v>Torta de mamona Vitaplan (061 3234-8485)</v>
      </c>
      <c r="W199" s="316" t="e">
        <f t="shared" si="19"/>
        <v>#N/A</v>
      </c>
      <c r="X199" s="316" t="e">
        <f t="shared" si="20"/>
        <v>#N/A</v>
      </c>
      <c r="Y199" s="316" t="e">
        <f t="shared" si="21"/>
        <v>#N/A</v>
      </c>
      <c r="Z199" s="316" t="e">
        <f t="shared" si="22"/>
        <v>#N/A</v>
      </c>
      <c r="AA199" s="317">
        <v>1.1368683772161603E-13</v>
      </c>
      <c r="AB199" s="317" t="e">
        <f t="shared" si="23"/>
        <v>#N/A</v>
      </c>
      <c r="AC199" s="317" t="e">
        <f t="shared" si="24"/>
        <v>#N/A</v>
      </c>
      <c r="AD199" s="317" t="e">
        <f t="shared" si="25"/>
        <v>#N/A</v>
      </c>
      <c r="AE199" s="317" t="e">
        <f t="shared" si="26"/>
        <v>#N/A</v>
      </c>
      <c r="AH199" s="318"/>
      <c r="AI199" s="318"/>
      <c r="AJ199" s="318"/>
      <c r="AK199" s="318"/>
      <c r="AL199" s="318"/>
      <c r="AM199" s="318"/>
      <c r="AN199" s="318"/>
      <c r="AO199" s="318"/>
      <c r="AP199" s="215"/>
      <c r="AQ199" s="215"/>
      <c r="AR199" s="215"/>
      <c r="AS199" s="215"/>
      <c r="AT199" s="215"/>
    </row>
    <row r="200" spans="21:46" ht="19.5" customHeight="1" x14ac:dyDescent="0.25">
      <c r="U200" s="535"/>
      <c r="V200" s="315" t="str">
        <f t="shared" si="18"/>
        <v>Farinha de osso</v>
      </c>
      <c r="W200" s="316">
        <f t="shared" si="19"/>
        <v>0</v>
      </c>
      <c r="X200" s="316">
        <f t="shared" si="20"/>
        <v>0</v>
      </c>
      <c r="Y200" s="316">
        <f t="shared" si="21"/>
        <v>42</v>
      </c>
      <c r="Z200" s="316">
        <f t="shared" si="22"/>
        <v>0</v>
      </c>
      <c r="AA200" s="317">
        <v>0</v>
      </c>
      <c r="AB200" s="317">
        <f t="shared" si="23"/>
        <v>0</v>
      </c>
      <c r="AC200" s="317">
        <f t="shared" si="24"/>
        <v>0</v>
      </c>
      <c r="AD200" s="317">
        <f t="shared" si="25"/>
        <v>0</v>
      </c>
      <c r="AE200" s="317">
        <f t="shared" si="26"/>
        <v>0</v>
      </c>
      <c r="AH200" s="318"/>
      <c r="AI200" s="318"/>
      <c r="AJ200" s="318"/>
      <c r="AK200" s="318"/>
      <c r="AL200" s="318"/>
      <c r="AM200" s="318"/>
      <c r="AN200" s="318"/>
      <c r="AO200" s="318"/>
      <c r="AP200" s="215"/>
      <c r="AQ200" s="215"/>
      <c r="AR200" s="215"/>
      <c r="AS200" s="215"/>
      <c r="AT200" s="215"/>
    </row>
    <row r="201" spans="21:46" ht="19.5" customHeight="1" x14ac:dyDescent="0.2">
      <c r="U201" s="535"/>
      <c r="V201" s="315" t="str">
        <f t="shared" si="18"/>
        <v>Termofosfato YOORIN</v>
      </c>
      <c r="W201" s="316">
        <f t="shared" si="19"/>
        <v>2.3250000000000002</v>
      </c>
      <c r="X201" s="316">
        <f t="shared" si="20"/>
        <v>0</v>
      </c>
      <c r="Y201" s="316">
        <f t="shared" si="21"/>
        <v>17.5</v>
      </c>
      <c r="Z201" s="316">
        <f t="shared" si="22"/>
        <v>0</v>
      </c>
      <c r="AA201" s="317">
        <v>0</v>
      </c>
      <c r="AB201" s="317">
        <f t="shared" si="23"/>
        <v>0</v>
      </c>
      <c r="AC201" s="317">
        <f t="shared" si="24"/>
        <v>0</v>
      </c>
      <c r="AD201" s="317">
        <f t="shared" si="25"/>
        <v>0</v>
      </c>
      <c r="AE201" s="317">
        <f t="shared" si="26"/>
        <v>0</v>
      </c>
      <c r="AH201" s="319"/>
      <c r="AI201" s="319"/>
      <c r="AJ201" s="319"/>
      <c r="AK201" s="319"/>
      <c r="AL201" s="319"/>
      <c r="AM201" s="319"/>
      <c r="AN201" s="319"/>
      <c r="AO201" s="319"/>
      <c r="AP201" s="215"/>
      <c r="AQ201" s="215"/>
      <c r="AR201" s="215"/>
      <c r="AS201" s="215"/>
      <c r="AT201" s="215"/>
    </row>
    <row r="202" spans="21:46" ht="19.5" customHeight="1" x14ac:dyDescent="0.25">
      <c r="U202" s="535"/>
      <c r="V202" s="315" t="str">
        <f>O131</f>
        <v>Kmag</v>
      </c>
      <c r="W202" s="316">
        <f t="shared" si="19"/>
        <v>2.9</v>
      </c>
      <c r="X202" s="316">
        <f t="shared" si="20"/>
        <v>0</v>
      </c>
      <c r="Y202" s="316">
        <f t="shared" si="21"/>
        <v>0</v>
      </c>
      <c r="Z202" s="316">
        <f t="shared" si="22"/>
        <v>21</v>
      </c>
      <c r="AA202" s="317">
        <v>963.62433740756171</v>
      </c>
      <c r="AB202" s="317">
        <f t="shared" si="23"/>
        <v>2794.5105784819289</v>
      </c>
      <c r="AC202" s="317">
        <f t="shared" si="24"/>
        <v>0</v>
      </c>
      <c r="AD202" s="317">
        <f t="shared" si="25"/>
        <v>0</v>
      </c>
      <c r="AE202" s="317">
        <f t="shared" si="26"/>
        <v>202.36111085558795</v>
      </c>
    </row>
    <row r="203" spans="21:46" ht="19.5" customHeight="1" x14ac:dyDescent="0.25">
      <c r="U203" s="535"/>
      <c r="V203" s="315" t="str">
        <f t="shared" si="18"/>
        <v>Algas marinhas Algen</v>
      </c>
      <c r="W203" s="316">
        <f t="shared" si="19"/>
        <v>1.96</v>
      </c>
      <c r="X203" s="316">
        <f t="shared" si="20"/>
        <v>0</v>
      </c>
      <c r="Y203" s="316">
        <f t="shared" si="21"/>
        <v>0</v>
      </c>
      <c r="Z203" s="316">
        <f t="shared" si="22"/>
        <v>0</v>
      </c>
      <c r="AA203" s="317">
        <v>0</v>
      </c>
      <c r="AB203" s="317">
        <f t="shared" si="23"/>
        <v>0</v>
      </c>
      <c r="AC203" s="317">
        <f t="shared" si="24"/>
        <v>0</v>
      </c>
      <c r="AD203" s="317">
        <f t="shared" si="25"/>
        <v>0</v>
      </c>
      <c r="AE203" s="317">
        <f t="shared" si="26"/>
        <v>0</v>
      </c>
    </row>
    <row r="204" spans="21:46" ht="19.5" customHeight="1" x14ac:dyDescent="0.25">
      <c r="U204" s="535"/>
      <c r="V204" s="315" t="str">
        <f t="shared" si="18"/>
        <v>Torta de mamona Hortibraz</v>
      </c>
      <c r="W204" s="316" t="e">
        <f t="shared" si="19"/>
        <v>#N/A</v>
      </c>
      <c r="X204" s="316" t="e">
        <f t="shared" si="20"/>
        <v>#N/A</v>
      </c>
      <c r="Y204" s="316" t="e">
        <f t="shared" si="21"/>
        <v>#N/A</v>
      </c>
      <c r="Z204" s="316" t="e">
        <f t="shared" si="22"/>
        <v>#N/A</v>
      </c>
      <c r="AA204" s="317">
        <v>0</v>
      </c>
      <c r="AB204" s="317" t="e">
        <f t="shared" si="23"/>
        <v>#N/A</v>
      </c>
      <c r="AC204" s="317" t="e">
        <f t="shared" si="24"/>
        <v>#N/A</v>
      </c>
      <c r="AD204" s="317" t="e">
        <f t="shared" si="25"/>
        <v>#N/A</v>
      </c>
      <c r="AE204" s="317" t="e">
        <f t="shared" si="26"/>
        <v>#N/A</v>
      </c>
    </row>
    <row r="205" spans="21:46" ht="19.5" customHeight="1" x14ac:dyDescent="0.25">
      <c r="U205" s="535"/>
      <c r="V205" s="315">
        <f t="shared" si="18"/>
        <v>0</v>
      </c>
      <c r="W205" s="316">
        <f t="shared" si="19"/>
        <v>0</v>
      </c>
      <c r="X205" s="316">
        <f t="shared" si="20"/>
        <v>0</v>
      </c>
      <c r="Y205" s="316">
        <f t="shared" si="21"/>
        <v>0</v>
      </c>
      <c r="Z205" s="316">
        <f t="shared" si="22"/>
        <v>0</v>
      </c>
      <c r="AA205" s="317">
        <v>0</v>
      </c>
      <c r="AB205" s="317">
        <f t="shared" si="23"/>
        <v>0</v>
      </c>
      <c r="AC205" s="317">
        <f t="shared" si="24"/>
        <v>0</v>
      </c>
      <c r="AD205" s="317">
        <f t="shared" si="25"/>
        <v>0</v>
      </c>
      <c r="AE205" s="317">
        <f t="shared" si="26"/>
        <v>0</v>
      </c>
    </row>
    <row r="206" spans="21:46" ht="19.5" customHeight="1" x14ac:dyDescent="0.25">
      <c r="U206" s="535"/>
      <c r="V206" s="315">
        <f t="shared" si="18"/>
        <v>0</v>
      </c>
      <c r="W206" s="316">
        <f t="shared" si="19"/>
        <v>0</v>
      </c>
      <c r="X206" s="316">
        <f t="shared" si="20"/>
        <v>0</v>
      </c>
      <c r="Y206" s="316">
        <f t="shared" si="21"/>
        <v>0</v>
      </c>
      <c r="Z206" s="316">
        <f t="shared" si="22"/>
        <v>0</v>
      </c>
      <c r="AA206" s="317">
        <v>0</v>
      </c>
      <c r="AB206" s="317">
        <f t="shared" si="23"/>
        <v>0</v>
      </c>
      <c r="AC206" s="317">
        <f t="shared" si="24"/>
        <v>0</v>
      </c>
      <c r="AD206" s="317">
        <f t="shared" si="25"/>
        <v>0</v>
      </c>
      <c r="AE206" s="317">
        <f t="shared" si="26"/>
        <v>0</v>
      </c>
    </row>
    <row r="207" spans="21:46" ht="19.5" customHeight="1" x14ac:dyDescent="0.25">
      <c r="U207" s="535"/>
      <c r="V207" s="315">
        <f t="shared" si="18"/>
        <v>0</v>
      </c>
      <c r="W207" s="316">
        <f t="shared" si="19"/>
        <v>0</v>
      </c>
      <c r="X207" s="316">
        <f t="shared" si="20"/>
        <v>0</v>
      </c>
      <c r="Y207" s="316">
        <f t="shared" si="21"/>
        <v>0</v>
      </c>
      <c r="Z207" s="316">
        <f t="shared" si="22"/>
        <v>0</v>
      </c>
      <c r="AA207" s="317">
        <v>0</v>
      </c>
      <c r="AB207" s="317">
        <f t="shared" si="23"/>
        <v>0</v>
      </c>
      <c r="AC207" s="317">
        <f t="shared" si="24"/>
        <v>0</v>
      </c>
      <c r="AD207" s="317">
        <f t="shared" si="25"/>
        <v>0</v>
      </c>
      <c r="AE207" s="317">
        <f t="shared" si="26"/>
        <v>0</v>
      </c>
    </row>
    <row r="208" spans="21:46" ht="19.5" customHeight="1" x14ac:dyDescent="0.25">
      <c r="U208" s="535"/>
      <c r="V208" s="315">
        <f t="shared" si="18"/>
        <v>0</v>
      </c>
      <c r="W208" s="316">
        <f t="shared" si="19"/>
        <v>0</v>
      </c>
      <c r="X208" s="316">
        <f t="shared" si="20"/>
        <v>0</v>
      </c>
      <c r="Y208" s="316">
        <f t="shared" si="21"/>
        <v>0</v>
      </c>
      <c r="Z208" s="316">
        <f t="shared" si="22"/>
        <v>0</v>
      </c>
      <c r="AA208" s="317">
        <v>0</v>
      </c>
      <c r="AB208" s="317">
        <f t="shared" si="23"/>
        <v>0</v>
      </c>
      <c r="AC208" s="317">
        <f t="shared" si="24"/>
        <v>0</v>
      </c>
      <c r="AD208" s="317">
        <f t="shared" si="25"/>
        <v>0</v>
      </c>
      <c r="AE208" s="317">
        <f t="shared" si="26"/>
        <v>0</v>
      </c>
    </row>
    <row r="209" spans="21:31" ht="19.5" customHeight="1" x14ac:dyDescent="0.25">
      <c r="U209" s="535"/>
      <c r="V209" s="315">
        <f>O138</f>
        <v>0</v>
      </c>
      <c r="W209" s="316">
        <f t="shared" si="19"/>
        <v>0</v>
      </c>
      <c r="X209" s="316">
        <f t="shared" si="20"/>
        <v>0</v>
      </c>
      <c r="Y209" s="316">
        <f t="shared" si="21"/>
        <v>0</v>
      </c>
      <c r="Z209" s="316">
        <f t="shared" si="22"/>
        <v>0</v>
      </c>
      <c r="AA209" s="317">
        <v>0</v>
      </c>
      <c r="AB209" s="317">
        <f t="shared" si="23"/>
        <v>0</v>
      </c>
      <c r="AC209" s="317">
        <f t="shared" si="24"/>
        <v>0</v>
      </c>
      <c r="AD209" s="317">
        <f t="shared" si="25"/>
        <v>0</v>
      </c>
      <c r="AE209" s="317">
        <f t="shared" si="26"/>
        <v>0</v>
      </c>
    </row>
    <row r="210" spans="21:31" ht="19.5" customHeight="1" x14ac:dyDescent="0.25">
      <c r="U210" s="535"/>
      <c r="V210" s="315">
        <f t="shared" si="18"/>
        <v>0</v>
      </c>
      <c r="W210" s="316">
        <f t="shared" si="19"/>
        <v>0</v>
      </c>
      <c r="X210" s="316">
        <f t="shared" si="20"/>
        <v>0</v>
      </c>
      <c r="Y210" s="316">
        <f t="shared" si="21"/>
        <v>0</v>
      </c>
      <c r="Z210" s="316">
        <f t="shared" si="22"/>
        <v>0</v>
      </c>
      <c r="AA210" s="317">
        <v>0</v>
      </c>
      <c r="AB210" s="317">
        <f t="shared" si="23"/>
        <v>0</v>
      </c>
      <c r="AC210" s="317">
        <f t="shared" si="24"/>
        <v>0</v>
      </c>
      <c r="AD210" s="317">
        <f t="shared" si="25"/>
        <v>0</v>
      </c>
      <c r="AE210" s="317">
        <f t="shared" si="26"/>
        <v>0</v>
      </c>
    </row>
    <row r="211" spans="21:31" ht="19.5" customHeight="1" x14ac:dyDescent="0.25">
      <c r="U211" s="535"/>
      <c r="V211" s="315">
        <f t="shared" si="18"/>
        <v>0</v>
      </c>
      <c r="W211" s="316">
        <f t="shared" si="19"/>
        <v>0</v>
      </c>
      <c r="X211" s="316">
        <f t="shared" si="20"/>
        <v>0</v>
      </c>
      <c r="Y211" s="316">
        <f t="shared" si="21"/>
        <v>0</v>
      </c>
      <c r="Z211" s="316">
        <f t="shared" si="22"/>
        <v>0</v>
      </c>
      <c r="AA211" s="317">
        <v>0</v>
      </c>
      <c r="AB211" s="317">
        <f t="shared" si="23"/>
        <v>0</v>
      </c>
      <c r="AC211" s="317">
        <f t="shared" si="24"/>
        <v>0</v>
      </c>
      <c r="AD211" s="317">
        <f t="shared" si="25"/>
        <v>0</v>
      </c>
      <c r="AE211" s="317">
        <f t="shared" si="26"/>
        <v>0</v>
      </c>
    </row>
    <row r="212" spans="21:31" ht="19.5" customHeight="1" x14ac:dyDescent="0.25">
      <c r="U212" s="535"/>
      <c r="V212" s="315">
        <f t="shared" si="18"/>
        <v>0</v>
      </c>
      <c r="W212" s="316">
        <f t="shared" si="19"/>
        <v>0</v>
      </c>
      <c r="X212" s="316">
        <f t="shared" si="20"/>
        <v>0</v>
      </c>
      <c r="Y212" s="316">
        <f t="shared" si="21"/>
        <v>0</v>
      </c>
      <c r="Z212" s="316">
        <f t="shared" si="22"/>
        <v>0</v>
      </c>
      <c r="AA212" s="317">
        <v>0</v>
      </c>
      <c r="AB212" s="317">
        <f t="shared" si="23"/>
        <v>0</v>
      </c>
      <c r="AC212" s="317">
        <f t="shared" si="24"/>
        <v>0</v>
      </c>
      <c r="AD212" s="317">
        <f t="shared" si="25"/>
        <v>0</v>
      </c>
      <c r="AE212" s="317">
        <f t="shared" si="26"/>
        <v>0</v>
      </c>
    </row>
    <row r="213" spans="21:31" ht="19.5" customHeight="1" x14ac:dyDescent="0.25">
      <c r="U213" s="535"/>
      <c r="V213" s="315">
        <f>O142</f>
        <v>0</v>
      </c>
      <c r="W213" s="316">
        <f t="shared" si="19"/>
        <v>0</v>
      </c>
      <c r="X213" s="316">
        <f t="shared" si="20"/>
        <v>0</v>
      </c>
      <c r="Y213" s="316">
        <f t="shared" si="21"/>
        <v>0</v>
      </c>
      <c r="Z213" s="316">
        <f t="shared" si="22"/>
        <v>0</v>
      </c>
      <c r="AA213" s="317">
        <v>0</v>
      </c>
      <c r="AB213" s="317">
        <f t="shared" si="23"/>
        <v>0</v>
      </c>
      <c r="AC213" s="317">
        <f t="shared" si="24"/>
        <v>0</v>
      </c>
      <c r="AD213" s="317">
        <f t="shared" si="25"/>
        <v>0</v>
      </c>
      <c r="AE213" s="317">
        <f t="shared" si="26"/>
        <v>0</v>
      </c>
    </row>
    <row r="214" spans="21:31" ht="19.5" customHeight="1" x14ac:dyDescent="0.25">
      <c r="U214" s="535"/>
      <c r="V214" s="315">
        <f t="shared" si="18"/>
        <v>0</v>
      </c>
      <c r="W214" s="316">
        <f t="shared" si="19"/>
        <v>0</v>
      </c>
      <c r="X214" s="316">
        <f t="shared" si="20"/>
        <v>0</v>
      </c>
      <c r="Y214" s="316">
        <f t="shared" si="21"/>
        <v>0</v>
      </c>
      <c r="Z214" s="316">
        <f t="shared" si="22"/>
        <v>0</v>
      </c>
      <c r="AA214" s="317">
        <v>0</v>
      </c>
      <c r="AB214" s="317">
        <f t="shared" si="23"/>
        <v>0</v>
      </c>
      <c r="AC214" s="317">
        <f t="shared" si="24"/>
        <v>0</v>
      </c>
      <c r="AD214" s="317">
        <f t="shared" si="25"/>
        <v>0</v>
      </c>
      <c r="AE214" s="317">
        <f t="shared" si="26"/>
        <v>0</v>
      </c>
    </row>
    <row r="215" spans="21:31" ht="19.5" customHeight="1" x14ac:dyDescent="0.2">
      <c r="AA215" s="320">
        <f>SUM(AA188:AA214)</f>
        <v>46040.013205690877</v>
      </c>
      <c r="AB215" s="320" t="e">
        <f>SUM(AB188:AB214)</f>
        <v>#N/A</v>
      </c>
      <c r="AC215" s="320" t="e">
        <f t="shared" ref="AC215:AE215" si="27">SUM(AC188:AC214)</f>
        <v>#N/A</v>
      </c>
      <c r="AD215" s="320" t="e">
        <f t="shared" si="27"/>
        <v>#N/A</v>
      </c>
      <c r="AE215" s="320" t="e">
        <f t="shared" si="27"/>
        <v>#N/A</v>
      </c>
    </row>
    <row r="220" spans="21:31" ht="19.5" customHeight="1" x14ac:dyDescent="0.25">
      <c r="AD220" s="23" t="s">
        <v>33</v>
      </c>
      <c r="AE220" s="23">
        <v>126</v>
      </c>
    </row>
    <row r="221" spans="21:31" ht="19.5" customHeight="1" x14ac:dyDescent="0.25">
      <c r="AD221" s="23" t="s">
        <v>66</v>
      </c>
      <c r="AE221" s="23">
        <v>108</v>
      </c>
    </row>
    <row r="222" spans="21:31" ht="19.5" customHeight="1" x14ac:dyDescent="0.25">
      <c r="AD222" s="23" t="s">
        <v>67</v>
      </c>
      <c r="AE222" s="23">
        <v>144</v>
      </c>
    </row>
  </sheetData>
  <mergeCells count="288">
    <mergeCell ref="AQ4:AR5"/>
    <mergeCell ref="AV4:AV5"/>
    <mergeCell ref="V6:X6"/>
    <mergeCell ref="AQ6:AR6"/>
    <mergeCell ref="Z7:AB7"/>
    <mergeCell ref="AF7:AM7"/>
    <mergeCell ref="AQ7:AR7"/>
    <mergeCell ref="M2:R2"/>
    <mergeCell ref="U3:X5"/>
    <mergeCell ref="Y3:AD6"/>
    <mergeCell ref="M4:N25"/>
    <mergeCell ref="O4:P4"/>
    <mergeCell ref="AP4:AP5"/>
    <mergeCell ref="AD8:AD11"/>
    <mergeCell ref="AG8:AH8"/>
    <mergeCell ref="AI8:AJ8"/>
    <mergeCell ref="AM18:AM20"/>
    <mergeCell ref="AQ8:AR8"/>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AF15:AF17"/>
    <mergeCell ref="AJ15:AJ17"/>
    <mergeCell ref="AK15:AK17"/>
    <mergeCell ref="AL15:AL17"/>
    <mergeCell ref="AM15:AM17"/>
    <mergeCell ref="B16:I16"/>
    <mergeCell ref="AP16:AP17"/>
    <mergeCell ref="AQ18:AR18"/>
    <mergeCell ref="AQ19:AR19"/>
    <mergeCell ref="B20:E20"/>
    <mergeCell ref="V20:X20"/>
    <mergeCell ref="AQ20:AR20"/>
    <mergeCell ref="Z21:AB21"/>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AQ35:AR35"/>
    <mergeCell ref="M36:R36"/>
    <mergeCell ref="AB36:AC36"/>
    <mergeCell ref="AQ36:AR36"/>
    <mergeCell ref="B30:C31"/>
    <mergeCell ref="E30:G30"/>
    <mergeCell ref="AQ30:AR30"/>
    <mergeCell ref="E31:G31"/>
    <mergeCell ref="O31:Q31"/>
    <mergeCell ref="AQ31:AR31"/>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AP43:AQ43"/>
    <mergeCell ref="B44:I44"/>
    <mergeCell ref="M44:R44"/>
    <mergeCell ref="AP44:AQ44"/>
    <mergeCell ref="B45:C46"/>
    <mergeCell ref="E45:G45"/>
    <mergeCell ref="O45:Q46"/>
    <mergeCell ref="U45:V45"/>
    <mergeCell ref="X45:Z45"/>
    <mergeCell ref="E46:G46"/>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B60:C61"/>
    <mergeCell ref="E60:G60"/>
    <mergeCell ref="O60:Q60"/>
    <mergeCell ref="E61:G61"/>
    <mergeCell ref="O62:Q62"/>
    <mergeCell ref="B63:C64"/>
    <mergeCell ref="E63:G63"/>
    <mergeCell ref="E64:G64"/>
    <mergeCell ref="B57:C58"/>
    <mergeCell ref="E57:G57"/>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W71:W72"/>
    <mergeCell ref="X71:Z71"/>
    <mergeCell ref="B72:C73"/>
    <mergeCell ref="E72:G72"/>
    <mergeCell ref="O72:P72"/>
    <mergeCell ref="E73:G73"/>
    <mergeCell ref="O73:P73"/>
    <mergeCell ref="U73:U82"/>
    <mergeCell ref="B75:I78"/>
    <mergeCell ref="O75:Q75"/>
    <mergeCell ref="O83:Q83"/>
    <mergeCell ref="B85:C86"/>
    <mergeCell ref="E85:G85"/>
    <mergeCell ref="O85:Q85"/>
    <mergeCell ref="U85:U86"/>
    <mergeCell ref="V85:V86"/>
    <mergeCell ref="O77:Q77"/>
    <mergeCell ref="O78:Q78"/>
    <mergeCell ref="O79:P79"/>
    <mergeCell ref="B80:I80"/>
    <mergeCell ref="O80:P80"/>
    <mergeCell ref="O81:P81"/>
    <mergeCell ref="W85:W86"/>
    <mergeCell ref="X85:AE85"/>
    <mergeCell ref="E86:G86"/>
    <mergeCell ref="O86:Q86"/>
    <mergeCell ref="O87:P87"/>
    <mergeCell ref="U87:U95"/>
    <mergeCell ref="E88:G88"/>
    <mergeCell ref="O88:P88"/>
    <mergeCell ref="E89:G89"/>
    <mergeCell ref="O89:P89"/>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O137:P137"/>
    <mergeCell ref="O138:P138"/>
    <mergeCell ref="O139:P139"/>
    <mergeCell ref="O140:P140"/>
    <mergeCell ref="O141:P141"/>
    <mergeCell ref="O142:P142"/>
    <mergeCell ref="O128:P128"/>
    <mergeCell ref="O129:P129"/>
    <mergeCell ref="O130:P130"/>
    <mergeCell ref="O131:P131"/>
    <mergeCell ref="O132:P132"/>
    <mergeCell ref="O133:P133"/>
    <mergeCell ref="O134:P134"/>
    <mergeCell ref="O135:P135"/>
    <mergeCell ref="O136:P136"/>
    <mergeCell ref="U188:U21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U131:U150"/>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$AE$31:$AE$36</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L4" location="'Apresentação (1)'!A1" display="Voltar"/>
    <hyperlink ref="K10" location="'Abacate formação'!A1" display="Abacate - formação"/>
    <hyperlink ref="K12" location="'Abacaxi produção'!A1" display="Abacaxi - produção"/>
    <hyperlink ref="K13" location="'Acerola formação'!A1" display="Acerola - formação"/>
    <hyperlink ref="K14" location="'Acerola produção'!A1" display="Acerola - produção"/>
    <hyperlink ref="K15" location="'Banana formação'!A1" display="Banana - formação"/>
    <hyperlink ref="K16" location="'Banana produção'!A1" display="Banana - produção"/>
    <hyperlink ref="K17" location="'Laranja industria formação'!A1" display="Citros - formação"/>
    <hyperlink ref="K18" location="'Laranja industria produção'!A1" display="Citros - produção"/>
    <hyperlink ref="K21" location="'Goiaba formação'!A1" display="Goiaba - formação"/>
    <hyperlink ref="K22" location="'Goiaba produção'!A1" display="Goiaba - produção"/>
    <hyperlink ref="K23" location="'Graviola formação'!A1" display="Graviola - formação"/>
    <hyperlink ref="K24" location="'Graviola produção'!A1" display="Graviola -produção"/>
    <hyperlink ref="K26" location="'Mamão produção'!A1" display="Mamão - produção"/>
    <hyperlink ref="K27" location="'Manga formação'!A1" display="Manga - formação"/>
    <hyperlink ref="K28" location="'Manga produção'!A1" display="Manga - produção"/>
    <hyperlink ref="K30" location="'Maracujá produção'!A1" display="Maracujá - produção"/>
    <hyperlink ref="K6" location="'Análise de solo'!A1" display="Análise de solo"/>
    <hyperlink ref="K8" location="Espaçamentos!A1" display="Espaçamentos"/>
    <hyperlink ref="K7" location="'Análise foliar'!A1" display="Análise foliar"/>
    <hyperlink ref="K9" location="'Adubos e corretivos'!A1" display="Adubos e corretivos"/>
    <hyperlink ref="K11" location="'Abacate produção'!A1" display="Abacate - produção"/>
    <hyperlink ref="K32" location="'Pitaya produção'!A1" display="Pitaya - produção"/>
    <hyperlink ref="K31" location="'Pitaya formação'!A1" display="Pitaya - formação"/>
    <hyperlink ref="K29" location="'Maracujá formação'!A1" display="Maracujá - formação"/>
    <hyperlink ref="K19" location="'Limão e Lima formação'!A1" display="Laranja industria - formação"/>
    <hyperlink ref="K20" location="'Limão e Lima produção'!A1" display="Laranja industria - produção"/>
    <hyperlink ref="K25" location="'Mamão produção'!A1" display="Mamão - produção"/>
    <hyperlink ref="K34" location="'Laranja Tangerina mesa produção'!A1" display="Laranja e tangerinas - produção"/>
    <hyperlink ref="K33" location="'Laranja Tangerina mesa formação'!A1" display="Laranja e tangerinas - formação"/>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'[1]Adubos e corretivos'!#REF!</xm:f>
          </x14:formula1>
          <xm:sqref>O71:P73 O79:P81 O87:P89 O117:P143</xm:sqref>
        </x14:dataValidation>
        <x14:dataValidation type="list" allowBlank="1" showInputMessage="1" showErrorMessage="1">
          <x14:formula1>
            <xm:f>'[1]Adubos e corretivos'!#REF!</xm:f>
          </x14:formula1>
          <xm:sqref>O50:P50</xm:sqref>
        </x14:dataValidation>
        <x14:dataValidation type="list" allowBlank="1" showInputMessage="1" showErrorMessage="1">
          <x14:formula1>
            <xm:f>'[1]Adubos e corretivos'!#REF!</xm:f>
          </x14:formula1>
          <xm:sqref>O47:P47</xm:sqref>
        </x14:dataValidation>
        <x14:dataValidation type="list" allowBlank="1" showInputMessage="1" showErrorMessage="1">
          <x14:formula1>
            <xm:f>'[1]Adubos e corretivos'!#REF!</xm:f>
          </x14:formula1>
          <xm:sqref>O56:Q56</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E44" sqref="E44:I44"/>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22" style="11" customWidth="1"/>
    <col min="17" max="17" width="52.85546875" style="11" customWidth="1"/>
    <col min="18" max="18" width="8.7109375" style="11" customWidth="1"/>
    <col min="19" max="19" width="11.42578125" style="11" bestFit="1" customWidth="1"/>
    <col min="20" max="20" width="30.140625" style="11" hidden="1" customWidth="1" outlineLevel="1"/>
    <col min="21" max="21" width="43.5703125" style="11" hidden="1" customWidth="1" outlineLevel="1"/>
    <col min="22" max="22" width="65.42578125" style="11" hidden="1" customWidth="1" outlineLevel="1"/>
    <col min="23" max="23" width="19.85546875" style="11" hidden="1" customWidth="1" outlineLevel="1"/>
    <col min="24" max="24" width="12" style="11" hidden="1" customWidth="1" outlineLevel="1"/>
    <col min="25" max="25" width="21.85546875" style="11" hidden="1" customWidth="1" outlineLevel="1"/>
    <col min="26" max="26" width="14.140625" style="11" hidden="1" customWidth="1" outlineLevel="1"/>
    <col min="27" max="27" width="31.5703125" style="11" hidden="1" customWidth="1" outlineLevel="1"/>
    <col min="28" max="28" width="21.42578125" style="11" hidden="1" customWidth="1" outlineLevel="1"/>
    <col min="29" max="29" width="27" style="11" hidden="1" customWidth="1" outlineLevel="1"/>
    <col min="30" max="30" width="24.85546875" style="11" hidden="1" customWidth="1" outlineLevel="1"/>
    <col min="31" max="31" width="26.28515625" style="11" hidden="1" customWidth="1" outlineLevel="1"/>
    <col min="32" max="32" width="15.5703125" style="11" hidden="1" customWidth="1" outlineLevel="1"/>
    <col min="33" max="33" width="28.42578125" style="11" hidden="1" customWidth="1" outlineLevel="1"/>
    <col min="34" max="34" width="28.5703125" style="11" hidden="1" customWidth="1" outlineLevel="1"/>
    <col min="35" max="35" width="23" style="11" hidden="1" customWidth="1" outlineLevel="1"/>
    <col min="36" max="36" width="14" style="11" hidden="1" customWidth="1" outlineLevel="1"/>
    <col min="37" max="37" width="19.85546875" style="11" hidden="1" customWidth="1" outlineLevel="1"/>
    <col min="38" max="38" width="11.42578125" style="11" hidden="1" customWidth="1" outlineLevel="1"/>
    <col min="39" max="39" width="34.85546875" style="11" hidden="1" customWidth="1" outlineLevel="1"/>
    <col min="40" max="40" width="23.7109375" style="11" hidden="1" customWidth="1" outlineLevel="1"/>
    <col min="41" max="41" width="23.42578125" style="11" hidden="1" customWidth="1" outlineLevel="1"/>
    <col min="42" max="42" width="9.42578125" style="11" hidden="1" customWidth="1" outlineLevel="1"/>
    <col min="43" max="43" width="16.7109375" style="11" hidden="1" customWidth="1" outlineLevel="1"/>
    <col min="44" max="44" width="6.7109375" style="11" hidden="1" customWidth="1" outlineLevel="1"/>
    <col min="45" max="45" width="8.28515625" style="11" hidden="1" customWidth="1" outlineLevel="1"/>
    <col min="46" max="46" width="8.42578125" style="11" hidden="1" customWidth="1" outlineLevel="1"/>
    <col min="47" max="47" width="31.5703125" style="11" hidden="1" customWidth="1" outlineLevel="1"/>
    <col min="48" max="48" width="35.5703125" style="11" hidden="1" customWidth="1" outlineLevel="1"/>
    <col min="49" max="52" width="6.7109375"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94"/>
      <c r="V3" s="94"/>
      <c r="W3" s="94"/>
      <c r="X3" s="94"/>
      <c r="Y3" s="25"/>
      <c r="Z3" s="25"/>
      <c r="AA3" s="25"/>
      <c r="AB3" s="25"/>
      <c r="AC3" s="25"/>
      <c r="AD3" s="25"/>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94"/>
      <c r="V4" s="94"/>
      <c r="W4" s="94"/>
      <c r="X4" s="94"/>
      <c r="Y4" s="51" t="s">
        <v>63</v>
      </c>
      <c r="AB4" s="25"/>
      <c r="AC4" s="25"/>
      <c r="AD4" s="25"/>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94"/>
      <c r="V5" s="94"/>
      <c r="W5" s="94"/>
      <c r="X5" s="94"/>
      <c r="Y5" s="51" t="s">
        <v>189</v>
      </c>
      <c r="Z5" s="25"/>
      <c r="AA5" s="25"/>
      <c r="AB5" s="25"/>
      <c r="AC5" s="25"/>
      <c r="AD5" s="25"/>
      <c r="AO5" s="47"/>
      <c r="AP5" s="447"/>
      <c r="AQ5" s="447"/>
      <c r="AR5" s="447"/>
      <c r="AS5" s="55">
        <f>$V$26</f>
        <v>60</v>
      </c>
      <c r="AT5" s="55">
        <f>$V$27</f>
        <v>0</v>
      </c>
      <c r="AU5" s="55">
        <f>$V$28</f>
        <v>180</v>
      </c>
      <c r="AV5" s="509"/>
      <c r="AW5" s="47"/>
      <c r="AX5" s="47"/>
      <c r="AY5" s="47"/>
      <c r="AZ5" s="47"/>
      <c r="BA5" s="47"/>
      <c r="BB5" s="47"/>
    </row>
    <row r="6" spans="1:54" ht="20.25" customHeight="1" x14ac:dyDescent="0.25">
      <c r="M6" s="364"/>
      <c r="N6" s="453"/>
      <c r="O6" s="51" t="s">
        <v>3</v>
      </c>
      <c r="P6" s="56">
        <v>2</v>
      </c>
      <c r="Q6" s="51" t="s">
        <v>55</v>
      </c>
      <c r="R6" s="53"/>
      <c r="U6" s="591" t="s">
        <v>56</v>
      </c>
      <c r="V6" s="592"/>
      <c r="W6" s="510" t="s">
        <v>58</v>
      </c>
      <c r="X6" s="25"/>
      <c r="Y6" s="51" t="s">
        <v>190</v>
      </c>
      <c r="Z6" s="25"/>
      <c r="AA6" s="25"/>
      <c r="AB6" s="25"/>
      <c r="AC6" s="25"/>
      <c r="AD6" s="25"/>
      <c r="AO6" s="47"/>
      <c r="AP6" s="54">
        <v>1</v>
      </c>
      <c r="AQ6" s="517" t="str">
        <f>O74</f>
        <v>Termofosfato YOORIN</v>
      </c>
      <c r="AR6" s="518"/>
      <c r="AS6" s="55">
        <f>IFERROR((VLOOKUP(AQ6,$V$100:$AB$179,3,0)*0.01)*AV6,0)</f>
        <v>0</v>
      </c>
      <c r="AT6" s="55">
        <f>IFERROR((VLOOKUP(AQ6,$V$100:$AB$179,5,0)*0.01)*AV6,0)</f>
        <v>0</v>
      </c>
      <c r="AU6" s="55">
        <f>IFERROR((VLOOKUP(AQ6,$V$100:$AB$179,7,0)*0.01)*AV6,0)</f>
        <v>0</v>
      </c>
      <c r="AV6" s="55">
        <f>IFERROR($AT$5*Q74/(VLOOKUP(AQ6,$V$100:$AB$179,5,0)/100),0)</f>
        <v>0</v>
      </c>
      <c r="AW6" s="47"/>
      <c r="AX6" s="47"/>
      <c r="AY6" s="47"/>
      <c r="AZ6" s="47"/>
      <c r="BA6" s="47"/>
      <c r="BB6" s="47"/>
    </row>
    <row r="7" spans="1:54" ht="20.25" customHeight="1" x14ac:dyDescent="0.25">
      <c r="M7" s="364"/>
      <c r="N7" s="453"/>
      <c r="O7" s="51" t="s">
        <v>4</v>
      </c>
      <c r="P7" s="32">
        <v>1</v>
      </c>
      <c r="Q7" s="51" t="s">
        <v>55</v>
      </c>
      <c r="R7" s="53"/>
      <c r="U7" s="593"/>
      <c r="V7" s="594"/>
      <c r="W7" s="370"/>
      <c r="X7" s="25"/>
      <c r="Y7" s="79">
        <f>10000/((($O$32/2)+($P$32/2))*$Q$32)</f>
        <v>1250</v>
      </c>
      <c r="Z7" s="25"/>
      <c r="AA7" s="76" t="s">
        <v>63</v>
      </c>
      <c r="AB7" s="25"/>
      <c r="AC7" s="25"/>
      <c r="AD7" s="25"/>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0</v>
      </c>
      <c r="AU7" s="55">
        <f>IFERROR((VLOOKUP(AQ7,$V$100:$AB$179,7,0)*0.01)*AV7,0)</f>
        <v>0</v>
      </c>
      <c r="AV7" s="55">
        <f>IFERROR($AT$5*Q75/(VLOOKUP(AQ7,$V$100:$AB$179,5,0)/100),0)</f>
        <v>0</v>
      </c>
      <c r="AW7" s="47"/>
      <c r="AX7" s="47"/>
      <c r="AY7" s="47"/>
      <c r="AZ7" s="47"/>
      <c r="BA7" s="47"/>
      <c r="BB7" s="47"/>
    </row>
    <row r="8" spans="1:54" ht="20.25" customHeight="1" thickBot="1" x14ac:dyDescent="0.3">
      <c r="M8" s="364"/>
      <c r="N8" s="453"/>
      <c r="O8" s="51" t="s">
        <v>5</v>
      </c>
      <c r="P8" s="56">
        <v>0.14000000000000001</v>
      </c>
      <c r="Q8" s="57" t="s">
        <v>55</v>
      </c>
      <c r="R8" s="53"/>
      <c r="U8" s="125" t="s">
        <v>524</v>
      </c>
      <c r="V8" s="51" t="str">
        <f>IF($P$13&lt;=6,"muito baixo","erro")</f>
        <v>erro</v>
      </c>
      <c r="X8" s="25"/>
      <c r="Y8" s="25"/>
      <c r="Z8" s="25"/>
      <c r="AA8" s="51" t="s">
        <v>286</v>
      </c>
      <c r="AB8" s="25"/>
      <c r="AC8" s="463" t="str">
        <f>IF(V8="muito baixo","muito baixo",IF(V9="baixo","baixo",IF(V10="adequado","adequado",IF(V11="alto","alto",0))))</f>
        <v>baixo</v>
      </c>
      <c r="AD8" s="25"/>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125" t="s">
        <v>525</v>
      </c>
      <c r="V9" s="51" t="str">
        <f>IF(AND($P$13&gt;=7,$P$13&lt;=15),"baixo","erro")</f>
        <v>baixo</v>
      </c>
      <c r="X9" s="25"/>
      <c r="Y9" s="76" t="s">
        <v>63</v>
      </c>
      <c r="Z9" s="25"/>
      <c r="AA9" s="51" t="s">
        <v>293</v>
      </c>
      <c r="AB9" s="25"/>
      <c r="AC9" s="463"/>
      <c r="AD9" s="25"/>
      <c r="AF9" s="511" t="s">
        <v>246</v>
      </c>
      <c r="AG9" s="58" t="s">
        <v>25</v>
      </c>
      <c r="AH9" s="58" t="s">
        <v>242</v>
      </c>
      <c r="AI9" s="51" t="str">
        <f>IF($P$14&lt;=0.2,"baixo","erro")</f>
        <v>baixo</v>
      </c>
      <c r="AJ9" s="457" t="str">
        <f>IF($AI$9="baixo","baixo",IF($AI$10="medio","medio",IF($AI$11="adequado","adequado",0)))</f>
        <v>baixo</v>
      </c>
      <c r="AK9" s="457">
        <f>IF(AJ9="Baixo",AL9,0)</f>
        <v>1.2</v>
      </c>
      <c r="AL9" s="457">
        <f>(AM9*1000)/$E$18</f>
        <v>1.2</v>
      </c>
      <c r="AM9" s="456">
        <v>2</v>
      </c>
      <c r="AO9" s="47"/>
      <c r="AP9" s="47"/>
      <c r="AQ9" s="47"/>
      <c r="AR9" s="47"/>
      <c r="AS9" s="59">
        <f>AS5-(SUM(AS6:AS8))</f>
        <v>60</v>
      </c>
      <c r="AT9" s="59">
        <f>AT5-(SUM(AT6:AT8))</f>
        <v>0</v>
      </c>
      <c r="AU9" s="59">
        <f>AU5-(SUM(AU6:AU8))</f>
        <v>180</v>
      </c>
      <c r="AV9" s="59"/>
      <c r="AW9" s="47"/>
      <c r="AX9" s="47"/>
      <c r="AY9" s="47"/>
      <c r="AZ9" s="47"/>
      <c r="BA9" s="47"/>
      <c r="BB9" s="47"/>
    </row>
    <row r="10" spans="1:54" ht="20.25" customHeight="1" x14ac:dyDescent="0.25">
      <c r="M10" s="364"/>
      <c r="N10" s="453"/>
      <c r="O10" s="51" t="s">
        <v>7</v>
      </c>
      <c r="P10" s="56">
        <v>0.1</v>
      </c>
      <c r="Q10" s="51" t="s">
        <v>55</v>
      </c>
      <c r="R10" s="53"/>
      <c r="U10" s="125" t="s">
        <v>526</v>
      </c>
      <c r="V10" s="51" t="str">
        <f>IF(AND($P$13&gt;=16,$P$13&lt;=30),"adequado","erro")</f>
        <v>erro</v>
      </c>
      <c r="X10" s="25"/>
      <c r="Y10" s="76"/>
      <c r="Z10" s="25"/>
      <c r="AA10" s="51" t="s">
        <v>158</v>
      </c>
      <c r="AB10" s="25"/>
      <c r="AC10" s="463"/>
      <c r="AD10" s="25"/>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U11" s="125" t="s">
        <v>527</v>
      </c>
      <c r="V11" s="51" t="str">
        <f>IF(AND($P$13&gt;30),"alto","erro")</f>
        <v>erro</v>
      </c>
      <c r="X11" s="25"/>
      <c r="Y11" s="76">
        <v>0</v>
      </c>
      <c r="Z11" s="25"/>
      <c r="AA11" s="51" t="s">
        <v>292</v>
      </c>
      <c r="AB11" s="25"/>
      <c r="AC11" s="463"/>
      <c r="AD11" s="25"/>
      <c r="AF11" s="511"/>
      <c r="AG11" s="58" t="s">
        <v>234</v>
      </c>
      <c r="AH11" s="58" t="s">
        <v>233</v>
      </c>
      <c r="AI11" s="51" t="str">
        <f>IF($P$14&gt;0.5,"adequado","erro")</f>
        <v>erro</v>
      </c>
      <c r="AJ11" s="457"/>
      <c r="AK11" s="457"/>
      <c r="AL11" s="457"/>
      <c r="AM11" s="456"/>
      <c r="AO11" s="47"/>
      <c r="AP11" s="447"/>
      <c r="AQ11" s="447"/>
      <c r="AR11" s="447"/>
      <c r="AS11" s="55">
        <f>AS9</f>
        <v>60</v>
      </c>
      <c r="AT11" s="55">
        <f t="shared" ref="AT11:AU11" si="0">AT9</f>
        <v>0</v>
      </c>
      <c r="AU11" s="55">
        <f t="shared" si="0"/>
        <v>180</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X12" s="25"/>
      <c r="Y12" s="76">
        <v>0.1</v>
      </c>
      <c r="Z12" s="25"/>
      <c r="AA12" s="51" t="s">
        <v>292</v>
      </c>
      <c r="AB12" s="25"/>
      <c r="AC12" s="25"/>
      <c r="AD12" s="25"/>
      <c r="AF12" s="511" t="s">
        <v>245</v>
      </c>
      <c r="AG12" s="58" t="s">
        <v>25</v>
      </c>
      <c r="AH12" s="58" t="s">
        <v>241</v>
      </c>
      <c r="AI12" s="51" t="str">
        <f>IF($P$16&lt;=0.4,"baixo","erro")</f>
        <v>erro</v>
      </c>
      <c r="AJ12" s="457" t="str">
        <f>IF($AI$12="baixo","baixo",IF($AI$13="medio","medio",IF($AI$14="adequado","adequado",0)))</f>
        <v>adequado</v>
      </c>
      <c r="AK12" s="457">
        <f>IF(AJ12="Baixo",AL12,0)</f>
        <v>0</v>
      </c>
      <c r="AL12" s="457">
        <f>(AM12*1000)/$E$18</f>
        <v>1.2</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90</v>
      </c>
      <c r="AV12" s="55">
        <f>IFERROR($AU$11*Q82/(VLOOKUP(AQ12,$V$100:$AB$179,7,0)/100),0)</f>
        <v>150</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15</v>
      </c>
      <c r="Q13" s="51" t="s">
        <v>12</v>
      </c>
      <c r="R13" s="53"/>
      <c r="U13" s="457" t="s">
        <v>500</v>
      </c>
      <c r="V13" s="457"/>
      <c r="W13" s="457"/>
      <c r="X13" s="25"/>
      <c r="Y13" s="76">
        <v>0.2</v>
      </c>
      <c r="Z13" s="25"/>
      <c r="AA13" s="51" t="s">
        <v>292</v>
      </c>
      <c r="AB13" s="25"/>
      <c r="AC13" s="25"/>
      <c r="AD13" s="25"/>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90</v>
      </c>
      <c r="AV13" s="55">
        <f>IFERROR($AU$11*Q83/(VLOOKUP(AQ13,$V$100:$AB$179,7,0)/100),0)</f>
        <v>1125</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U14" s="457"/>
      <c r="V14" s="457"/>
      <c r="W14" s="457"/>
      <c r="X14" s="25"/>
      <c r="Y14" s="76">
        <v>0.3</v>
      </c>
      <c r="Z14" s="25"/>
      <c r="AA14" s="51" t="s">
        <v>288</v>
      </c>
      <c r="AB14" s="25"/>
      <c r="AC14" s="25"/>
      <c r="AD14" s="25"/>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U15" s="51" t="s">
        <v>521</v>
      </c>
      <c r="V15" s="51" t="str">
        <f>IF($P$8&lt;=0.15,"muito baixo","erro")</f>
        <v>muito baixo</v>
      </c>
      <c r="W15" s="510" t="s">
        <v>58</v>
      </c>
      <c r="X15" s="25"/>
      <c r="Y15" s="76">
        <v>0.4</v>
      </c>
      <c r="Z15" s="25"/>
      <c r="AA15" s="51" t="s">
        <v>289</v>
      </c>
      <c r="AB15" s="25"/>
      <c r="AC15" s="25"/>
      <c r="AD15" s="25"/>
      <c r="AF15" s="511" t="s">
        <v>244</v>
      </c>
      <c r="AG15" s="58" t="s">
        <v>25</v>
      </c>
      <c r="AH15" s="58" t="s">
        <v>240</v>
      </c>
      <c r="AI15" s="51" t="str">
        <f>IF($P$18&lt;=1.9,"baixo","erro")</f>
        <v>erro</v>
      </c>
      <c r="AJ15" s="457" t="str">
        <f>IF($AI$15="baixo","baixo",IF($AI$16="medio","medio",IF($AI$17="adequado","adequado",0)))</f>
        <v>adequado</v>
      </c>
      <c r="AK15" s="457">
        <f>IF(AJ15="Baixo",AL15,0)</f>
        <v>0</v>
      </c>
      <c r="AL15" s="457">
        <f>(AM15*1000)/$E$18</f>
        <v>3.5999999999999996</v>
      </c>
      <c r="AM15" s="456">
        <v>6</v>
      </c>
      <c r="AO15" s="47"/>
      <c r="AP15" s="47"/>
      <c r="AQ15" s="47"/>
      <c r="AR15" s="47"/>
      <c r="AS15" s="59">
        <f>AS11-(SUM(AS12:AS14))</f>
        <v>60</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U16" s="51" t="s">
        <v>497</v>
      </c>
      <c r="V16" s="51" t="str">
        <f>IF(AND($P$8&gt;=0.16,$P$8&lt;=0.3),"baixo","erro")</f>
        <v>erro</v>
      </c>
      <c r="W16" s="370"/>
      <c r="X16" s="25"/>
      <c r="Y16" s="76">
        <v>0.5</v>
      </c>
      <c r="AA16" s="51" t="s">
        <v>290</v>
      </c>
      <c r="AB16" s="25"/>
      <c r="AC16" s="25"/>
      <c r="AD16" s="25"/>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 t="s">
        <v>522</v>
      </c>
      <c r="V17" s="51" t="str">
        <f>IF(AND($P$8&gt;=0.31,$P$8&lt;=0.6),"adequado","erro")</f>
        <v>erro</v>
      </c>
      <c r="W17" s="595" t="str">
        <f>IF(V15="muito baixo","muito baixo",IF(V16="baixo","baixo",IF(V17="médio","médio",IF(V18="alto","alto",0))))</f>
        <v>muito baixo</v>
      </c>
      <c r="X17" s="94"/>
      <c r="Y17" s="76">
        <v>0.6</v>
      </c>
      <c r="AA17" s="51"/>
      <c r="AB17" s="25"/>
      <c r="AC17" s="25"/>
      <c r="AD17" s="25"/>
      <c r="AF17" s="511"/>
      <c r="AG17" s="58" t="s">
        <v>234</v>
      </c>
      <c r="AH17" s="58" t="s">
        <v>231</v>
      </c>
      <c r="AI17" s="51" t="str">
        <f>IF($P$18&gt;5,"adequado","erro")</f>
        <v>adequado</v>
      </c>
      <c r="AJ17" s="457"/>
      <c r="AK17" s="457"/>
      <c r="AL17" s="457"/>
      <c r="AM17" s="456"/>
      <c r="AO17" s="47"/>
      <c r="AP17" s="447"/>
      <c r="AQ17" s="447"/>
      <c r="AR17" s="447"/>
      <c r="AS17" s="55">
        <f>AS15</f>
        <v>60</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1666.6666666666667</v>
      </c>
      <c r="F18" s="457" t="s">
        <v>125</v>
      </c>
      <c r="G18" s="457"/>
      <c r="H18" s="457"/>
      <c r="I18" s="51">
        <f>O34</f>
        <v>1</v>
      </c>
      <c r="M18" s="364"/>
      <c r="N18" s="453"/>
      <c r="O18" s="51" t="s">
        <v>17</v>
      </c>
      <c r="P18" s="56">
        <v>43.1</v>
      </c>
      <c r="Q18" s="51" t="s">
        <v>12</v>
      </c>
      <c r="R18" s="53"/>
      <c r="U18" s="51" t="s">
        <v>523</v>
      </c>
      <c r="V18" s="51" t="str">
        <f>IF(AND($P$8&gt;0.6),"alto","erro")</f>
        <v>erro</v>
      </c>
      <c r="W18" s="596"/>
      <c r="X18" s="94"/>
      <c r="Y18" s="76">
        <v>0.7</v>
      </c>
      <c r="AB18" s="25"/>
      <c r="AC18" s="25"/>
      <c r="AD18" s="25"/>
      <c r="AF18" s="511" t="s">
        <v>243</v>
      </c>
      <c r="AG18" s="58" t="s">
        <v>25</v>
      </c>
      <c r="AH18" s="58" t="s">
        <v>239</v>
      </c>
      <c r="AI18" s="51" t="str">
        <f>IF($P$19&lt;=1,"baixo","erro")</f>
        <v>erro</v>
      </c>
      <c r="AJ18" s="457" t="str">
        <f>IF($AI$18="baixo","baixo",IF($AI$19="medio","medio",IF($AI$20="adequado","adequado",0)))</f>
        <v>adequado</v>
      </c>
      <c r="AK18" s="457">
        <f>IF(AJ18="Baixo",AL18,0)</f>
        <v>0</v>
      </c>
      <c r="AL18" s="457">
        <f>(AM18*1000)/$E$18</f>
        <v>3.5999999999999996</v>
      </c>
      <c r="AM18" s="456">
        <v>6</v>
      </c>
      <c r="AO18" s="47"/>
      <c r="AP18" s="54">
        <v>13</v>
      </c>
      <c r="AQ18" s="447" t="str">
        <f>O90</f>
        <v>Nitrato de Amônio</v>
      </c>
      <c r="AR18" s="447"/>
      <c r="AS18" s="55">
        <f>IFERROR((VLOOKUP(AQ18,$V$100:$AB$179,3,0)*0.01)*AV18,0)</f>
        <v>60</v>
      </c>
      <c r="AT18" s="55">
        <f>IFERROR((VLOOKUP(AQ18,$V$100:$AB$179,5,0)*0.01)*AV18,0)</f>
        <v>0</v>
      </c>
      <c r="AU18" s="55">
        <f>IFERROR((VLOOKUP(AQ18,$V$100:$AB$179,7,0)*0.01)*AV18,0)</f>
        <v>0</v>
      </c>
      <c r="AV18" s="55">
        <f>IFERROR($AS$17*Q90/(VLOOKUP(AQ18,$V$100:$AB$179,3,0)/100),0)</f>
        <v>206.89655172413794</v>
      </c>
      <c r="AW18" s="47"/>
      <c r="AX18" s="47"/>
      <c r="AY18" s="47"/>
      <c r="AZ18" s="47"/>
      <c r="BA18" s="47"/>
      <c r="BB18" s="47"/>
    </row>
    <row r="19" spans="2:54" ht="20.25" customHeight="1" x14ac:dyDescent="0.25">
      <c r="M19" s="364"/>
      <c r="N19" s="453"/>
      <c r="O19" s="51" t="s">
        <v>18</v>
      </c>
      <c r="P19" s="32">
        <v>20.100000000000001</v>
      </c>
      <c r="Q19" s="51" t="s">
        <v>12</v>
      </c>
      <c r="R19" s="53"/>
      <c r="S19" s="61"/>
      <c r="X19" s="94"/>
      <c r="Y19" s="76">
        <v>0.8</v>
      </c>
      <c r="AB19" s="25"/>
      <c r="AC19" s="25"/>
      <c r="AD19" s="25"/>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57.00636942675159</v>
      </c>
      <c r="H20" s="63" t="s">
        <v>52</v>
      </c>
      <c r="I20" s="60">
        <f>P21</f>
        <v>47.5</v>
      </c>
      <c r="M20" s="364"/>
      <c r="N20" s="453"/>
      <c r="O20" s="51" t="s">
        <v>19</v>
      </c>
      <c r="P20" s="56">
        <v>27.5</v>
      </c>
      <c r="Q20" s="57" t="s">
        <v>23</v>
      </c>
      <c r="R20" s="53"/>
      <c r="U20" s="25"/>
      <c r="V20" s="25"/>
      <c r="W20" s="25"/>
      <c r="X20" s="25"/>
      <c r="Y20" s="76">
        <v>0.9</v>
      </c>
      <c r="AB20" s="25"/>
      <c r="AC20" s="25"/>
      <c r="AD20" s="25"/>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X21" s="25"/>
      <c r="Y21" s="76">
        <v>1</v>
      </c>
      <c r="AB21" s="25"/>
      <c r="AC21" s="25"/>
      <c r="AD21" s="25"/>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2</v>
      </c>
      <c r="D22" s="63" t="s">
        <v>79</v>
      </c>
      <c r="E22" s="63">
        <f>P13</f>
        <v>15</v>
      </c>
      <c r="F22" s="63" t="s">
        <v>84</v>
      </c>
      <c r="G22" s="63">
        <f>P14</f>
        <v>0.04</v>
      </c>
      <c r="H22" s="63" t="s">
        <v>86</v>
      </c>
      <c r="I22" s="63">
        <f>P19</f>
        <v>20.100000000000001</v>
      </c>
      <c r="M22" s="364"/>
      <c r="N22" s="453"/>
      <c r="O22" s="51" t="s">
        <v>20</v>
      </c>
      <c r="P22" s="56">
        <v>25</v>
      </c>
      <c r="Q22" s="57" t="s">
        <v>23</v>
      </c>
      <c r="R22" s="53"/>
      <c r="X22" s="25"/>
      <c r="Y22" s="25"/>
      <c r="Z22" s="25"/>
      <c r="AA22" s="25"/>
      <c r="AB22" s="25"/>
      <c r="AC22" s="25"/>
      <c r="AD22" s="25"/>
      <c r="AO22" s="47"/>
      <c r="AP22" s="47"/>
      <c r="AQ22" s="47"/>
      <c r="AR22" s="47"/>
      <c r="AS22" s="47"/>
      <c r="AT22" s="47"/>
      <c r="AU22" s="47"/>
      <c r="AV22" s="47"/>
      <c r="AW22" s="47"/>
      <c r="AX22" s="47"/>
      <c r="AY22" s="47"/>
      <c r="AZ22" s="47"/>
      <c r="BA22" s="47"/>
      <c r="BB22" s="47"/>
    </row>
    <row r="23" spans="2:54" ht="20.25" customHeight="1" x14ac:dyDescent="0.25">
      <c r="B23" s="64" t="s">
        <v>82</v>
      </c>
      <c r="C23" s="65">
        <f>P7</f>
        <v>1</v>
      </c>
      <c r="D23" s="63" t="s">
        <v>129</v>
      </c>
      <c r="E23" s="63">
        <f>P11</f>
        <v>2.7</v>
      </c>
      <c r="F23" s="63" t="s">
        <v>87</v>
      </c>
      <c r="G23" s="63">
        <f>P16</f>
        <v>4</v>
      </c>
      <c r="H23" s="63" t="s">
        <v>83</v>
      </c>
      <c r="I23" s="63">
        <f>P15</f>
        <v>20</v>
      </c>
      <c r="J23" s="66"/>
      <c r="M23" s="364"/>
      <c r="N23" s="453"/>
      <c r="O23" s="51" t="s">
        <v>21</v>
      </c>
      <c r="P23" s="32">
        <v>47.6</v>
      </c>
      <c r="Q23" s="51" t="s">
        <v>10</v>
      </c>
      <c r="R23" s="53"/>
      <c r="U23" s="25"/>
      <c r="V23" s="25"/>
      <c r="W23" s="25"/>
      <c r="X23" s="25"/>
      <c r="Y23" s="25"/>
      <c r="Z23" s="25"/>
      <c r="AA23" s="25"/>
      <c r="AB23" s="25"/>
      <c r="AC23" s="25"/>
      <c r="AD23" s="25"/>
      <c r="AO23" s="47"/>
      <c r="AP23" s="47"/>
      <c r="AQ23" s="47"/>
      <c r="AR23" s="47"/>
      <c r="AS23" s="47"/>
      <c r="AT23" s="47"/>
      <c r="AU23" s="47"/>
      <c r="AV23" s="47"/>
      <c r="AW23" s="47"/>
      <c r="AX23" s="47"/>
      <c r="AY23" s="47"/>
      <c r="AZ23" s="47"/>
      <c r="BA23" s="47"/>
      <c r="BB23" s="47"/>
    </row>
    <row r="24" spans="2:54" ht="20.25" customHeight="1" x14ac:dyDescent="0.25">
      <c r="B24" s="64" t="s">
        <v>80</v>
      </c>
      <c r="C24" s="65">
        <f>P8</f>
        <v>0.14000000000000001</v>
      </c>
      <c r="D24" s="63" t="s">
        <v>130</v>
      </c>
      <c r="E24" s="63">
        <f>P10</f>
        <v>0.1</v>
      </c>
      <c r="F24" s="63" t="s">
        <v>89</v>
      </c>
      <c r="G24" s="63">
        <f>P17</f>
        <v>58.4</v>
      </c>
      <c r="H24" s="63" t="s">
        <v>131</v>
      </c>
      <c r="I24" s="63">
        <f>P25</f>
        <v>6.28</v>
      </c>
      <c r="J24" s="66"/>
      <c r="M24" s="364"/>
      <c r="N24" s="453"/>
      <c r="O24" s="51" t="s">
        <v>22</v>
      </c>
      <c r="P24" s="63">
        <f>100*(P6+P7+P8+P9)/P25</f>
        <v>57.00636942675159</v>
      </c>
      <c r="Q24" s="51" t="s">
        <v>23</v>
      </c>
      <c r="R24" s="53"/>
      <c r="AO24" s="47"/>
      <c r="AP24" s="47"/>
      <c r="AQ24" s="47"/>
      <c r="AR24" s="47"/>
      <c r="AS24" s="59">
        <f>AS26-(SUM(AS27:AS36))</f>
        <v>1.1998655172413792</v>
      </c>
      <c r="AT24" s="59">
        <f t="shared" ref="AT24:AV24" si="3">AT26-(SUM(AT27:AT36))</f>
        <v>-1.3448275862068965E-4</v>
      </c>
      <c r="AU24" s="59">
        <f t="shared" si="3"/>
        <v>-2.5862068965517242E-4</v>
      </c>
      <c r="AV24" s="59">
        <f t="shared" si="3"/>
        <v>-2.8965517241379313E-5</v>
      </c>
      <c r="AW24" s="47"/>
      <c r="AX24" s="47"/>
      <c r="AY24" s="47"/>
      <c r="AZ24" s="47"/>
      <c r="BA24" s="47"/>
      <c r="BB24" s="47"/>
    </row>
    <row r="25" spans="2:54" ht="20.25" customHeight="1" thickBot="1" x14ac:dyDescent="0.3">
      <c r="J25" s="66"/>
      <c r="M25" s="364"/>
      <c r="N25" s="453"/>
      <c r="O25" s="51" t="s">
        <v>24</v>
      </c>
      <c r="P25" s="67">
        <f>(P6+P7+P8+P9+P11)</f>
        <v>6.28</v>
      </c>
      <c r="Q25" s="51" t="s">
        <v>55</v>
      </c>
      <c r="R25" s="53"/>
      <c r="U25" s="458" t="s">
        <v>65</v>
      </c>
      <c r="V25" s="458"/>
      <c r="X25" s="457" t="s">
        <v>507</v>
      </c>
      <c r="Y25" s="457"/>
      <c r="AE25" s="457" t="s">
        <v>508</v>
      </c>
      <c r="AF25" s="457"/>
      <c r="AG25" s="457"/>
      <c r="AH25" s="457"/>
      <c r="AJ25" s="457" t="s">
        <v>509</v>
      </c>
      <c r="AK25" s="457"/>
      <c r="AL25" s="457"/>
      <c r="AM25" s="457"/>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78" t="s">
        <v>33</v>
      </c>
      <c r="V26" s="78">
        <f>VLOOKUP($P$39,$X$27:$Y$32,2,0)/$E$18</f>
        <v>60</v>
      </c>
      <c r="W26" s="25"/>
      <c r="X26" s="51" t="s">
        <v>32</v>
      </c>
      <c r="Y26" s="51" t="s">
        <v>512</v>
      </c>
      <c r="AE26" s="51" t="s">
        <v>32</v>
      </c>
      <c r="AF26" s="51" t="s">
        <v>75</v>
      </c>
      <c r="AG26" s="51" t="s">
        <v>71</v>
      </c>
      <c r="AH26" s="51" t="s">
        <v>513</v>
      </c>
      <c r="AJ26" s="51" t="s">
        <v>32</v>
      </c>
      <c r="AK26" s="51" t="s">
        <v>75</v>
      </c>
      <c r="AL26" s="51" t="s">
        <v>71</v>
      </c>
      <c r="AM26" s="51" t="s">
        <v>514</v>
      </c>
      <c r="AO26" s="47"/>
      <c r="AP26" s="461"/>
      <c r="AQ26" s="461"/>
      <c r="AR26" s="461"/>
      <c r="AS26" s="72">
        <f>AK9</f>
        <v>1.2</v>
      </c>
      <c r="AT26" s="72">
        <f>AK12</f>
        <v>0</v>
      </c>
      <c r="AU26" s="72">
        <f>AK15</f>
        <v>0</v>
      </c>
      <c r="AV26" s="72">
        <f>AK18</f>
        <v>0</v>
      </c>
      <c r="AW26" s="47"/>
      <c r="AX26" s="47"/>
      <c r="AY26" s="47"/>
      <c r="AZ26" s="47"/>
      <c r="BA26" s="47"/>
      <c r="BB26" s="47"/>
    </row>
    <row r="27" spans="2:54" ht="20.25" customHeight="1" thickBot="1" x14ac:dyDescent="0.3">
      <c r="B27" s="488" t="str">
        <f>IF($O$47&gt;0,$O$47,"-")</f>
        <v>BRICCAL Calcítico</v>
      </c>
      <c r="C27" s="488"/>
      <c r="D27" s="73">
        <f>IF(J27&gt;0,J27,"-")</f>
        <v>0.50847457627118664</v>
      </c>
      <c r="E27" s="365" t="str">
        <f>IF(J27&gt;0,"toneladas por hectare ou,","-")</f>
        <v>toneladas por hectare ou,</v>
      </c>
      <c r="F27" s="365"/>
      <c r="G27" s="365"/>
      <c r="H27" s="365"/>
      <c r="I27" s="365"/>
      <c r="J27" s="74">
        <f>V51</f>
        <v>0.50847457627118664</v>
      </c>
      <c r="U27" s="78" t="s">
        <v>66</v>
      </c>
      <c r="V27" s="78">
        <f>VLOOKUP(U32,AG27:AH50,2,0)/$E$18</f>
        <v>0</v>
      </c>
      <c r="W27" s="25"/>
      <c r="X27" s="75" t="s">
        <v>503</v>
      </c>
      <c r="Y27" s="75">
        <v>75000</v>
      </c>
      <c r="AE27" s="75" t="s">
        <v>503</v>
      </c>
      <c r="AF27" s="75" t="s">
        <v>504</v>
      </c>
      <c r="AG27" s="75" t="str">
        <f t="shared" ref="AG27:AG50" si="4">CONCATENATE(AE27," - ",AF27)</f>
        <v>Plantio - muito baixo</v>
      </c>
      <c r="AH27" s="75">
        <v>120000</v>
      </c>
      <c r="AJ27" s="75" t="s">
        <v>503</v>
      </c>
      <c r="AK27" s="75" t="s">
        <v>504</v>
      </c>
      <c r="AL27" s="75" t="str">
        <f t="shared" ref="AL27:AL50" si="5">CONCATENATE(AJ27," - ",AK27)</f>
        <v>Plantio - muito baixo</v>
      </c>
      <c r="AM27" s="75">
        <v>20000</v>
      </c>
      <c r="AO27" s="47"/>
      <c r="AP27" s="447" t="s">
        <v>261</v>
      </c>
      <c r="AQ27" s="447" t="str">
        <f>B29</f>
        <v>Remax Mistel (61) 99414-1975</v>
      </c>
      <c r="AR27" s="447"/>
      <c r="AS27" s="55">
        <f t="shared" ref="AS27:AS36" si="6">IFERROR(VLOOKUP(AQ27,$V$100:$AL$179,11,0)*0.01*VLOOKUP(AQ27,$B$27:$J$47,9,0),0)</f>
        <v>0</v>
      </c>
      <c r="AT27" s="55">
        <f t="shared" ref="AT27:AT36" si="7">IFERROR(VLOOKUP(AQ27,$V$100:$AL$179,12,0)*0.01*VLOOKUP(AQ27,$B$27:$J$47,9,0),0)</f>
        <v>0</v>
      </c>
      <c r="AU27" s="55">
        <f t="shared" ref="AU27:AU36" si="8">IFERROR(VLOOKUP(AQ27,$V$100:$AL$179,13,0)*0.01*VLOOKUP(AQ27,$B$27:$J$47,9,0),0)</f>
        <v>0</v>
      </c>
      <c r="AV27" s="55">
        <f t="shared" ref="AV27:AV36" si="9">IFERROR(VLOOKUP(AQ27,$V$100:$AL$179,14,0)*0.01*VLOOKUP(AQ27,$B$27:$J$47,9,0),0)</f>
        <v>0</v>
      </c>
      <c r="AW27" s="47"/>
      <c r="AX27" s="47"/>
      <c r="AY27" s="47"/>
      <c r="AZ27" s="47"/>
      <c r="BA27" s="47"/>
      <c r="BB27" s="47"/>
    </row>
    <row r="28" spans="2:54" ht="20.25" customHeight="1" x14ac:dyDescent="0.25">
      <c r="B28" s="488"/>
      <c r="C28" s="488"/>
      <c r="D28" s="73">
        <f>IF(J28&gt;0,J28,"-")</f>
        <v>5.0847457627118661E-2</v>
      </c>
      <c r="E28" s="365" t="str">
        <f>IF(J28&gt;0,"quilos por metro quadrado","-")</f>
        <v>quilos por metro quadrado</v>
      </c>
      <c r="F28" s="365"/>
      <c r="G28" s="365"/>
      <c r="H28" s="365"/>
      <c r="I28" s="365"/>
      <c r="J28" s="74">
        <f>J27/10</f>
        <v>5.0847457627118661E-2</v>
      </c>
      <c r="M28" s="48"/>
      <c r="N28" s="49"/>
      <c r="O28" s="49"/>
      <c r="P28" s="49"/>
      <c r="Q28" s="49"/>
      <c r="R28" s="50"/>
      <c r="U28" s="78" t="s">
        <v>67</v>
      </c>
      <c r="V28" s="78">
        <f>VLOOKUP($U$35,AL27:AM50,2,0)/$E$18</f>
        <v>180</v>
      </c>
      <c r="W28" s="25"/>
      <c r="X28" s="75">
        <v>30</v>
      </c>
      <c r="Y28" s="75">
        <v>10000</v>
      </c>
      <c r="AE28" s="75" t="s">
        <v>503</v>
      </c>
      <c r="AF28" s="75" t="s">
        <v>68</v>
      </c>
      <c r="AG28" s="75" t="str">
        <f t="shared" si="4"/>
        <v>Plantio - baixo</v>
      </c>
      <c r="AH28" s="75">
        <v>80000</v>
      </c>
      <c r="AJ28" s="75" t="s">
        <v>503</v>
      </c>
      <c r="AK28" s="75" t="s">
        <v>68</v>
      </c>
      <c r="AL28" s="75" t="str">
        <f t="shared" si="5"/>
        <v>Plantio - baixo</v>
      </c>
      <c r="AM28" s="75">
        <v>0</v>
      </c>
      <c r="AO28" s="47"/>
      <c r="AP28" s="447"/>
      <c r="AQ28" s="447" t="str">
        <f t="shared" ref="AQ28:AQ36" si="10">B41</f>
        <v>Termofosfato YOORIN</v>
      </c>
      <c r="AR28" s="447"/>
      <c r="AS28" s="55">
        <f t="shared" si="6"/>
        <v>0</v>
      </c>
      <c r="AT28" s="55">
        <f t="shared" si="7"/>
        <v>0</v>
      </c>
      <c r="AU28" s="55">
        <f t="shared" si="8"/>
        <v>0</v>
      </c>
      <c r="AV28" s="55">
        <f t="shared" si="9"/>
        <v>0</v>
      </c>
      <c r="AW28" s="47"/>
      <c r="AX28" s="47"/>
      <c r="AY28" s="47"/>
      <c r="AZ28" s="47"/>
      <c r="BA28" s="47"/>
      <c r="BB28" s="47"/>
    </row>
    <row r="29" spans="2:54" ht="20.25" customHeight="1" x14ac:dyDescent="0.25">
      <c r="B29" s="488" t="str">
        <f>IF($O$50&gt;0,$O$50,"-")</f>
        <v>Remax Mistel (61) 99414-1975</v>
      </c>
      <c r="C29" s="488"/>
      <c r="D29" s="73">
        <f>IF(J29&gt;0,J29,"-")</f>
        <v>0.98220723286630063</v>
      </c>
      <c r="E29" s="365" t="str">
        <f>IF(J29&gt;0,"toneladas por hectare ou,","-")</f>
        <v>toneladas por hectare ou,</v>
      </c>
      <c r="F29" s="365"/>
      <c r="G29" s="365"/>
      <c r="H29" s="365"/>
      <c r="I29" s="365"/>
      <c r="J29" s="74">
        <f>Z49</f>
        <v>0.98220723286630063</v>
      </c>
      <c r="M29" s="364" t="s">
        <v>211</v>
      </c>
      <c r="N29" s="453"/>
      <c r="O29" s="473" t="s">
        <v>197</v>
      </c>
      <c r="P29" s="474"/>
      <c r="Q29" s="475"/>
      <c r="R29" s="53"/>
      <c r="W29" s="25"/>
      <c r="X29" s="75">
        <v>60</v>
      </c>
      <c r="Y29" s="75">
        <v>10000</v>
      </c>
      <c r="AE29" s="75" t="s">
        <v>503</v>
      </c>
      <c r="AF29" s="75" t="s">
        <v>70</v>
      </c>
      <c r="AG29" s="75" t="str">
        <f t="shared" si="4"/>
        <v>Plantio - adequado</v>
      </c>
      <c r="AH29" s="75">
        <v>40000</v>
      </c>
      <c r="AJ29" s="75" t="s">
        <v>503</v>
      </c>
      <c r="AK29" s="75" t="s">
        <v>70</v>
      </c>
      <c r="AL29" s="75" t="str">
        <f t="shared" si="5"/>
        <v>Plantio - adequado</v>
      </c>
      <c r="AM29" s="75">
        <v>0</v>
      </c>
      <c r="AO29" s="47"/>
      <c r="AP29" s="447"/>
      <c r="AQ29" s="447" t="str">
        <f t="shared" si="10"/>
        <v>Superfosfato simples</v>
      </c>
      <c r="AR29" s="447"/>
      <c r="AS29" s="55">
        <f t="shared" si="6"/>
        <v>0</v>
      </c>
      <c r="AT29" s="55">
        <f t="shared" si="7"/>
        <v>0</v>
      </c>
      <c r="AU29" s="55">
        <f t="shared" si="8"/>
        <v>0</v>
      </c>
      <c r="AV29" s="55">
        <f t="shared" si="9"/>
        <v>0</v>
      </c>
      <c r="AW29" s="47"/>
      <c r="AX29" s="47"/>
      <c r="AY29" s="47"/>
      <c r="AZ29" s="47"/>
      <c r="BA29" s="47"/>
      <c r="BB29" s="47"/>
    </row>
    <row r="30" spans="2:54" ht="20.25" customHeight="1" x14ac:dyDescent="0.25">
      <c r="B30" s="488"/>
      <c r="C30" s="488"/>
      <c r="D30" s="73">
        <f>IF(J30&gt;0,J30,"-")</f>
        <v>9.8220723286630063E-2</v>
      </c>
      <c r="E30" s="365" t="str">
        <f>IF(J30&gt;0,"quilos por metro quadrado","-")</f>
        <v>quilos por metro quadrado</v>
      </c>
      <c r="F30" s="365"/>
      <c r="G30" s="365"/>
      <c r="H30" s="365"/>
      <c r="I30" s="365"/>
      <c r="J30" s="74">
        <f>J29/10</f>
        <v>9.8220723286630063E-2</v>
      </c>
      <c r="M30" s="364"/>
      <c r="N30" s="453"/>
      <c r="O30" s="32"/>
      <c r="P30" s="77" t="s">
        <v>200</v>
      </c>
      <c r="Q30" s="32"/>
      <c r="R30" s="53"/>
      <c r="W30" s="25"/>
      <c r="X30" s="75">
        <v>90</v>
      </c>
      <c r="Y30" s="75">
        <v>15000</v>
      </c>
      <c r="AE30" s="75" t="s">
        <v>503</v>
      </c>
      <c r="AF30" s="75" t="s">
        <v>331</v>
      </c>
      <c r="AG30" s="75" t="str">
        <f t="shared" si="4"/>
        <v>Plantio - alto</v>
      </c>
      <c r="AH30" s="75">
        <v>0</v>
      </c>
      <c r="AJ30" s="75" t="s">
        <v>503</v>
      </c>
      <c r="AK30" s="75" t="s">
        <v>331</v>
      </c>
      <c r="AL30" s="75" t="str">
        <f t="shared" si="5"/>
        <v>Plantio - alto</v>
      </c>
      <c r="AM30" s="75">
        <v>0</v>
      </c>
      <c r="AO30" s="47"/>
      <c r="AP30" s="447"/>
      <c r="AQ30" s="447" t="str">
        <f t="shared" si="10"/>
        <v>-</v>
      </c>
      <c r="AR30" s="447"/>
      <c r="AS30" s="55">
        <f t="shared" si="6"/>
        <v>0</v>
      </c>
      <c r="AT30" s="55">
        <f t="shared" si="7"/>
        <v>0</v>
      </c>
      <c r="AU30" s="55">
        <f t="shared" si="8"/>
        <v>0</v>
      </c>
      <c r="AV30" s="55">
        <f t="shared" si="9"/>
        <v>0</v>
      </c>
      <c r="AW30" s="47"/>
      <c r="AX30" s="47"/>
      <c r="AY30" s="47"/>
      <c r="AZ30" s="47"/>
      <c r="BA30" s="47"/>
      <c r="BB30" s="47"/>
    </row>
    <row r="31" spans="2:54" ht="20.25" customHeight="1" x14ac:dyDescent="0.25">
      <c r="B31" s="514" t="s">
        <v>533</v>
      </c>
      <c r="C31" s="514"/>
      <c r="D31" s="514"/>
      <c r="E31" s="514"/>
      <c r="F31" s="514"/>
      <c r="G31" s="514"/>
      <c r="H31" s="514"/>
      <c r="I31" s="514"/>
      <c r="J31" s="74"/>
      <c r="M31" s="364"/>
      <c r="N31" s="453"/>
      <c r="O31" s="473" t="s">
        <v>519</v>
      </c>
      <c r="P31" s="474"/>
      <c r="Q31" s="475"/>
      <c r="R31" s="53"/>
      <c r="U31" s="457" t="s">
        <v>72</v>
      </c>
      <c r="V31" s="457"/>
      <c r="W31" s="25"/>
      <c r="X31" s="75">
        <v>120</v>
      </c>
      <c r="Y31" s="75">
        <v>15000</v>
      </c>
      <c r="AE31" s="75">
        <v>30</v>
      </c>
      <c r="AF31" s="75" t="s">
        <v>504</v>
      </c>
      <c r="AG31" s="75" t="str">
        <f t="shared" si="4"/>
        <v>30 - muito baixo</v>
      </c>
      <c r="AH31" s="75">
        <v>0</v>
      </c>
      <c r="AJ31" s="75">
        <v>30</v>
      </c>
      <c r="AK31" s="75" t="s">
        <v>504</v>
      </c>
      <c r="AL31" s="75" t="str">
        <f t="shared" si="5"/>
        <v>30 - muito baixo</v>
      </c>
      <c r="AM31" s="75">
        <v>20000</v>
      </c>
      <c r="AO31" s="47"/>
      <c r="AP31" s="447"/>
      <c r="AQ31" s="447" t="str">
        <f t="shared" si="10"/>
        <v>Cloreto de potássio</v>
      </c>
      <c r="AR31" s="447"/>
      <c r="AS31" s="55">
        <f t="shared" si="6"/>
        <v>0</v>
      </c>
      <c r="AT31" s="55">
        <f t="shared" si="7"/>
        <v>0</v>
      </c>
      <c r="AU31" s="55">
        <f t="shared" si="8"/>
        <v>0</v>
      </c>
      <c r="AV31" s="55">
        <f t="shared" si="9"/>
        <v>0</v>
      </c>
      <c r="AW31" s="47"/>
      <c r="AX31" s="47"/>
      <c r="AY31" s="47"/>
      <c r="AZ31" s="47"/>
      <c r="BA31" s="47"/>
      <c r="BB31" s="47"/>
    </row>
    <row r="32" spans="2:54" ht="20.25" customHeight="1" x14ac:dyDescent="0.25">
      <c r="B32" s="514"/>
      <c r="C32" s="514"/>
      <c r="D32" s="514"/>
      <c r="E32" s="514"/>
      <c r="F32" s="514"/>
      <c r="G32" s="514"/>
      <c r="H32" s="514"/>
      <c r="I32" s="514"/>
      <c r="J32" s="74"/>
      <c r="M32" s="364"/>
      <c r="N32" s="453"/>
      <c r="O32" s="32">
        <v>2</v>
      </c>
      <c r="P32" s="32">
        <v>2</v>
      </c>
      <c r="Q32" s="32">
        <v>4</v>
      </c>
      <c r="R32" s="53"/>
      <c r="U32" s="457" t="str">
        <f>CONCATENATE($P$39," - ",$AC$8)</f>
        <v>120-360 - baixo</v>
      </c>
      <c r="V32" s="457"/>
      <c r="W32" s="25"/>
      <c r="X32" s="75" t="s">
        <v>520</v>
      </c>
      <c r="Y32" s="75">
        <v>100000</v>
      </c>
      <c r="AE32" s="75">
        <v>30</v>
      </c>
      <c r="AF32" s="75" t="s">
        <v>68</v>
      </c>
      <c r="AG32" s="75" t="str">
        <f t="shared" si="4"/>
        <v>30 - baixo</v>
      </c>
      <c r="AH32" s="75">
        <v>0</v>
      </c>
      <c r="AJ32" s="75">
        <v>30</v>
      </c>
      <c r="AK32" s="75" t="s">
        <v>68</v>
      </c>
      <c r="AL32" s="75" t="str">
        <f t="shared" si="5"/>
        <v>30 - baixo</v>
      </c>
      <c r="AM32" s="75">
        <v>0</v>
      </c>
      <c r="AO32" s="47"/>
      <c r="AP32" s="447"/>
      <c r="AQ32" s="447" t="str">
        <f t="shared" si="10"/>
        <v>EkoSil</v>
      </c>
      <c r="AR32" s="447"/>
      <c r="AS32" s="55">
        <f t="shared" si="6"/>
        <v>1.3448275862068965E-4</v>
      </c>
      <c r="AT32" s="55">
        <f t="shared" si="7"/>
        <v>1.3448275862068965E-4</v>
      </c>
      <c r="AU32" s="55">
        <f t="shared" si="8"/>
        <v>2.5862068965517242E-4</v>
      </c>
      <c r="AV32" s="55">
        <f t="shared" si="9"/>
        <v>2.8965517241379313E-5</v>
      </c>
      <c r="AW32" s="47"/>
      <c r="AX32" s="47"/>
      <c r="AY32" s="47"/>
      <c r="AZ32" s="47"/>
      <c r="BA32" s="47"/>
      <c r="BB32" s="47"/>
    </row>
    <row r="33" spans="2:57" ht="20.25" customHeight="1" thickBot="1" x14ac:dyDescent="0.3">
      <c r="B33" s="515"/>
      <c r="C33" s="515"/>
      <c r="D33" s="515"/>
      <c r="E33" s="515"/>
      <c r="F33" s="515"/>
      <c r="G33" s="515"/>
      <c r="H33" s="515"/>
      <c r="I33" s="515"/>
      <c r="J33" s="74"/>
      <c r="M33" s="364"/>
      <c r="N33" s="453"/>
      <c r="O33" s="473" t="s">
        <v>282</v>
      </c>
      <c r="P33" s="474"/>
      <c r="Q33" s="475"/>
      <c r="R33" s="53"/>
      <c r="W33" s="25"/>
      <c r="AE33" s="75">
        <v>30</v>
      </c>
      <c r="AF33" s="75" t="s">
        <v>70</v>
      </c>
      <c r="AG33" s="75" t="str">
        <f t="shared" si="4"/>
        <v>30 - adequado</v>
      </c>
      <c r="AH33" s="75">
        <v>0</v>
      </c>
      <c r="AJ33" s="75">
        <v>30</v>
      </c>
      <c r="AK33" s="75" t="s">
        <v>70</v>
      </c>
      <c r="AL33" s="75" t="str">
        <f t="shared" si="5"/>
        <v>30 - adequado</v>
      </c>
      <c r="AM33" s="75">
        <v>0</v>
      </c>
      <c r="AO33" s="47"/>
      <c r="AP33" s="447"/>
      <c r="AQ33" s="447" t="str">
        <f t="shared" si="10"/>
        <v>-</v>
      </c>
      <c r="AR33" s="447"/>
      <c r="AS33" s="55">
        <f t="shared" si="6"/>
        <v>0</v>
      </c>
      <c r="AT33" s="55">
        <f t="shared" si="7"/>
        <v>0</v>
      </c>
      <c r="AU33" s="55">
        <f t="shared" si="8"/>
        <v>0</v>
      </c>
      <c r="AV33" s="55">
        <f t="shared" si="9"/>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364"/>
      <c r="N34" s="453"/>
      <c r="O34" s="448">
        <v>1</v>
      </c>
      <c r="P34" s="448"/>
      <c r="Q34" s="448"/>
      <c r="R34" s="53"/>
      <c r="U34" s="457" t="s">
        <v>73</v>
      </c>
      <c r="V34" s="457"/>
      <c r="W34" s="25"/>
      <c r="AE34" s="75">
        <v>30</v>
      </c>
      <c r="AF34" s="75" t="s">
        <v>331</v>
      </c>
      <c r="AG34" s="75" t="str">
        <f t="shared" si="4"/>
        <v>30 - alto</v>
      </c>
      <c r="AH34" s="75">
        <v>0</v>
      </c>
      <c r="AJ34" s="75">
        <v>30</v>
      </c>
      <c r="AK34" s="75" t="s">
        <v>331</v>
      </c>
      <c r="AL34" s="75" t="str">
        <f t="shared" si="5"/>
        <v>30 - alto</v>
      </c>
      <c r="AM34" s="75">
        <v>0</v>
      </c>
      <c r="AO34" s="47"/>
      <c r="AP34" s="447"/>
      <c r="AQ34" s="447" t="str">
        <f t="shared" si="10"/>
        <v>Nitrato de Amônio</v>
      </c>
      <c r="AR34" s="447"/>
      <c r="AS34" s="55">
        <f t="shared" si="6"/>
        <v>0</v>
      </c>
      <c r="AT34" s="55">
        <f t="shared" si="7"/>
        <v>0</v>
      </c>
      <c r="AU34" s="55">
        <f t="shared" si="8"/>
        <v>0</v>
      </c>
      <c r="AV34" s="55">
        <f t="shared" si="9"/>
        <v>0</v>
      </c>
      <c r="AW34" s="47"/>
      <c r="AX34" s="47"/>
      <c r="AY34" s="47"/>
      <c r="AZ34" s="47"/>
      <c r="BA34" s="47"/>
      <c r="BB34" s="47"/>
    </row>
    <row r="35" spans="2:57" ht="20.25" customHeight="1" thickBot="1" x14ac:dyDescent="0.3">
      <c r="B35" s="488" t="str">
        <f>IF($O$55&gt;0,$O$55,"-")</f>
        <v>Gesso Agronelli</v>
      </c>
      <c r="C35" s="488"/>
      <c r="D35" s="73">
        <f>IF(J34&gt;0,J34,"-")</f>
        <v>356.25</v>
      </c>
      <c r="E35" s="365" t="str">
        <f>IF(J34&gt;0,"quilos por hectare ou,","-")</f>
        <v>quilos por hectare ou,</v>
      </c>
      <c r="F35" s="365"/>
      <c r="G35" s="365"/>
      <c r="H35" s="365"/>
      <c r="I35" s="365"/>
      <c r="J35" s="81">
        <f>J34/10</f>
        <v>35.625</v>
      </c>
      <c r="M35" s="69"/>
      <c r="N35" s="70"/>
      <c r="O35" s="70"/>
      <c r="P35" s="83" t="e">
        <f>10000/($O$30*$Q$30)</f>
        <v>#DIV/0!</v>
      </c>
      <c r="Q35" s="83">
        <f>10000/(((P32+Q32)/2)*O32)</f>
        <v>1666.6666666666667</v>
      </c>
      <c r="R35" s="71"/>
      <c r="U35" s="457" t="str">
        <f>CONCATENATE($P$39," - ",$W$17)</f>
        <v>120-360 - muito baixo</v>
      </c>
      <c r="V35" s="457"/>
      <c r="W35" s="25"/>
      <c r="AE35" s="75">
        <v>60</v>
      </c>
      <c r="AF35" s="75" t="s">
        <v>504</v>
      </c>
      <c r="AG35" s="75" t="str">
        <f t="shared" si="4"/>
        <v>60 - muito baixo</v>
      </c>
      <c r="AH35" s="75">
        <v>0</v>
      </c>
      <c r="AJ35" s="75">
        <v>60</v>
      </c>
      <c r="AK35" s="75" t="s">
        <v>504</v>
      </c>
      <c r="AL35" s="75" t="str">
        <f t="shared" si="5"/>
        <v>60 - muito baixo</v>
      </c>
      <c r="AM35" s="75">
        <v>30000</v>
      </c>
      <c r="AO35" s="47"/>
      <c r="AP35" s="447"/>
      <c r="AQ35" s="447" t="str">
        <f t="shared" si="10"/>
        <v>-</v>
      </c>
      <c r="AR35" s="447"/>
      <c r="AS35" s="55">
        <f t="shared" si="6"/>
        <v>0</v>
      </c>
      <c r="AT35" s="55">
        <f t="shared" si="7"/>
        <v>0</v>
      </c>
      <c r="AU35" s="55">
        <f t="shared" si="8"/>
        <v>0</v>
      </c>
      <c r="AV35" s="55">
        <f t="shared" si="9"/>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25"/>
      <c r="V36" s="25"/>
      <c r="W36" s="25"/>
      <c r="AE36" s="75">
        <v>60</v>
      </c>
      <c r="AF36" s="75" t="s">
        <v>68</v>
      </c>
      <c r="AG36" s="75" t="str">
        <f t="shared" si="4"/>
        <v>60 - baixo</v>
      </c>
      <c r="AH36" s="75">
        <v>0</v>
      </c>
      <c r="AJ36" s="75">
        <v>60</v>
      </c>
      <c r="AK36" s="75" t="s">
        <v>68</v>
      </c>
      <c r="AL36" s="75" t="str">
        <f t="shared" si="5"/>
        <v>60 - baixo</v>
      </c>
      <c r="AM36" s="75">
        <v>30000</v>
      </c>
      <c r="AO36" s="47"/>
      <c r="AP36" s="447"/>
      <c r="AQ36" s="447" t="str">
        <f t="shared" si="10"/>
        <v>-</v>
      </c>
      <c r="AR36" s="447"/>
      <c r="AS36" s="55">
        <f t="shared" si="6"/>
        <v>0</v>
      </c>
      <c r="AT36" s="55">
        <f t="shared" si="7"/>
        <v>0</v>
      </c>
      <c r="AU36" s="55">
        <f t="shared" si="8"/>
        <v>0</v>
      </c>
      <c r="AV36" s="55">
        <f t="shared" si="9"/>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AE37" s="75">
        <v>60</v>
      </c>
      <c r="AF37" s="75" t="s">
        <v>70</v>
      </c>
      <c r="AG37" s="75" t="str">
        <f t="shared" si="4"/>
        <v>60 - adequado</v>
      </c>
      <c r="AH37" s="75">
        <v>0</v>
      </c>
      <c r="AJ37" s="75">
        <v>60</v>
      </c>
      <c r="AK37" s="75" t="s">
        <v>70</v>
      </c>
      <c r="AL37" s="75" t="str">
        <f t="shared" si="5"/>
        <v>60 - adequado</v>
      </c>
      <c r="AM37" s="75">
        <v>0</v>
      </c>
      <c r="AO37" s="85"/>
      <c r="AP37" s="85"/>
      <c r="AQ37" s="85"/>
      <c r="AR37" s="85"/>
      <c r="AS37" s="59">
        <f>IF(AS24&gt;0,AS24,0)</f>
        <v>1.1998655172413792</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198</v>
      </c>
      <c r="P38" s="489"/>
      <c r="Q38" s="489"/>
      <c r="R38" s="53"/>
      <c r="U38" s="51" t="s">
        <v>63</v>
      </c>
      <c r="AE38" s="75">
        <v>60</v>
      </c>
      <c r="AF38" s="75" t="s">
        <v>331</v>
      </c>
      <c r="AG38" s="75" t="str">
        <f t="shared" si="4"/>
        <v>60 - alto</v>
      </c>
      <c r="AH38" s="75">
        <v>0</v>
      </c>
      <c r="AJ38" s="75">
        <v>60</v>
      </c>
      <c r="AK38" s="75" t="s">
        <v>331</v>
      </c>
      <c r="AL38" s="75" t="str">
        <f t="shared" si="5"/>
        <v>60 - alto</v>
      </c>
      <c r="AM38" s="75">
        <v>0</v>
      </c>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0</v>
      </c>
      <c r="M39" s="364"/>
      <c r="N39" s="365"/>
      <c r="O39" s="110" t="s">
        <v>330</v>
      </c>
      <c r="P39" s="448" t="s">
        <v>520</v>
      </c>
      <c r="Q39" s="448"/>
      <c r="R39" s="53"/>
      <c r="U39" s="51" t="s">
        <v>32</v>
      </c>
      <c r="AE39" s="75">
        <v>90</v>
      </c>
      <c r="AF39" s="75" t="s">
        <v>504</v>
      </c>
      <c r="AG39" s="75" t="str">
        <f t="shared" si="4"/>
        <v>90 - muito baixo</v>
      </c>
      <c r="AH39" s="75">
        <v>0</v>
      </c>
      <c r="AJ39" s="75">
        <v>90</v>
      </c>
      <c r="AK39" s="75" t="s">
        <v>504</v>
      </c>
      <c r="AL39" s="75" t="str">
        <f t="shared" si="5"/>
        <v>90 - muito baixo</v>
      </c>
      <c r="AM39" s="75">
        <v>30000</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t="str">
        <f>IF(AQ59&gt;0,AQ59,"-")</f>
        <v>-</v>
      </c>
      <c r="E40" s="362" t="str">
        <f>IF(AQ59&gt;0,"quilos por cova ou planta","-")</f>
        <v>-</v>
      </c>
      <c r="F40" s="362"/>
      <c r="G40" s="362"/>
      <c r="H40" s="362"/>
      <c r="I40" s="362"/>
      <c r="J40" s="81">
        <f>AV7</f>
        <v>0</v>
      </c>
      <c r="M40" s="364"/>
      <c r="N40" s="365"/>
      <c r="O40" s="25"/>
      <c r="P40" s="25"/>
      <c r="Q40" s="25"/>
      <c r="R40" s="53"/>
      <c r="U40" s="51" t="s">
        <v>34</v>
      </c>
      <c r="AE40" s="75">
        <v>90</v>
      </c>
      <c r="AF40" s="75" t="s">
        <v>68</v>
      </c>
      <c r="AG40" s="75" t="str">
        <f t="shared" si="4"/>
        <v>90 - baixo</v>
      </c>
      <c r="AH40" s="75">
        <v>0</v>
      </c>
      <c r="AJ40" s="75">
        <v>90</v>
      </c>
      <c r="AK40" s="75" t="s">
        <v>68</v>
      </c>
      <c r="AL40" s="75" t="str">
        <f t="shared" si="5"/>
        <v>90 - baixo</v>
      </c>
      <c r="AM40" s="75">
        <v>30000</v>
      </c>
      <c r="AO40" s="47"/>
      <c r="AP40" s="447" t="str">
        <f>O105</f>
        <v>Ácido Bórico</v>
      </c>
      <c r="AQ40" s="447"/>
      <c r="AR40" s="55">
        <f>IFERROR($AS$37/((VLOOKUP(AP40,$V$100:$AO$179,11,0)*0.01)),0)</f>
        <v>6.8563743842364522</v>
      </c>
      <c r="AS40" s="55">
        <f>IFERROR($AT$37/((VLOOKUP(AP40,$V$100:$AO$179,14,0)*0.01)),0)</f>
        <v>0</v>
      </c>
      <c r="AT40" s="55">
        <f>IFERROR($AU$37/((VLOOKUP(AP40,$V$100:$AO$179,12,0)*0.01)),0)</f>
        <v>0</v>
      </c>
      <c r="AU40" s="55">
        <f>IFERROR($AV$37/((VLOOKUP(AP40,$V$100:$AO$179,13,0)*0.01)),0)</f>
        <v>0</v>
      </c>
      <c r="AV40" s="55">
        <f>MAX(AR40:AU40)</f>
        <v>6.8563743842364522</v>
      </c>
      <c r="AW40" s="55">
        <f>IFERROR(AV40*(VLOOKUP(AP40,$V$100:$AO$179,11,0)*0.01),0)</f>
        <v>1.1998655172413792</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t="str">
        <f t="shared" ref="D41:D49" si="11">IF(J39&gt;0,J39,"-")</f>
        <v>-</v>
      </c>
      <c r="E41" s="365" t="str">
        <f t="shared" ref="E41:E49" si="12">IF(J39&gt;0,"gramas por planta","-")</f>
        <v>-</v>
      </c>
      <c r="F41" s="365"/>
      <c r="G41" s="365"/>
      <c r="H41" s="365"/>
      <c r="I41" s="365"/>
      <c r="J41" s="81">
        <f>AV8</f>
        <v>0</v>
      </c>
      <c r="M41" s="364"/>
      <c r="N41" s="365"/>
      <c r="O41" s="489" t="s">
        <v>308</v>
      </c>
      <c r="P41" s="489"/>
      <c r="Q41" s="489"/>
      <c r="R41" s="53"/>
      <c r="U41" s="51">
        <v>30</v>
      </c>
      <c r="AE41" s="75">
        <v>90</v>
      </c>
      <c r="AF41" s="75" t="s">
        <v>70</v>
      </c>
      <c r="AG41" s="75" t="str">
        <f t="shared" si="4"/>
        <v>90 - adequado</v>
      </c>
      <c r="AH41" s="75">
        <v>0</v>
      </c>
      <c r="AJ41" s="75">
        <v>90</v>
      </c>
      <c r="AK41" s="75" t="s">
        <v>70</v>
      </c>
      <c r="AL41" s="75" t="str">
        <f t="shared" si="5"/>
        <v>90 - adequado</v>
      </c>
      <c r="AM41" s="75">
        <v>20000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3">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t="str">
        <f t="shared" si="11"/>
        <v>-</v>
      </c>
      <c r="E42" s="365" t="str">
        <f t="shared" si="12"/>
        <v>-</v>
      </c>
      <c r="F42" s="365"/>
      <c r="G42" s="365"/>
      <c r="H42" s="365"/>
      <c r="I42" s="365"/>
      <c r="J42" s="81">
        <f>AV12</f>
        <v>150</v>
      </c>
      <c r="M42" s="364"/>
      <c r="N42" s="365"/>
      <c r="O42" s="483" t="s">
        <v>292</v>
      </c>
      <c r="P42" s="513"/>
      <c r="Q42" s="484"/>
      <c r="R42" s="53"/>
      <c r="U42" s="51">
        <v>60</v>
      </c>
      <c r="AE42" s="75">
        <v>90</v>
      </c>
      <c r="AF42" s="75" t="s">
        <v>331</v>
      </c>
      <c r="AG42" s="75" t="str">
        <f t="shared" si="4"/>
        <v>90 - alto</v>
      </c>
      <c r="AH42" s="75">
        <v>0</v>
      </c>
      <c r="AJ42" s="75">
        <v>90</v>
      </c>
      <c r="AK42" s="75" t="s">
        <v>331</v>
      </c>
      <c r="AL42" s="75" t="str">
        <f t="shared" si="5"/>
        <v>90 - alto</v>
      </c>
      <c r="AM42" s="75">
        <v>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3"/>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1"/>
        <v>-</v>
      </c>
      <c r="E43" s="365" t="str">
        <f t="shared" si="12"/>
        <v>-</v>
      </c>
      <c r="F43" s="365"/>
      <c r="G43" s="365"/>
      <c r="H43" s="365"/>
      <c r="I43" s="365"/>
      <c r="J43" s="81">
        <f>AV13</f>
        <v>1125</v>
      </c>
      <c r="M43" s="69"/>
      <c r="N43" s="70"/>
      <c r="O43" s="70"/>
      <c r="P43" s="70"/>
      <c r="Q43" s="70"/>
      <c r="R43" s="71"/>
      <c r="U43" s="51">
        <v>120</v>
      </c>
      <c r="AE43" s="75">
        <v>120</v>
      </c>
      <c r="AF43" s="75" t="s">
        <v>504</v>
      </c>
      <c r="AG43" s="75" t="str">
        <f t="shared" si="4"/>
        <v>120 - muito baixo</v>
      </c>
      <c r="AH43" s="75">
        <v>0</v>
      </c>
      <c r="AJ43" s="75">
        <v>120</v>
      </c>
      <c r="AK43" s="75" t="s">
        <v>504</v>
      </c>
      <c r="AL43" s="75" t="str">
        <f t="shared" si="5"/>
        <v>120 - muito baixo</v>
      </c>
      <c r="AM43" s="75">
        <v>50000</v>
      </c>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3"/>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1"/>
        <v>150</v>
      </c>
      <c r="E44" s="365" t="str">
        <f t="shared" si="12"/>
        <v>gramas por planta</v>
      </c>
      <c r="F44" s="365"/>
      <c r="G44" s="365"/>
      <c r="H44" s="365"/>
      <c r="I44" s="365"/>
      <c r="J44" s="81">
        <f>AV14</f>
        <v>0</v>
      </c>
      <c r="M44" s="362"/>
      <c r="N44" s="362"/>
      <c r="O44" s="362"/>
      <c r="P44" s="362"/>
      <c r="Q44" s="362"/>
      <c r="R44" s="362"/>
      <c r="AE44" s="75">
        <v>120</v>
      </c>
      <c r="AF44" s="75" t="s">
        <v>68</v>
      </c>
      <c r="AG44" s="75" t="str">
        <f t="shared" si="4"/>
        <v>120 - baixo</v>
      </c>
      <c r="AH44" s="75">
        <v>0</v>
      </c>
      <c r="AJ44" s="75">
        <v>120</v>
      </c>
      <c r="AK44" s="75" t="s">
        <v>68</v>
      </c>
      <c r="AL44" s="75" t="str">
        <f t="shared" si="5"/>
        <v>120 - baixo</v>
      </c>
      <c r="AM44" s="75">
        <v>40000</v>
      </c>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1"/>
        <v>1125</v>
      </c>
      <c r="E45" s="365" t="str">
        <f t="shared" si="12"/>
        <v>gramas por planta</v>
      </c>
      <c r="F45" s="365"/>
      <c r="G45" s="365"/>
      <c r="H45" s="365"/>
      <c r="I45" s="365"/>
      <c r="J45" s="81">
        <f>AV18</f>
        <v>206.89655172413794</v>
      </c>
      <c r="M45" s="48"/>
      <c r="N45" s="49"/>
      <c r="O45" s="499" t="s">
        <v>305</v>
      </c>
      <c r="P45" s="500"/>
      <c r="Q45" s="501"/>
      <c r="R45" s="50"/>
      <c r="U45" s="459" t="s">
        <v>108</v>
      </c>
      <c r="V45" s="460"/>
      <c r="X45" s="457" t="s">
        <v>202</v>
      </c>
      <c r="Y45" s="457"/>
      <c r="Z45" s="457"/>
      <c r="AE45" s="75">
        <v>120</v>
      </c>
      <c r="AF45" s="75" t="s">
        <v>70</v>
      </c>
      <c r="AG45" s="75" t="str">
        <f t="shared" si="4"/>
        <v>120 - adequado</v>
      </c>
      <c r="AH45" s="75">
        <v>0</v>
      </c>
      <c r="AJ45" s="75">
        <v>120</v>
      </c>
      <c r="AK45" s="75" t="s">
        <v>70</v>
      </c>
      <c r="AL45" s="75" t="str">
        <f t="shared" si="5"/>
        <v>120 - adequado</v>
      </c>
      <c r="AM45" s="75">
        <v>30000</v>
      </c>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1"/>
        <v>-</v>
      </c>
      <c r="E46" s="365" t="str">
        <f t="shared" si="12"/>
        <v>-</v>
      </c>
      <c r="F46" s="365"/>
      <c r="G46" s="365"/>
      <c r="H46" s="365"/>
      <c r="I46" s="365"/>
      <c r="J46" s="81">
        <f>AV19</f>
        <v>0</v>
      </c>
      <c r="M46" s="364" t="s">
        <v>213</v>
      </c>
      <c r="N46" s="365"/>
      <c r="O46" s="502"/>
      <c r="P46" s="503"/>
      <c r="Q46" s="504"/>
      <c r="R46" s="53"/>
      <c r="U46" s="75" t="s">
        <v>109</v>
      </c>
      <c r="V46" s="89">
        <v>70</v>
      </c>
      <c r="X46" s="455" t="s">
        <v>268</v>
      </c>
      <c r="Y46" s="455"/>
      <c r="Z46" s="63">
        <f>IFERROR(VLOOKUP(O50,$V$87:$AE$95,10,0),0)</f>
        <v>22.778167994795901</v>
      </c>
      <c r="AE46" s="75">
        <v>120</v>
      </c>
      <c r="AF46" s="75" t="s">
        <v>331</v>
      </c>
      <c r="AG46" s="75" t="str">
        <f t="shared" si="4"/>
        <v>120 - alto</v>
      </c>
      <c r="AH46" s="75">
        <v>0</v>
      </c>
      <c r="AJ46" s="75">
        <v>120</v>
      </c>
      <c r="AK46" s="75" t="s">
        <v>331</v>
      </c>
      <c r="AL46" s="75" t="str">
        <f t="shared" si="5"/>
        <v>120 - alto</v>
      </c>
      <c r="AM46" s="75">
        <v>0</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1"/>
        <v>206.89655172413794</v>
      </c>
      <c r="E47" s="365" t="str">
        <f t="shared" si="12"/>
        <v>gramas por planta</v>
      </c>
      <c r="F47" s="365"/>
      <c r="G47" s="365"/>
      <c r="H47" s="365"/>
      <c r="I47" s="365"/>
      <c r="J47" s="81">
        <f>AV20</f>
        <v>0</v>
      </c>
      <c r="M47" s="364"/>
      <c r="N47" s="365"/>
      <c r="O47" s="481" t="s">
        <v>139</v>
      </c>
      <c r="P47" s="482"/>
      <c r="Q47" s="90">
        <v>0.5</v>
      </c>
      <c r="R47" s="53"/>
      <c r="U47" s="51" t="s">
        <v>111</v>
      </c>
      <c r="V47" s="63">
        <f>IFERROR((((V46-P24)*P25)/V49),0)</f>
        <v>1.0169491525423733</v>
      </c>
      <c r="X47" s="455" t="s">
        <v>203</v>
      </c>
      <c r="Y47" s="455"/>
      <c r="Z47" s="63">
        <f>IFERROR((($V$50/$Z$46)*$V$47),0)</f>
        <v>1.9644144657326013</v>
      </c>
      <c r="AE47" s="75" t="s">
        <v>520</v>
      </c>
      <c r="AF47" s="75" t="s">
        <v>504</v>
      </c>
      <c r="AG47" s="75" t="str">
        <f t="shared" si="4"/>
        <v>120-360 - muito baixo</v>
      </c>
      <c r="AH47" s="75">
        <v>0</v>
      </c>
      <c r="AJ47" s="75" t="s">
        <v>520</v>
      </c>
      <c r="AK47" s="75" t="s">
        <v>504</v>
      </c>
      <c r="AL47" s="75" t="str">
        <f t="shared" si="5"/>
        <v>120-360 - muito baixo</v>
      </c>
      <c r="AM47" s="75">
        <v>300000</v>
      </c>
      <c r="AO47" s="47"/>
      <c r="BA47" s="47"/>
      <c r="BB47" s="47"/>
    </row>
    <row r="48" spans="2:57" ht="20.25" customHeight="1" x14ac:dyDescent="0.25">
      <c r="B48" s="449" t="str">
        <f>IF(AQ19&gt;0,AQ19,"-")</f>
        <v>-</v>
      </c>
      <c r="C48" s="449"/>
      <c r="D48" s="87" t="str">
        <f t="shared" si="11"/>
        <v>-</v>
      </c>
      <c r="E48" s="365" t="str">
        <f t="shared" si="12"/>
        <v>-</v>
      </c>
      <c r="F48" s="365"/>
      <c r="G48" s="365"/>
      <c r="H48" s="365"/>
      <c r="I48" s="365"/>
      <c r="J48" s="91"/>
      <c r="M48" s="364"/>
      <c r="N48" s="365"/>
      <c r="O48" s="505" t="s">
        <v>306</v>
      </c>
      <c r="P48" s="506"/>
      <c r="Q48" s="507"/>
      <c r="R48" s="53"/>
      <c r="U48" s="51" t="s">
        <v>201</v>
      </c>
      <c r="V48" s="63">
        <f>IF(V47&lt;0,(0),IF(V47&gt;=0,(V47)))</f>
        <v>1.0169491525423733</v>
      </c>
      <c r="X48" s="455" t="s">
        <v>201</v>
      </c>
      <c r="Y48" s="455"/>
      <c r="Z48" s="63">
        <f>IFERROR(IF(Z47&lt;0,(0),IF(Z47&gt;=0,(Z47))),0)</f>
        <v>1.9644144657326013</v>
      </c>
      <c r="AE48" s="75" t="s">
        <v>520</v>
      </c>
      <c r="AF48" s="75" t="s">
        <v>68</v>
      </c>
      <c r="AG48" s="75" t="str">
        <f t="shared" si="4"/>
        <v>120-360 - baixo</v>
      </c>
      <c r="AH48" s="75">
        <v>0</v>
      </c>
      <c r="AJ48" s="75" t="s">
        <v>520</v>
      </c>
      <c r="AK48" s="75" t="s">
        <v>68</v>
      </c>
      <c r="AL48" s="75" t="str">
        <f t="shared" si="5"/>
        <v>120-360 - baixo</v>
      </c>
      <c r="AM48" s="75">
        <v>250000</v>
      </c>
    </row>
    <row r="49" spans="2:50" ht="20.25" customHeight="1" x14ac:dyDescent="0.25">
      <c r="B49" s="449" t="str">
        <f>IF(AQ20&gt;0,AQ20,"-")</f>
        <v>-</v>
      </c>
      <c r="C49" s="449"/>
      <c r="D49" s="87" t="str">
        <f t="shared" si="11"/>
        <v>-</v>
      </c>
      <c r="E49" s="365" t="str">
        <f t="shared" si="12"/>
        <v>-</v>
      </c>
      <c r="F49" s="365"/>
      <c r="G49" s="365"/>
      <c r="H49" s="365"/>
      <c r="I49" s="365"/>
      <c r="M49" s="364"/>
      <c r="N49" s="365"/>
      <c r="O49" s="502"/>
      <c r="P49" s="503"/>
      <c r="Q49" s="504"/>
      <c r="R49" s="53"/>
      <c r="U49" s="51" t="s">
        <v>110</v>
      </c>
      <c r="V49" s="63">
        <f>IFERROR(VLOOKUP($O$47,$V$56:$AA$68,5,0),0)</f>
        <v>80.239999999999995</v>
      </c>
      <c r="X49" s="455" t="s">
        <v>273</v>
      </c>
      <c r="Y49" s="455"/>
      <c r="Z49" s="63">
        <f>Z48*$Q$50</f>
        <v>0.98220723286630063</v>
      </c>
      <c r="AE49" s="75" t="s">
        <v>520</v>
      </c>
      <c r="AF49" s="75" t="s">
        <v>70</v>
      </c>
      <c r="AG49" s="75" t="str">
        <f t="shared" si="4"/>
        <v>120-360 - adequado</v>
      </c>
      <c r="AH49" s="75">
        <v>0</v>
      </c>
      <c r="AJ49" s="75" t="s">
        <v>520</v>
      </c>
      <c r="AK49" s="75" t="s">
        <v>70</v>
      </c>
      <c r="AL49" s="75" t="str">
        <f t="shared" si="5"/>
        <v>120-360 - adequado</v>
      </c>
      <c r="AM49" s="75">
        <v>150000</v>
      </c>
    </row>
    <row r="50" spans="2:50" ht="20.25" customHeight="1" x14ac:dyDescent="0.25">
      <c r="B50" s="476" t="s">
        <v>535</v>
      </c>
      <c r="C50" s="476"/>
      <c r="D50" s="476"/>
      <c r="E50" s="476"/>
      <c r="F50" s="476"/>
      <c r="G50" s="476"/>
      <c r="H50" s="476"/>
      <c r="I50" s="476"/>
      <c r="M50" s="364"/>
      <c r="N50" s="365"/>
      <c r="O50" s="483" t="s">
        <v>493</v>
      </c>
      <c r="P50" s="484"/>
      <c r="Q50" s="92">
        <v>0.5</v>
      </c>
      <c r="R50" s="53"/>
      <c r="U50" s="51" t="s">
        <v>193</v>
      </c>
      <c r="V50" s="63">
        <f>IFERROR(VLOOKUP($O$47,$V$56:$AA$68,6,0),0)</f>
        <v>44</v>
      </c>
      <c r="AE50" s="75" t="s">
        <v>520</v>
      </c>
      <c r="AF50" s="75" t="s">
        <v>331</v>
      </c>
      <c r="AG50" s="75" t="str">
        <f t="shared" si="4"/>
        <v>120-360 - alto</v>
      </c>
      <c r="AH50" s="75">
        <v>0</v>
      </c>
      <c r="AJ50" s="75" t="s">
        <v>520</v>
      </c>
      <c r="AK50" s="75" t="s">
        <v>331</v>
      </c>
      <c r="AL50" s="75" t="str">
        <f t="shared" si="5"/>
        <v>120-360 - alto</v>
      </c>
      <c r="AM50" s="75">
        <v>0</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0.50847457627118664</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4">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4"/>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4"/>
        <v>3 - Composto de lixo (COL)</v>
      </c>
      <c r="AW54" s="51">
        <v>15</v>
      </c>
    </row>
    <row r="55" spans="2:50" ht="20.25" customHeight="1" x14ac:dyDescent="0.25">
      <c r="B55" s="449" t="str">
        <f>IF(AP40&gt;0,AP40,"-")</f>
        <v>Ácido Bórico</v>
      </c>
      <c r="C55" s="449"/>
      <c r="D55" s="87">
        <f>IF(AV40&gt;0,AV40,"-")</f>
        <v>6.8563743842364522</v>
      </c>
      <c r="E55" s="365" t="str">
        <f>IF(AV40&gt;0,"gramas por planta","-")</f>
        <v>gramas por planta</v>
      </c>
      <c r="F55" s="365"/>
      <c r="G55" s="365"/>
      <c r="H55" s="365"/>
      <c r="I55" s="365"/>
      <c r="M55" s="364"/>
      <c r="N55" s="365"/>
      <c r="O55" s="448" t="s">
        <v>188</v>
      </c>
      <c r="P55" s="448"/>
      <c r="Q55" s="448"/>
      <c r="R55" s="53"/>
      <c r="U55" s="344"/>
      <c r="V55" s="344"/>
      <c r="W55" s="344"/>
      <c r="X55" s="95" t="s">
        <v>105</v>
      </c>
      <c r="Y55" s="95" t="s">
        <v>106</v>
      </c>
      <c r="Z55" s="95" t="s">
        <v>107</v>
      </c>
      <c r="AA55" s="95" t="s">
        <v>195</v>
      </c>
      <c r="AP55" s="465"/>
      <c r="AQ55" s="465"/>
      <c r="AS55" s="465"/>
      <c r="AT55" s="51">
        <v>4</v>
      </c>
      <c r="AU55" s="93" t="s">
        <v>286</v>
      </c>
      <c r="AV55" s="93" t="str">
        <f t="shared" si="14"/>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4"/>
        <v>0 - Cama de frango corte</v>
      </c>
      <c r="AW56" s="75">
        <v>4</v>
      </c>
      <c r="AX56" s="25"/>
    </row>
    <row r="57" spans="2:50" ht="20.25" customHeight="1" x14ac:dyDescent="0.25">
      <c r="B57" s="449" t="str">
        <f>IF(AP42&gt;0,AP42,"-")</f>
        <v>Sulfato de zinco</v>
      </c>
      <c r="C57" s="449"/>
      <c r="D57" s="87" t="str">
        <f>IF(AV42&gt;0,AV42,"-")</f>
        <v>-</v>
      </c>
      <c r="E57" s="365" t="str">
        <f t="shared" ref="E57:E59" si="15">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4"/>
        <v>1 - Cama de frango corte</v>
      </c>
      <c r="AW57" s="75">
        <v>1</v>
      </c>
    </row>
    <row r="58" spans="2:50" ht="20.25" customHeight="1" x14ac:dyDescent="0.25">
      <c r="B58" s="449" t="str">
        <f>IF(AP43&gt;0,AP43,"-")</f>
        <v>Sulfato de manganês</v>
      </c>
      <c r="C58" s="449"/>
      <c r="D58" s="87" t="str">
        <f>IF(AV43&gt;0,AV43,"-")</f>
        <v>-</v>
      </c>
      <c r="E58" s="365" t="str">
        <f t="shared" si="15"/>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120-360 - Esterco Bovino curtido</v>
      </c>
      <c r="AR58" s="463"/>
      <c r="AS58" s="25"/>
      <c r="AT58" s="75">
        <v>2</v>
      </c>
      <c r="AU58" s="97" t="s">
        <v>293</v>
      </c>
      <c r="AV58" s="97" t="str">
        <f t="shared" si="14"/>
        <v>2 - Cama de frango corte</v>
      </c>
      <c r="AW58" s="75">
        <v>3</v>
      </c>
    </row>
    <row r="59" spans="2:50" ht="20.25" customHeight="1" x14ac:dyDescent="0.25">
      <c r="B59" s="449" t="str">
        <f>IF(AP44&gt;0,AP44,"-")</f>
        <v>-</v>
      </c>
      <c r="C59" s="449"/>
      <c r="D59" s="87" t="str">
        <f>IF(AV44&gt;0,AV44,"-")</f>
        <v>-</v>
      </c>
      <c r="E59" s="365" t="str">
        <f t="shared" si="15"/>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0</v>
      </c>
      <c r="AR59" s="456"/>
      <c r="AS59" s="25"/>
      <c r="AT59" s="75">
        <v>3</v>
      </c>
      <c r="AU59" s="97" t="s">
        <v>293</v>
      </c>
      <c r="AV59" s="97" t="str">
        <f t="shared" si="14"/>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4"/>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4"/>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4"/>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4"/>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4"/>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4"/>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4"/>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4"/>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4"/>
        <v>2 - Esterco Bovino curtido</v>
      </c>
      <c r="AW68" s="75">
        <v>7</v>
      </c>
    </row>
    <row r="69" spans="2:49" ht="20.25" customHeight="1" thickBot="1" x14ac:dyDescent="0.3">
      <c r="M69" s="69"/>
      <c r="N69" s="70"/>
      <c r="O69" s="70"/>
      <c r="P69" s="70"/>
      <c r="Q69" s="70"/>
      <c r="R69" s="71"/>
      <c r="AT69" s="75">
        <v>3</v>
      </c>
      <c r="AU69" s="97" t="s">
        <v>292</v>
      </c>
      <c r="AV69" s="97" t="str">
        <f t="shared" si="14"/>
        <v>3 - Esterco Bovino curtido</v>
      </c>
      <c r="AW69" s="75">
        <v>12</v>
      </c>
    </row>
    <row r="70" spans="2:49" ht="20.25" customHeight="1" thickBot="1" x14ac:dyDescent="0.3">
      <c r="AT70" s="75">
        <v>4</v>
      </c>
      <c r="AU70" s="97" t="s">
        <v>292</v>
      </c>
      <c r="AV70" s="97" t="str">
        <f t="shared" si="14"/>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4"/>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4"/>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4"/>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4"/>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4"/>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4"/>
        <v>0 - Esterco de suínos</v>
      </c>
      <c r="AW76" s="75">
        <v>10</v>
      </c>
    </row>
    <row r="77" spans="2:49" ht="20.2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4"/>
        <v>1 - Esterco de suínos</v>
      </c>
      <c r="AW77" s="75">
        <v>4</v>
      </c>
    </row>
    <row r="78" spans="2:49" ht="20.2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4"/>
        <v>2 - Esterco de suínos</v>
      </c>
      <c r="AW78" s="75">
        <v>6</v>
      </c>
    </row>
    <row r="79" spans="2:49" ht="20.2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4"/>
        <v>3 - Esterco de suínos</v>
      </c>
      <c r="AW79" s="75">
        <v>10</v>
      </c>
    </row>
    <row r="80" spans="2:49" ht="20.2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4"/>
        <v>4 - Esterco de suínos</v>
      </c>
      <c r="AW80" s="75">
        <v>4</v>
      </c>
    </row>
    <row r="81" spans="13:49" ht="20.2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4"/>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4"/>
        <v>1 - Esterco de ovinos</v>
      </c>
      <c r="AW82" s="51">
        <v>4</v>
      </c>
    </row>
    <row r="83" spans="13:49" ht="20.25" customHeight="1" x14ac:dyDescent="0.25">
      <c r="M83" s="364"/>
      <c r="N83" s="365"/>
      <c r="O83" s="448" t="s">
        <v>116</v>
      </c>
      <c r="P83" s="448"/>
      <c r="Q83" s="92">
        <v>0.5</v>
      </c>
      <c r="R83" s="53"/>
      <c r="AT83" s="51">
        <v>2</v>
      </c>
      <c r="AU83" s="93" t="s">
        <v>288</v>
      </c>
      <c r="AV83" s="93" t="str">
        <f t="shared" si="14"/>
        <v>2 - Esterco de ovinos</v>
      </c>
      <c r="AW83" s="51">
        <v>6</v>
      </c>
    </row>
    <row r="84" spans="13:49" ht="20.25" customHeight="1" x14ac:dyDescent="0.25">
      <c r="M84" s="364"/>
      <c r="N84" s="365"/>
      <c r="O84" s="448"/>
      <c r="P84" s="448"/>
      <c r="Q84" s="92"/>
      <c r="R84" s="53"/>
      <c r="AT84" s="51">
        <v>3</v>
      </c>
      <c r="AU84" s="93" t="s">
        <v>288</v>
      </c>
      <c r="AV84" s="93" t="str">
        <f t="shared" si="14"/>
        <v>3 - Esterco de ovinos</v>
      </c>
      <c r="AW84" s="51">
        <v>10</v>
      </c>
    </row>
    <row r="85" spans="13:49" ht="20.2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T85" s="51">
        <v>4</v>
      </c>
      <c r="AU85" s="93" t="s">
        <v>288</v>
      </c>
      <c r="AV85" s="93" t="str">
        <f t="shared" si="14"/>
        <v>4 - Esterco de ovinos</v>
      </c>
      <c r="AW85" s="51">
        <v>4</v>
      </c>
    </row>
    <row r="86" spans="13:49" ht="20.2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4"/>
        <v>0 - Lodo de esgosto</v>
      </c>
      <c r="AW86" s="75">
        <v>15</v>
      </c>
    </row>
    <row r="87" spans="13:49" ht="20.2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6">Y160</f>
        <v>8.7999999999999995E-2</v>
      </c>
      <c r="Z87" s="99">
        <f t="shared" si="16"/>
        <v>0.2</v>
      </c>
      <c r="AA87" s="99">
        <f t="shared" si="16"/>
        <v>2.83</v>
      </c>
      <c r="AB87" s="99">
        <f t="shared" si="16"/>
        <v>3.4</v>
      </c>
      <c r="AC87" s="100">
        <f>AC160*0.602</f>
        <v>1.5155244755244754</v>
      </c>
      <c r="AD87" s="100">
        <f>AD160*0.715</f>
        <v>5.4634551495016606</v>
      </c>
      <c r="AE87" s="100">
        <f t="shared" ref="AE87:AE95" si="17">AB87+AC87+AD87</f>
        <v>10.378979625026137</v>
      </c>
      <c r="AT87" s="75">
        <v>1</v>
      </c>
      <c r="AU87" s="97" t="s">
        <v>289</v>
      </c>
      <c r="AV87" s="97" t="str">
        <f t="shared" si="14"/>
        <v>1 - Lodo de esgosto</v>
      </c>
      <c r="AW87" s="75">
        <v>10</v>
      </c>
    </row>
    <row r="88" spans="13:49" ht="20.25" customHeight="1" x14ac:dyDescent="0.25">
      <c r="M88" s="364"/>
      <c r="N88" s="365"/>
      <c r="O88" s="450" t="s">
        <v>254</v>
      </c>
      <c r="P88" s="451"/>
      <c r="Q88" s="452"/>
      <c r="R88" s="53"/>
      <c r="U88" s="466"/>
      <c r="V88" s="99" t="str">
        <f t="shared" ref="V88:W95" si="18">V161</f>
        <v>Kamafugito</v>
      </c>
      <c r="W88" s="99">
        <f t="shared" si="18"/>
        <v>0</v>
      </c>
      <c r="X88" s="99">
        <f t="shared" ref="X88:X95" si="19">AL161</f>
        <v>0</v>
      </c>
      <c r="Y88" s="99">
        <f t="shared" si="16"/>
        <v>1.5069999999999999</v>
      </c>
      <c r="Z88" s="99">
        <f t="shared" si="16"/>
        <v>3.5</v>
      </c>
      <c r="AA88" s="99">
        <f t="shared" si="16"/>
        <v>3.3250000000000002</v>
      </c>
      <c r="AB88" s="99">
        <f t="shared" si="16"/>
        <v>4</v>
      </c>
      <c r="AC88" s="100">
        <f t="shared" ref="AC88:AC95" si="20">AC161*0.602</f>
        <v>1.7217199999999999</v>
      </c>
      <c r="AD88" s="100">
        <f t="shared" ref="AD88:AD95" si="21">AD161*0.715</f>
        <v>0</v>
      </c>
      <c r="AE88" s="100">
        <f t="shared" si="17"/>
        <v>5.7217199999999995</v>
      </c>
      <c r="AT88" s="75">
        <v>2</v>
      </c>
      <c r="AU88" s="97" t="s">
        <v>289</v>
      </c>
      <c r="AV88" s="97" t="str">
        <f t="shared" si="14"/>
        <v>2 - Lodo de esgosto</v>
      </c>
      <c r="AW88" s="75">
        <v>5</v>
      </c>
    </row>
    <row r="89" spans="13:49" ht="20.25" customHeight="1" x14ac:dyDescent="0.25">
      <c r="M89" s="364"/>
      <c r="N89" s="365"/>
      <c r="O89" s="450" t="s">
        <v>251</v>
      </c>
      <c r="P89" s="451"/>
      <c r="Q89" s="452"/>
      <c r="R89" s="53"/>
      <c r="U89" s="466"/>
      <c r="V89" s="99" t="str">
        <f t="shared" si="18"/>
        <v>Micaxisto (61) 3233-9368</v>
      </c>
      <c r="W89" s="99">
        <f t="shared" si="18"/>
        <v>0</v>
      </c>
      <c r="X89" s="99">
        <f t="shared" si="19"/>
        <v>0</v>
      </c>
      <c r="Y89" s="99">
        <f t="shared" si="16"/>
        <v>4.4999999999999998E-2</v>
      </c>
      <c r="Z89" s="99">
        <f t="shared" si="16"/>
        <v>0.1</v>
      </c>
      <c r="AA89" s="99">
        <f t="shared" si="16"/>
        <v>4.32</v>
      </c>
      <c r="AB89" s="99">
        <f t="shared" si="16"/>
        <v>5.2</v>
      </c>
      <c r="AC89" s="100">
        <f t="shared" si="20"/>
        <v>0.75776223776223772</v>
      </c>
      <c r="AD89" s="100">
        <f t="shared" si="21"/>
        <v>0.83139534883720934</v>
      </c>
      <c r="AE89" s="100">
        <f t="shared" si="17"/>
        <v>6.7891575865994476</v>
      </c>
      <c r="AT89" s="75">
        <v>3</v>
      </c>
      <c r="AU89" s="97" t="s">
        <v>289</v>
      </c>
      <c r="AV89" s="97" t="str">
        <f t="shared" si="14"/>
        <v>3 - Lodo de esgosto</v>
      </c>
      <c r="AW89" s="75">
        <v>15</v>
      </c>
    </row>
    <row r="90" spans="13:49" ht="20.25" customHeight="1" x14ac:dyDescent="0.25">
      <c r="M90" s="364"/>
      <c r="N90" s="365"/>
      <c r="O90" s="448" t="s">
        <v>93</v>
      </c>
      <c r="P90" s="448"/>
      <c r="Q90" s="92">
        <v>1</v>
      </c>
      <c r="R90" s="53"/>
      <c r="U90" s="466"/>
      <c r="V90" s="99" t="str">
        <f t="shared" si="18"/>
        <v xml:space="preserve">Pó de brita Fmx (62) 3924 8565 </v>
      </c>
      <c r="W90" s="99">
        <f t="shared" si="18"/>
        <v>0</v>
      </c>
      <c r="X90" s="99">
        <f t="shared" si="19"/>
        <v>0</v>
      </c>
      <c r="Y90" s="99">
        <f t="shared" si="16"/>
        <v>0</v>
      </c>
      <c r="Z90" s="99">
        <f t="shared" si="16"/>
        <v>0</v>
      </c>
      <c r="AA90" s="99">
        <f t="shared" si="16"/>
        <v>4.99</v>
      </c>
      <c r="AB90" s="99">
        <f t="shared" si="16"/>
        <v>6</v>
      </c>
      <c r="AC90" s="100">
        <f t="shared" si="20"/>
        <v>2.5258741258741257</v>
      </c>
      <c r="AD90" s="100">
        <f t="shared" si="21"/>
        <v>0.59385382059800662</v>
      </c>
      <c r="AE90" s="100">
        <f t="shared" si="17"/>
        <v>9.1197279464721319</v>
      </c>
      <c r="AT90" s="75">
        <v>4</v>
      </c>
      <c r="AU90" s="97" t="s">
        <v>289</v>
      </c>
      <c r="AV90" s="97" t="str">
        <f t="shared" si="14"/>
        <v>4 - Lodo de esgosto</v>
      </c>
      <c r="AW90" s="75">
        <v>10</v>
      </c>
    </row>
    <row r="91" spans="13:49" ht="20.25" customHeight="1" x14ac:dyDescent="0.25">
      <c r="M91" s="364"/>
      <c r="N91" s="365"/>
      <c r="O91" s="448"/>
      <c r="P91" s="448"/>
      <c r="Q91" s="92"/>
      <c r="R91" s="53"/>
      <c r="U91" s="466"/>
      <c r="V91" s="99" t="str">
        <f t="shared" si="18"/>
        <v>Remax Mistel (61) 99414-1975</v>
      </c>
      <c r="W91" s="99">
        <f t="shared" si="18"/>
        <v>0</v>
      </c>
      <c r="X91" s="99">
        <f t="shared" si="19"/>
        <v>43.8</v>
      </c>
      <c r="Y91" s="99">
        <f t="shared" si="16"/>
        <v>4.4999999999999998E-2</v>
      </c>
      <c r="Z91" s="99">
        <f t="shared" si="16"/>
        <v>0.1</v>
      </c>
      <c r="AA91" s="99">
        <f t="shared" si="16"/>
        <v>2.1949999999999998</v>
      </c>
      <c r="AB91" s="99">
        <f t="shared" si="16"/>
        <v>2.6</v>
      </c>
      <c r="AC91" s="100">
        <f t="shared" si="20"/>
        <v>11.282237762237763</v>
      </c>
      <c r="AD91" s="100">
        <f t="shared" si="21"/>
        <v>8.8959302325581397</v>
      </c>
      <c r="AE91" s="100">
        <f t="shared" si="17"/>
        <v>22.778167994795901</v>
      </c>
      <c r="AT91" s="51">
        <v>0</v>
      </c>
      <c r="AU91" s="93" t="s">
        <v>290</v>
      </c>
      <c r="AV91" s="93" t="str">
        <f t="shared" si="14"/>
        <v>0 - Compostos orgânicos</v>
      </c>
      <c r="AW91" s="51">
        <v>6</v>
      </c>
    </row>
    <row r="92" spans="13:49" ht="20.25" customHeight="1" x14ac:dyDescent="0.25">
      <c r="M92" s="364"/>
      <c r="N92" s="365"/>
      <c r="O92" s="448"/>
      <c r="P92" s="448"/>
      <c r="Q92" s="92"/>
      <c r="R92" s="53"/>
      <c r="U92" s="466"/>
      <c r="V92" s="99">
        <f t="shared" si="18"/>
        <v>0</v>
      </c>
      <c r="W92" s="99">
        <f t="shared" si="18"/>
        <v>0</v>
      </c>
      <c r="X92" s="99">
        <f t="shared" si="19"/>
        <v>0</v>
      </c>
      <c r="Y92" s="99">
        <f t="shared" si="16"/>
        <v>0</v>
      </c>
      <c r="Z92" s="99">
        <f t="shared" si="16"/>
        <v>0</v>
      </c>
      <c r="AA92" s="99">
        <f t="shared" si="16"/>
        <v>0</v>
      </c>
      <c r="AB92" s="99">
        <f t="shared" si="16"/>
        <v>0</v>
      </c>
      <c r="AC92" s="100">
        <f t="shared" si="20"/>
        <v>0</v>
      </c>
      <c r="AD92" s="100">
        <f t="shared" si="21"/>
        <v>0</v>
      </c>
      <c r="AE92" s="100">
        <f t="shared" si="17"/>
        <v>0</v>
      </c>
      <c r="AT92" s="51">
        <v>1</v>
      </c>
      <c r="AU92" s="93" t="s">
        <v>290</v>
      </c>
      <c r="AV92" s="93" t="str">
        <f t="shared" si="14"/>
        <v>1 - Compostos orgânicos</v>
      </c>
      <c r="AW92" s="51">
        <v>2</v>
      </c>
    </row>
    <row r="93" spans="13:49" ht="20.25" customHeight="1" x14ac:dyDescent="0.25">
      <c r="M93" s="101"/>
      <c r="N93" s="25"/>
      <c r="O93" s="25"/>
      <c r="P93" s="25"/>
      <c r="Q93" s="25"/>
      <c r="R93" s="53"/>
      <c r="U93" s="466"/>
      <c r="V93" s="99">
        <f t="shared" si="18"/>
        <v>0</v>
      </c>
      <c r="W93" s="99">
        <f t="shared" si="18"/>
        <v>0</v>
      </c>
      <c r="X93" s="99">
        <f t="shared" si="19"/>
        <v>0</v>
      </c>
      <c r="Y93" s="99">
        <f t="shared" si="16"/>
        <v>0</v>
      </c>
      <c r="Z93" s="99">
        <f t="shared" si="16"/>
        <v>0</v>
      </c>
      <c r="AA93" s="99">
        <f t="shared" si="16"/>
        <v>0</v>
      </c>
      <c r="AB93" s="99">
        <f t="shared" si="16"/>
        <v>0</v>
      </c>
      <c r="AC93" s="100">
        <f t="shared" si="20"/>
        <v>0</v>
      </c>
      <c r="AD93" s="100">
        <f t="shared" si="21"/>
        <v>0</v>
      </c>
      <c r="AE93" s="100">
        <f t="shared" si="17"/>
        <v>0</v>
      </c>
      <c r="AT93" s="51">
        <v>2</v>
      </c>
      <c r="AU93" s="93" t="s">
        <v>290</v>
      </c>
      <c r="AV93" s="93" t="str">
        <f t="shared" si="14"/>
        <v>2 - Compostos orgânicos</v>
      </c>
      <c r="AW93" s="51">
        <v>4</v>
      </c>
    </row>
    <row r="94" spans="13:49" ht="20.25" customHeight="1" x14ac:dyDescent="0.25">
      <c r="M94" s="101"/>
      <c r="N94" s="25"/>
      <c r="O94" s="365" t="s">
        <v>264</v>
      </c>
      <c r="P94" s="365"/>
      <c r="Q94" s="365"/>
      <c r="R94" s="53"/>
      <c r="U94" s="466"/>
      <c r="V94" s="99">
        <f t="shared" si="18"/>
        <v>0</v>
      </c>
      <c r="W94" s="99">
        <f t="shared" si="18"/>
        <v>0</v>
      </c>
      <c r="X94" s="99">
        <f t="shared" si="19"/>
        <v>0</v>
      </c>
      <c r="Y94" s="99">
        <f t="shared" si="16"/>
        <v>0</v>
      </c>
      <c r="Z94" s="99">
        <f t="shared" si="16"/>
        <v>0</v>
      </c>
      <c r="AA94" s="99">
        <f t="shared" si="16"/>
        <v>0</v>
      </c>
      <c r="AB94" s="99">
        <f t="shared" si="16"/>
        <v>0</v>
      </c>
      <c r="AC94" s="100">
        <f t="shared" si="20"/>
        <v>0</v>
      </c>
      <c r="AD94" s="100">
        <f t="shared" si="21"/>
        <v>0</v>
      </c>
      <c r="AE94" s="100">
        <f t="shared" si="17"/>
        <v>0</v>
      </c>
      <c r="AT94" s="51">
        <v>3</v>
      </c>
      <c r="AU94" s="93" t="s">
        <v>290</v>
      </c>
      <c r="AV94" s="93" t="str">
        <f t="shared" si="14"/>
        <v>3 - Compostos orgânicos</v>
      </c>
      <c r="AW94" s="51">
        <v>6</v>
      </c>
    </row>
    <row r="95" spans="13:49" ht="20.25" customHeight="1" thickBot="1" x14ac:dyDescent="0.3">
      <c r="M95" s="69"/>
      <c r="N95" s="70"/>
      <c r="O95" s="70"/>
      <c r="P95" s="70"/>
      <c r="Q95" s="70"/>
      <c r="R95" s="71"/>
      <c r="U95" s="466"/>
      <c r="V95" s="99">
        <f t="shared" si="18"/>
        <v>0</v>
      </c>
      <c r="W95" s="99">
        <f t="shared" si="18"/>
        <v>0</v>
      </c>
      <c r="X95" s="99">
        <f t="shared" si="19"/>
        <v>0</v>
      </c>
      <c r="Y95" s="99">
        <f t="shared" si="16"/>
        <v>0</v>
      </c>
      <c r="Z95" s="99">
        <f t="shared" si="16"/>
        <v>0</v>
      </c>
      <c r="AA95" s="99">
        <f t="shared" si="16"/>
        <v>0</v>
      </c>
      <c r="AB95" s="99">
        <f t="shared" si="16"/>
        <v>0</v>
      </c>
      <c r="AC95" s="100">
        <f t="shared" si="20"/>
        <v>0</v>
      </c>
      <c r="AD95" s="100">
        <f t="shared" si="21"/>
        <v>0</v>
      </c>
      <c r="AE95" s="100">
        <f t="shared" si="17"/>
        <v>0</v>
      </c>
      <c r="AT95" s="51">
        <v>4</v>
      </c>
      <c r="AU95" s="93" t="s">
        <v>290</v>
      </c>
      <c r="AV95" s="93" t="str">
        <f t="shared" si="14"/>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$V$26</f>
        <v>60</v>
      </c>
      <c r="P99" s="103">
        <f>$V$27</f>
        <v>0</v>
      </c>
      <c r="Q99" s="103">
        <f>$V$28</f>
        <v>180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1.2</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0">
    <mergeCell ref="U170:U179"/>
    <mergeCell ref="O31:Q31"/>
    <mergeCell ref="W15:W16"/>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O81:Q81"/>
    <mergeCell ref="O82:P82"/>
    <mergeCell ref="X98:AO98"/>
    <mergeCell ref="M99:N99"/>
    <mergeCell ref="W85:W86"/>
    <mergeCell ref="X85:AE85"/>
    <mergeCell ref="O86:Q86"/>
    <mergeCell ref="U87:U95"/>
    <mergeCell ref="O88:Q88"/>
    <mergeCell ref="O89:Q89"/>
    <mergeCell ref="O90:P90"/>
    <mergeCell ref="O91:P91"/>
    <mergeCell ref="O92:P92"/>
    <mergeCell ref="O94:Q94"/>
    <mergeCell ref="O83:P83"/>
    <mergeCell ref="O84:P84"/>
    <mergeCell ref="U85:U86"/>
    <mergeCell ref="V85:V86"/>
    <mergeCell ref="X71:Z71"/>
    <mergeCell ref="M72:N92"/>
    <mergeCell ref="O72:Q72"/>
    <mergeCell ref="O73:Q73"/>
    <mergeCell ref="U73:U82"/>
    <mergeCell ref="O74:P74"/>
    <mergeCell ref="O75:P75"/>
    <mergeCell ref="O76:P76"/>
    <mergeCell ref="O78:Q78"/>
    <mergeCell ref="O80:Q80"/>
    <mergeCell ref="F64:I66"/>
    <mergeCell ref="O66:Q67"/>
    <mergeCell ref="B67:E67"/>
    <mergeCell ref="F67:I67"/>
    <mergeCell ref="O68:Q68"/>
    <mergeCell ref="U71:U72"/>
    <mergeCell ref="V71:V72"/>
    <mergeCell ref="W71:W72"/>
    <mergeCell ref="AQ57:AR57"/>
    <mergeCell ref="B58:C58"/>
    <mergeCell ref="E58:I58"/>
    <mergeCell ref="AQ58:AR58"/>
    <mergeCell ref="B59:C59"/>
    <mergeCell ref="E59:I59"/>
    <mergeCell ref="AQ59:AR59"/>
    <mergeCell ref="AP54:AP55"/>
    <mergeCell ref="AQ54:AQ55"/>
    <mergeCell ref="AS54:AS55"/>
    <mergeCell ref="B55:C55"/>
    <mergeCell ref="E55:I55"/>
    <mergeCell ref="O55:Q55"/>
    <mergeCell ref="B50:I53"/>
    <mergeCell ref="O50:P50"/>
    <mergeCell ref="AT50:AW50"/>
    <mergeCell ref="B54:I54"/>
    <mergeCell ref="M54:N68"/>
    <mergeCell ref="O54:Q54"/>
    <mergeCell ref="U54:U55"/>
    <mergeCell ref="V54:V55"/>
    <mergeCell ref="W54:W55"/>
    <mergeCell ref="X54:AA54"/>
    <mergeCell ref="B56:C56"/>
    <mergeCell ref="E56:I56"/>
    <mergeCell ref="O56:Q64"/>
    <mergeCell ref="U56:U68"/>
    <mergeCell ref="B57:C57"/>
    <mergeCell ref="E57:I57"/>
    <mergeCell ref="B60:I63"/>
    <mergeCell ref="B64:E66"/>
    <mergeCell ref="B45:C45"/>
    <mergeCell ref="E45:I45"/>
    <mergeCell ref="O45:Q46"/>
    <mergeCell ref="U45:V45"/>
    <mergeCell ref="X45:Z45"/>
    <mergeCell ref="B46:C46"/>
    <mergeCell ref="E46:I46"/>
    <mergeCell ref="M46:N50"/>
    <mergeCell ref="X46:Y46"/>
    <mergeCell ref="B47:C47"/>
    <mergeCell ref="E47:I47"/>
    <mergeCell ref="O47:P47"/>
    <mergeCell ref="X47:Y47"/>
    <mergeCell ref="B48:C48"/>
    <mergeCell ref="E48:I48"/>
    <mergeCell ref="O48:Q49"/>
    <mergeCell ref="X48:Y48"/>
    <mergeCell ref="B49:C49"/>
    <mergeCell ref="E49:I49"/>
    <mergeCell ref="X49:Y49"/>
    <mergeCell ref="B43:C43"/>
    <mergeCell ref="E43:I43"/>
    <mergeCell ref="AP43:AQ43"/>
    <mergeCell ref="B44:C44"/>
    <mergeCell ref="E44:I44"/>
    <mergeCell ref="M44:R44"/>
    <mergeCell ref="AP44:AQ44"/>
    <mergeCell ref="AP40:AQ40"/>
    <mergeCell ref="B41:C41"/>
    <mergeCell ref="E41:I41"/>
    <mergeCell ref="O41:Q41"/>
    <mergeCell ref="AP41:AQ41"/>
    <mergeCell ref="B42:C42"/>
    <mergeCell ref="E42:I42"/>
    <mergeCell ref="O42:Q42"/>
    <mergeCell ref="AP42:AQ42"/>
    <mergeCell ref="AQ34:AR34"/>
    <mergeCell ref="B35:C36"/>
    <mergeCell ref="E35:I35"/>
    <mergeCell ref="U35:V35"/>
    <mergeCell ref="AQ35:AR35"/>
    <mergeCell ref="E36:I36"/>
    <mergeCell ref="M36:R36"/>
    <mergeCell ref="AQ36:AR36"/>
    <mergeCell ref="B37:I38"/>
    <mergeCell ref="M38:N42"/>
    <mergeCell ref="O38:Q38"/>
    <mergeCell ref="B39:I39"/>
    <mergeCell ref="P39:Q39"/>
    <mergeCell ref="AP39:AQ39"/>
    <mergeCell ref="B40:C40"/>
    <mergeCell ref="E40:I40"/>
    <mergeCell ref="B26:I26"/>
    <mergeCell ref="B27:C28"/>
    <mergeCell ref="E27:I27"/>
    <mergeCell ref="AP27:AP36"/>
    <mergeCell ref="AQ27:AR27"/>
    <mergeCell ref="E28:I28"/>
    <mergeCell ref="AQ28:AR28"/>
    <mergeCell ref="B29:C30"/>
    <mergeCell ref="E29:I29"/>
    <mergeCell ref="M29:N34"/>
    <mergeCell ref="O29:Q29"/>
    <mergeCell ref="AQ29:AR29"/>
    <mergeCell ref="E30:I30"/>
    <mergeCell ref="AQ30:AR30"/>
    <mergeCell ref="B31:I33"/>
    <mergeCell ref="U31:V31"/>
    <mergeCell ref="AQ31:AR31"/>
    <mergeCell ref="U32:V32"/>
    <mergeCell ref="AQ32:AR32"/>
    <mergeCell ref="O33:Q33"/>
    <mergeCell ref="AQ33:AR33"/>
    <mergeCell ref="B34:I34"/>
    <mergeCell ref="O34:Q34"/>
    <mergeCell ref="U34:V34"/>
    <mergeCell ref="B20:E20"/>
    <mergeCell ref="AQ20:AR20"/>
    <mergeCell ref="B16:I16"/>
    <mergeCell ref="AP16:AP17"/>
    <mergeCell ref="AQ16:AR17"/>
    <mergeCell ref="AV16:AV17"/>
    <mergeCell ref="B18:D18"/>
    <mergeCell ref="F18:H18"/>
    <mergeCell ref="W17:W18"/>
    <mergeCell ref="AF18:AF20"/>
    <mergeCell ref="AJ18:AJ20"/>
    <mergeCell ref="AK18:AK20"/>
    <mergeCell ref="AL18:AL20"/>
    <mergeCell ref="AM18:AM20"/>
    <mergeCell ref="AQ18:AR18"/>
    <mergeCell ref="AQ19:AR19"/>
    <mergeCell ref="C12:I12"/>
    <mergeCell ref="AF12:AF14"/>
    <mergeCell ref="AJ12:AJ14"/>
    <mergeCell ref="AK12:AK14"/>
    <mergeCell ref="AL12:AL14"/>
    <mergeCell ref="AM12:AM14"/>
    <mergeCell ref="AQ12:AR12"/>
    <mergeCell ref="C13:I13"/>
    <mergeCell ref="U13:W14"/>
    <mergeCell ref="AQ13:AR13"/>
    <mergeCell ref="C14:G14"/>
    <mergeCell ref="AQ14:AR14"/>
    <mergeCell ref="B9:I9"/>
    <mergeCell ref="AF9:AF11"/>
    <mergeCell ref="AJ9:AJ11"/>
    <mergeCell ref="AK9:AK11"/>
    <mergeCell ref="AL9:AL11"/>
    <mergeCell ref="AM9:AM11"/>
    <mergeCell ref="AF7:AM7"/>
    <mergeCell ref="AQ7:AR7"/>
    <mergeCell ref="AC8:AC11"/>
    <mergeCell ref="AG8:AH8"/>
    <mergeCell ref="AI8:AJ8"/>
    <mergeCell ref="AQ8:AR8"/>
    <mergeCell ref="AP10:AP11"/>
    <mergeCell ref="AQ10:AR11"/>
    <mergeCell ref="C11:I11"/>
    <mergeCell ref="M2:R2"/>
    <mergeCell ref="M4:N4"/>
    <mergeCell ref="O4:P4"/>
    <mergeCell ref="AP4:AP5"/>
    <mergeCell ref="AQ4:AR5"/>
    <mergeCell ref="AV4:AV5"/>
    <mergeCell ref="M5:N25"/>
    <mergeCell ref="U6:V7"/>
    <mergeCell ref="W6:W7"/>
    <mergeCell ref="AQ6:AR6"/>
    <mergeCell ref="AV10:AV11"/>
    <mergeCell ref="AF15:AF17"/>
    <mergeCell ref="AJ15:AJ17"/>
    <mergeCell ref="AK15:AK17"/>
    <mergeCell ref="AL15:AL17"/>
    <mergeCell ref="AM15:AM17"/>
    <mergeCell ref="U25:V25"/>
    <mergeCell ref="X25:Y25"/>
    <mergeCell ref="AE25:AH25"/>
    <mergeCell ref="AJ25:AM25"/>
    <mergeCell ref="AP25:AP26"/>
    <mergeCell ref="AQ25:AR26"/>
  </mergeCells>
  <dataValidations count="5">
    <dataValidation type="list" allowBlank="1" showInputMessage="1" showErrorMessage="1" sqref="P39:Q39">
      <formula1>$X$27:$X$32</formula1>
    </dataValidation>
    <dataValidation type="list" allowBlank="1" showInputMessage="1" showErrorMessage="1" sqref="O42:Q42">
      <formula1>$AA$8:$AA$17</formula1>
    </dataValidation>
    <dataValidation type="list" allowBlank="1" showInputMessage="1" showErrorMessage="1" sqref="Q82:Q84 Q90:Q92 Q74:Q76 Q47 Q50">
      <formula1>$Y$10:$Y$21</formula1>
    </dataValidation>
    <dataValidation type="list" allowBlank="1" showInputMessage="1" showErrorMessage="1" sqref="O68 O174 N159 O176">
      <formula1>$Y$5:$Y$6</formula1>
    </dataValidation>
    <dataValidation type="list" allowBlank="1" showInputMessage="1" showErrorMessage="1" sqref="O105:Q109">
      <formula1>$V$170:$V$179</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corretivos'!$C$3:$C$62</xm:f>
          </x14:formula1>
          <xm:sqref>O74:P76 O82:P84 O90:P92</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corretivos'!$C$87:$C$99</xm:f>
          </x14:formula1>
          <xm:sqref>O47:P47</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E44" sqref="E44:I44"/>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22" style="11" customWidth="1"/>
    <col min="17" max="17" width="52.85546875" style="11" customWidth="1"/>
    <col min="18" max="18" width="8.7109375" style="11" customWidth="1"/>
    <col min="19" max="19" width="11.42578125" style="11" bestFit="1" customWidth="1"/>
    <col min="20" max="20" width="30.140625" style="11" hidden="1" customWidth="1" outlineLevel="1"/>
    <col min="21" max="21" width="43.5703125" style="11" hidden="1" customWidth="1" outlineLevel="1"/>
    <col min="22" max="22" width="65.42578125" style="11" hidden="1" customWidth="1" outlineLevel="1"/>
    <col min="23" max="23" width="19.85546875" style="11" hidden="1" customWidth="1" outlineLevel="1"/>
    <col min="24" max="24" width="12" style="11" hidden="1" customWidth="1" outlineLevel="1"/>
    <col min="25" max="25" width="21.85546875" style="11" hidden="1" customWidth="1" outlineLevel="1"/>
    <col min="26" max="26" width="14.140625" style="11" hidden="1" customWidth="1" outlineLevel="1"/>
    <col min="27" max="27" width="31.5703125" style="11" hidden="1" customWidth="1" outlineLevel="1"/>
    <col min="28" max="28" width="21.42578125" style="11" hidden="1" customWidth="1" outlineLevel="1"/>
    <col min="29" max="29" width="27" style="11" hidden="1" customWidth="1" outlineLevel="1"/>
    <col min="30" max="30" width="24.85546875" style="11" hidden="1" customWidth="1" outlineLevel="1"/>
    <col min="31" max="31" width="26.28515625" style="11" hidden="1" customWidth="1" outlineLevel="1"/>
    <col min="32" max="32" width="15.5703125" style="11" hidden="1" customWidth="1" outlineLevel="1"/>
    <col min="33" max="33" width="28.42578125" style="11" hidden="1" customWidth="1" outlineLevel="1"/>
    <col min="34" max="34" width="28.5703125" style="11" hidden="1" customWidth="1" outlineLevel="1"/>
    <col min="35" max="35" width="23" style="11" hidden="1" customWidth="1" outlineLevel="1"/>
    <col min="36" max="36" width="14" style="11" hidden="1" customWidth="1" outlineLevel="1"/>
    <col min="37" max="37" width="19.85546875" style="11" hidden="1" customWidth="1" outlineLevel="1"/>
    <col min="38" max="38" width="25.5703125" style="11" hidden="1" customWidth="1" outlineLevel="1"/>
    <col min="39" max="39" width="34.85546875" style="11" hidden="1" customWidth="1" outlineLevel="1"/>
    <col min="40" max="40" width="23.7109375" style="11" hidden="1" customWidth="1" outlineLevel="1"/>
    <col min="41" max="41" width="23.42578125" style="11" hidden="1" customWidth="1" outlineLevel="1"/>
    <col min="42" max="42" width="9.42578125" style="11" hidden="1" customWidth="1" outlineLevel="1"/>
    <col min="43" max="43" width="16.7109375" style="11" hidden="1" customWidth="1" outlineLevel="1"/>
    <col min="44" max="44" width="6.7109375" style="11" hidden="1" customWidth="1" outlineLevel="1"/>
    <col min="45" max="45" width="8.28515625" style="11" hidden="1" customWidth="1" outlineLevel="1"/>
    <col min="46" max="46" width="8.42578125" style="11" hidden="1" customWidth="1" outlineLevel="1"/>
    <col min="47" max="47" width="31.5703125" style="11" hidden="1" customWidth="1" outlineLevel="1"/>
    <col min="48" max="48" width="35.5703125" style="11" hidden="1" customWidth="1" outlineLevel="1"/>
    <col min="49" max="52" width="6.7109375"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94"/>
      <c r="V3" s="94"/>
      <c r="W3" s="94"/>
      <c r="X3" s="94"/>
      <c r="Y3" s="25"/>
      <c r="Z3" s="25"/>
      <c r="AA3" s="25"/>
      <c r="AB3" s="25"/>
      <c r="AC3" s="25"/>
      <c r="AD3" s="25"/>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94"/>
      <c r="V4" s="94"/>
      <c r="W4" s="94"/>
      <c r="X4" s="94"/>
      <c r="Y4" s="51" t="s">
        <v>63</v>
      </c>
      <c r="AB4" s="25"/>
      <c r="AC4" s="25"/>
      <c r="AD4" s="25"/>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94"/>
      <c r="V5" s="94"/>
      <c r="W5" s="94"/>
      <c r="X5" s="94"/>
      <c r="Y5" s="51" t="s">
        <v>189</v>
      </c>
      <c r="Z5" s="25"/>
      <c r="AA5" s="25"/>
      <c r="AB5" s="25"/>
      <c r="AC5" s="25"/>
      <c r="AD5" s="25"/>
      <c r="AO5" s="47"/>
      <c r="AP5" s="447"/>
      <c r="AQ5" s="447"/>
      <c r="AR5" s="447"/>
      <c r="AS5" s="55">
        <f>$V$26</f>
        <v>162</v>
      </c>
      <c r="AT5" s="55">
        <f>$V$27</f>
        <v>72</v>
      </c>
      <c r="AU5" s="55">
        <f>$V$28</f>
        <v>450</v>
      </c>
      <c r="AV5" s="509"/>
      <c r="AW5" s="47"/>
      <c r="AX5" s="47"/>
      <c r="AY5" s="47"/>
      <c r="AZ5" s="47"/>
      <c r="BA5" s="47"/>
      <c r="BB5" s="47"/>
    </row>
    <row r="6" spans="1:54" ht="20.25" customHeight="1" x14ac:dyDescent="0.25">
      <c r="M6" s="364"/>
      <c r="N6" s="453"/>
      <c r="O6" s="51" t="s">
        <v>3</v>
      </c>
      <c r="P6" s="56">
        <v>2</v>
      </c>
      <c r="Q6" s="51" t="s">
        <v>55</v>
      </c>
      <c r="R6" s="53"/>
      <c r="U6" s="591" t="s">
        <v>56</v>
      </c>
      <c r="V6" s="592"/>
      <c r="W6" s="510" t="s">
        <v>58</v>
      </c>
      <c r="X6" s="25"/>
      <c r="Y6" s="51" t="s">
        <v>190</v>
      </c>
      <c r="Z6" s="25"/>
      <c r="AA6" s="25"/>
      <c r="AB6" s="25"/>
      <c r="AC6" s="25"/>
      <c r="AD6" s="25"/>
      <c r="AO6" s="47"/>
      <c r="AP6" s="54">
        <v>1</v>
      </c>
      <c r="AQ6" s="517" t="str">
        <f>O74</f>
        <v>Termofosfato YOORIN</v>
      </c>
      <c r="AR6" s="518"/>
      <c r="AS6" s="55">
        <f>IFERROR((VLOOKUP(AQ6,$V$100:$AB$179,3,0)*0.01)*AV6,0)</f>
        <v>0</v>
      </c>
      <c r="AT6" s="55">
        <f>IFERROR((VLOOKUP(AQ6,$V$100:$AB$179,5,0)*0.01)*AV6,0)</f>
        <v>36.000000000000007</v>
      </c>
      <c r="AU6" s="55">
        <f>IFERROR((VLOOKUP(AQ6,$V$100:$AB$179,7,0)*0.01)*AV6,0)</f>
        <v>0</v>
      </c>
      <c r="AV6" s="55">
        <f>IFERROR($AT$5*Q74/(VLOOKUP(AQ6,$V$100:$AB$179,5,0)/100),0)</f>
        <v>205.71428571428572</v>
      </c>
      <c r="AW6" s="47"/>
      <c r="AX6" s="47"/>
      <c r="AY6" s="47"/>
      <c r="AZ6" s="47"/>
      <c r="BA6" s="47"/>
      <c r="BB6" s="47"/>
    </row>
    <row r="7" spans="1:54" ht="20.25" customHeight="1" x14ac:dyDescent="0.25">
      <c r="M7" s="364"/>
      <c r="N7" s="453"/>
      <c r="O7" s="51" t="s">
        <v>4</v>
      </c>
      <c r="P7" s="32">
        <v>1</v>
      </c>
      <c r="Q7" s="51" t="s">
        <v>55</v>
      </c>
      <c r="R7" s="53"/>
      <c r="U7" s="593"/>
      <c r="V7" s="594"/>
      <c r="W7" s="370"/>
      <c r="X7" s="25"/>
      <c r="Y7" s="79">
        <f>10000/((($O$32/2)+($P$32/2))*$Q$32)</f>
        <v>1250</v>
      </c>
      <c r="Z7" s="25"/>
      <c r="AA7" s="76" t="s">
        <v>63</v>
      </c>
      <c r="AB7" s="25"/>
      <c r="AC7" s="25"/>
      <c r="AD7" s="25"/>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36</v>
      </c>
      <c r="AU7" s="55">
        <f>IFERROR((VLOOKUP(AQ7,$V$100:$AB$179,7,0)*0.01)*AV7,0)</f>
        <v>0</v>
      </c>
      <c r="AV7" s="55">
        <f>IFERROR($AT$5*Q75/(VLOOKUP(AQ7,$V$100:$AB$179,5,0)/100),0)</f>
        <v>200</v>
      </c>
      <c r="AW7" s="47"/>
      <c r="AX7" s="47"/>
      <c r="AY7" s="47"/>
      <c r="AZ7" s="47"/>
      <c r="BA7" s="47"/>
      <c r="BB7" s="47"/>
    </row>
    <row r="8" spans="1:54" ht="20.25" customHeight="1" thickBot="1" x14ac:dyDescent="0.3">
      <c r="M8" s="364"/>
      <c r="N8" s="453"/>
      <c r="O8" s="51" t="s">
        <v>5</v>
      </c>
      <c r="P8" s="56">
        <v>0.14000000000000001</v>
      </c>
      <c r="Q8" s="57" t="s">
        <v>55</v>
      </c>
      <c r="R8" s="53"/>
      <c r="U8" s="125" t="s">
        <v>524</v>
      </c>
      <c r="V8" s="51" t="str">
        <f>IF($P$13&lt;=6,"muito baixo","erro")</f>
        <v>erro</v>
      </c>
      <c r="X8" s="25"/>
      <c r="Y8" s="25"/>
      <c r="Z8" s="25"/>
      <c r="AA8" s="51" t="s">
        <v>286</v>
      </c>
      <c r="AB8" s="25"/>
      <c r="AC8" s="463" t="str">
        <f>IF(V8="muito baixo","muito baixo",IF(V9="baixo","baixo",IF(V10="adequado","adequado",IF(V11="alto","alto",0))))</f>
        <v>baixo</v>
      </c>
      <c r="AD8" s="25"/>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125" t="s">
        <v>525</v>
      </c>
      <c r="V9" s="51" t="str">
        <f>IF(AND($P$13&gt;=7,$P$13&lt;=15),"baixo","erro")</f>
        <v>baixo</v>
      </c>
      <c r="X9" s="25"/>
      <c r="Y9" s="76" t="s">
        <v>63</v>
      </c>
      <c r="Z9" s="25"/>
      <c r="AA9" s="51" t="s">
        <v>293</v>
      </c>
      <c r="AB9" s="25"/>
      <c r="AC9" s="463"/>
      <c r="AD9" s="25"/>
      <c r="AF9" s="511" t="s">
        <v>246</v>
      </c>
      <c r="AG9" s="58" t="s">
        <v>25</v>
      </c>
      <c r="AH9" s="58" t="s">
        <v>242</v>
      </c>
      <c r="AI9" s="51" t="str">
        <f>IF($P$14&lt;=0.2,"baixo","erro")</f>
        <v>baixo</v>
      </c>
      <c r="AJ9" s="457" t="str">
        <f>IF($AI$9="baixo","baixo",IF($AI$10="medio","medio",IF($AI$11="adequado","adequado",0)))</f>
        <v>baixo</v>
      </c>
      <c r="AK9" s="457">
        <f>IF(AJ9="Baixo",AL9,0)</f>
        <v>1.2</v>
      </c>
      <c r="AL9" s="457">
        <f>(AM9*1000)/$E$18</f>
        <v>1.2</v>
      </c>
      <c r="AM9" s="456">
        <v>2</v>
      </c>
      <c r="AO9" s="47"/>
      <c r="AP9" s="47"/>
      <c r="AQ9" s="47"/>
      <c r="AR9" s="47"/>
      <c r="AS9" s="59">
        <f>AS5-(SUM(AS6:AS8))</f>
        <v>162</v>
      </c>
      <c r="AT9" s="59">
        <f>AT5-(SUM(AT6:AT8))</f>
        <v>0</v>
      </c>
      <c r="AU9" s="59">
        <f>AU5-(SUM(AU6:AU8))</f>
        <v>450</v>
      </c>
      <c r="AV9" s="59"/>
      <c r="AW9" s="47"/>
      <c r="AX9" s="47"/>
      <c r="AY9" s="47"/>
      <c r="AZ9" s="47"/>
      <c r="BA9" s="47"/>
      <c r="BB9" s="47"/>
    </row>
    <row r="10" spans="1:54" ht="20.25" customHeight="1" x14ac:dyDescent="0.25">
      <c r="M10" s="364"/>
      <c r="N10" s="453"/>
      <c r="O10" s="51" t="s">
        <v>7</v>
      </c>
      <c r="P10" s="56">
        <v>0.1</v>
      </c>
      <c r="Q10" s="51" t="s">
        <v>55</v>
      </c>
      <c r="R10" s="53"/>
      <c r="U10" s="125" t="s">
        <v>526</v>
      </c>
      <c r="V10" s="51" t="str">
        <f>IF(AND($P$13&gt;=16,$P$13&lt;=30),"adequado","erro")</f>
        <v>erro</v>
      </c>
      <c r="X10" s="25"/>
      <c r="Y10" s="76"/>
      <c r="Z10" s="25"/>
      <c r="AA10" s="51" t="s">
        <v>158</v>
      </c>
      <c r="AB10" s="25"/>
      <c r="AC10" s="463"/>
      <c r="AD10" s="25"/>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U11" s="125" t="s">
        <v>527</v>
      </c>
      <c r="V11" s="51" t="str">
        <f>IF(AND($P$13&gt;30),"alto","erro")</f>
        <v>erro</v>
      </c>
      <c r="X11" s="25"/>
      <c r="Y11" s="76">
        <v>0</v>
      </c>
      <c r="Z11" s="25"/>
      <c r="AA11" s="51" t="s">
        <v>292</v>
      </c>
      <c r="AB11" s="25"/>
      <c r="AC11" s="463"/>
      <c r="AD11" s="25"/>
      <c r="AF11" s="511"/>
      <c r="AG11" s="58" t="s">
        <v>234</v>
      </c>
      <c r="AH11" s="58" t="s">
        <v>233</v>
      </c>
      <c r="AI11" s="51" t="str">
        <f>IF($P$14&gt;0.5,"adequado","erro")</f>
        <v>erro</v>
      </c>
      <c r="AJ11" s="457"/>
      <c r="AK11" s="457"/>
      <c r="AL11" s="457"/>
      <c r="AM11" s="456"/>
      <c r="AO11" s="47"/>
      <c r="AP11" s="447"/>
      <c r="AQ11" s="447"/>
      <c r="AR11" s="447"/>
      <c r="AS11" s="55">
        <f>AS9</f>
        <v>162</v>
      </c>
      <c r="AT11" s="55">
        <f t="shared" ref="AT11:AU11" si="0">AT9</f>
        <v>0</v>
      </c>
      <c r="AU11" s="55">
        <f t="shared" si="0"/>
        <v>450</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X12" s="25"/>
      <c r="Y12" s="76">
        <v>0.1</v>
      </c>
      <c r="Z12" s="25"/>
      <c r="AA12" s="51" t="s">
        <v>292</v>
      </c>
      <c r="AB12" s="25"/>
      <c r="AC12" s="25"/>
      <c r="AD12" s="25"/>
      <c r="AF12" s="511" t="s">
        <v>245</v>
      </c>
      <c r="AG12" s="58" t="s">
        <v>25</v>
      </c>
      <c r="AH12" s="58" t="s">
        <v>241</v>
      </c>
      <c r="AI12" s="51" t="str">
        <f>IF($P$16&lt;=0.4,"baixo","erro")</f>
        <v>erro</v>
      </c>
      <c r="AJ12" s="457" t="str">
        <f>IF($AI$12="baixo","baixo",IF($AI$13="medio","medio",IF($AI$14="adequado","adequado",0)))</f>
        <v>adequado</v>
      </c>
      <c r="AK12" s="457">
        <f>IF(AJ12="Baixo",AL12,0)</f>
        <v>0</v>
      </c>
      <c r="AL12" s="457">
        <f>(AM12*1000)/$E$18</f>
        <v>1.2</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225</v>
      </c>
      <c r="AV12" s="55">
        <f>IFERROR($AU$11*Q82/(VLOOKUP(AQ12,$V$100:$AB$179,7,0)/100),0)</f>
        <v>375</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15</v>
      </c>
      <c r="Q13" s="51" t="s">
        <v>12</v>
      </c>
      <c r="R13" s="53"/>
      <c r="U13" s="457" t="s">
        <v>500</v>
      </c>
      <c r="V13" s="457"/>
      <c r="W13" s="457"/>
      <c r="X13" s="25"/>
      <c r="Y13" s="76">
        <v>0.2</v>
      </c>
      <c r="Z13" s="25"/>
      <c r="AA13" s="51" t="s">
        <v>292</v>
      </c>
      <c r="AB13" s="25"/>
      <c r="AC13" s="25"/>
      <c r="AD13" s="25"/>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225</v>
      </c>
      <c r="AV13" s="55">
        <f>IFERROR($AU$11*Q83/(VLOOKUP(AQ13,$V$100:$AB$179,7,0)/100),0)</f>
        <v>2812.5</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U14" s="457"/>
      <c r="V14" s="457"/>
      <c r="W14" s="457"/>
      <c r="X14" s="25"/>
      <c r="Y14" s="76">
        <v>0.3</v>
      </c>
      <c r="Z14" s="25"/>
      <c r="AA14" s="51" t="s">
        <v>288</v>
      </c>
      <c r="AB14" s="25"/>
      <c r="AC14" s="25"/>
      <c r="AD14" s="25"/>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U15" s="51" t="s">
        <v>521</v>
      </c>
      <c r="V15" s="51" t="str">
        <f>IF($P$8&lt;=0.15,"muito baixo","erro")</f>
        <v>muito baixo</v>
      </c>
      <c r="W15" s="510" t="s">
        <v>58</v>
      </c>
      <c r="X15" s="25"/>
      <c r="Y15" s="76">
        <v>0.4</v>
      </c>
      <c r="Z15" s="25"/>
      <c r="AA15" s="51" t="s">
        <v>289</v>
      </c>
      <c r="AB15" s="25"/>
      <c r="AC15" s="25"/>
      <c r="AD15" s="25"/>
      <c r="AF15" s="511" t="s">
        <v>244</v>
      </c>
      <c r="AG15" s="58" t="s">
        <v>25</v>
      </c>
      <c r="AH15" s="58" t="s">
        <v>240</v>
      </c>
      <c r="AI15" s="51" t="str">
        <f>IF($P$18&lt;=1.9,"baixo","erro")</f>
        <v>erro</v>
      </c>
      <c r="AJ15" s="457" t="str">
        <f>IF($AI$15="baixo","baixo",IF($AI$16="medio","medio",IF($AI$17="adequado","adequado",0)))</f>
        <v>adequado</v>
      </c>
      <c r="AK15" s="457">
        <f>IF(AJ15="Baixo",AL15,0)</f>
        <v>0</v>
      </c>
      <c r="AL15" s="457">
        <f>(AM15*1000)/$E$18</f>
        <v>3.5999999999999996</v>
      </c>
      <c r="AM15" s="456">
        <v>6</v>
      </c>
      <c r="AO15" s="47"/>
      <c r="AP15" s="47"/>
      <c r="AQ15" s="47"/>
      <c r="AR15" s="47"/>
      <c r="AS15" s="59">
        <f>AS11-(SUM(AS12:AS14))</f>
        <v>162</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U16" s="51" t="s">
        <v>497</v>
      </c>
      <c r="V16" s="51" t="str">
        <f>IF(AND($P$8&gt;=0.16,$P$8&lt;=0.3),"baixo","erro")</f>
        <v>erro</v>
      </c>
      <c r="W16" s="370"/>
      <c r="X16" s="25"/>
      <c r="Y16" s="76">
        <v>0.5</v>
      </c>
      <c r="AA16" s="51" t="s">
        <v>290</v>
      </c>
      <c r="AB16" s="25"/>
      <c r="AC16" s="25"/>
      <c r="AD16" s="25"/>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 t="s">
        <v>522</v>
      </c>
      <c r="V17" s="51" t="str">
        <f>IF(AND($P$8&gt;=0.31,$P$8&lt;=0.6),"adequado","erro")</f>
        <v>erro</v>
      </c>
      <c r="W17" s="595" t="str">
        <f>IF(V15="muito baixo","muito baixo",IF(V16="baixo","baixo",IF(V17="médio","médio",IF(V18="alto","alto",0))))</f>
        <v>muito baixo</v>
      </c>
      <c r="X17" s="94"/>
      <c r="Y17" s="76">
        <v>0.6</v>
      </c>
      <c r="AA17" s="51"/>
      <c r="AB17" s="25"/>
      <c r="AC17" s="25"/>
      <c r="AD17" s="25"/>
      <c r="AF17" s="511"/>
      <c r="AG17" s="58" t="s">
        <v>234</v>
      </c>
      <c r="AH17" s="58" t="s">
        <v>231</v>
      </c>
      <c r="AI17" s="51" t="str">
        <f>IF($P$18&gt;5,"adequado","erro")</f>
        <v>adequado</v>
      </c>
      <c r="AJ17" s="457"/>
      <c r="AK17" s="457"/>
      <c r="AL17" s="457"/>
      <c r="AM17" s="456"/>
      <c r="AO17" s="47"/>
      <c r="AP17" s="447"/>
      <c r="AQ17" s="447"/>
      <c r="AR17" s="447"/>
      <c r="AS17" s="55">
        <f>AS15</f>
        <v>162</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1666.6666666666667</v>
      </c>
      <c r="F18" s="457" t="s">
        <v>125</v>
      </c>
      <c r="G18" s="457"/>
      <c r="H18" s="457"/>
      <c r="I18" s="51">
        <f>O34</f>
        <v>1</v>
      </c>
      <c r="M18" s="364"/>
      <c r="N18" s="453"/>
      <c r="O18" s="51" t="s">
        <v>17</v>
      </c>
      <c r="P18" s="56">
        <v>43.1</v>
      </c>
      <c r="Q18" s="51" t="s">
        <v>12</v>
      </c>
      <c r="R18" s="53"/>
      <c r="U18" s="51" t="s">
        <v>523</v>
      </c>
      <c r="V18" s="51" t="str">
        <f>IF(AND($P$8&gt;0.6),"alto","erro")</f>
        <v>erro</v>
      </c>
      <c r="W18" s="596"/>
      <c r="X18" s="94"/>
      <c r="Y18" s="76">
        <v>0.7</v>
      </c>
      <c r="AB18" s="25"/>
      <c r="AC18" s="25"/>
      <c r="AD18" s="25"/>
      <c r="AF18" s="511" t="s">
        <v>243</v>
      </c>
      <c r="AG18" s="58" t="s">
        <v>25</v>
      </c>
      <c r="AH18" s="58" t="s">
        <v>239</v>
      </c>
      <c r="AI18" s="51" t="str">
        <f>IF($P$19&lt;=1,"baixo","erro")</f>
        <v>erro</v>
      </c>
      <c r="AJ18" s="457" t="str">
        <f>IF($AI$18="baixo","baixo",IF($AI$19="medio","medio",IF($AI$20="adequado","adequado",0)))</f>
        <v>adequado</v>
      </c>
      <c r="AK18" s="457">
        <f>IF(AJ18="Baixo",AL18,0)</f>
        <v>0</v>
      </c>
      <c r="AL18" s="457">
        <f>(AM18*1000)/$E$18</f>
        <v>3.5999999999999996</v>
      </c>
      <c r="AM18" s="456">
        <v>6</v>
      </c>
      <c r="AO18" s="47"/>
      <c r="AP18" s="54">
        <v>13</v>
      </c>
      <c r="AQ18" s="447" t="str">
        <f>O90</f>
        <v>Nitrato de Amônio</v>
      </c>
      <c r="AR18" s="447"/>
      <c r="AS18" s="55">
        <f>IFERROR((VLOOKUP(AQ18,$V$100:$AB$179,3,0)*0.01)*AV18,0)</f>
        <v>162</v>
      </c>
      <c r="AT18" s="55">
        <f>IFERROR((VLOOKUP(AQ18,$V$100:$AB$179,5,0)*0.01)*AV18,0)</f>
        <v>0</v>
      </c>
      <c r="AU18" s="55">
        <f>IFERROR((VLOOKUP(AQ18,$V$100:$AB$179,7,0)*0.01)*AV18,0)</f>
        <v>0</v>
      </c>
      <c r="AV18" s="55">
        <f>IFERROR($AS$17*Q90/(VLOOKUP(AQ18,$V$100:$AB$179,3,0)/100),0)</f>
        <v>558.62068965517244</v>
      </c>
      <c r="AW18" s="47"/>
      <c r="AX18" s="47"/>
      <c r="AY18" s="47"/>
      <c r="AZ18" s="47"/>
      <c r="BA18" s="47"/>
      <c r="BB18" s="47"/>
    </row>
    <row r="19" spans="2:54" ht="20.25" customHeight="1" x14ac:dyDescent="0.25">
      <c r="M19" s="364"/>
      <c r="N19" s="453"/>
      <c r="O19" s="51" t="s">
        <v>18</v>
      </c>
      <c r="P19" s="32">
        <v>20.100000000000001</v>
      </c>
      <c r="Q19" s="51" t="s">
        <v>12</v>
      </c>
      <c r="R19" s="53"/>
      <c r="S19" s="61"/>
      <c r="X19" s="94"/>
      <c r="Y19" s="76">
        <v>0.8</v>
      </c>
      <c r="AB19" s="25"/>
      <c r="AC19" s="25"/>
      <c r="AD19" s="25"/>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57.00636942675159</v>
      </c>
      <c r="H20" s="63" t="s">
        <v>52</v>
      </c>
      <c r="I20" s="60">
        <f>P21</f>
        <v>47.5</v>
      </c>
      <c r="M20" s="364"/>
      <c r="N20" s="453"/>
      <c r="O20" s="51" t="s">
        <v>19</v>
      </c>
      <c r="P20" s="56">
        <v>27.5</v>
      </c>
      <c r="Q20" s="57" t="s">
        <v>23</v>
      </c>
      <c r="R20" s="53"/>
      <c r="U20" s="25"/>
      <c r="V20" s="25"/>
      <c r="W20" s="25"/>
      <c r="X20" s="25"/>
      <c r="Y20" s="76">
        <v>0.9</v>
      </c>
      <c r="AB20" s="25"/>
      <c r="AC20" s="25"/>
      <c r="AD20" s="25"/>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X21" s="25"/>
      <c r="Y21" s="76">
        <v>1</v>
      </c>
      <c r="AB21" s="25"/>
      <c r="AC21" s="25"/>
      <c r="AD21" s="25"/>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2</v>
      </c>
      <c r="D22" s="63" t="s">
        <v>79</v>
      </c>
      <c r="E22" s="63">
        <f>P13</f>
        <v>15</v>
      </c>
      <c r="F22" s="63" t="s">
        <v>84</v>
      </c>
      <c r="G22" s="63">
        <f>P14</f>
        <v>0.04</v>
      </c>
      <c r="H22" s="63" t="s">
        <v>86</v>
      </c>
      <c r="I22" s="63">
        <f>P19</f>
        <v>20.100000000000001</v>
      </c>
      <c r="M22" s="364"/>
      <c r="N22" s="453"/>
      <c r="O22" s="51" t="s">
        <v>20</v>
      </c>
      <c r="P22" s="56">
        <v>25</v>
      </c>
      <c r="Q22" s="57" t="s">
        <v>23</v>
      </c>
      <c r="R22" s="53"/>
      <c r="X22" s="25"/>
      <c r="Y22" s="25"/>
      <c r="Z22" s="25"/>
      <c r="AA22" s="25"/>
      <c r="AB22" s="25"/>
      <c r="AC22" s="25"/>
      <c r="AD22" s="25"/>
      <c r="AO22" s="47"/>
      <c r="AP22" s="47"/>
      <c r="AQ22" s="47"/>
      <c r="AR22" s="47"/>
      <c r="AS22" s="47"/>
      <c r="AT22" s="47"/>
      <c r="AU22" s="47"/>
      <c r="AV22" s="47"/>
      <c r="AW22" s="47"/>
      <c r="AX22" s="47"/>
      <c r="AY22" s="47"/>
      <c r="AZ22" s="47"/>
      <c r="BA22" s="47"/>
      <c r="BB22" s="47"/>
    </row>
    <row r="23" spans="2:54" ht="20.25" customHeight="1" x14ac:dyDescent="0.25">
      <c r="B23" s="64" t="s">
        <v>82</v>
      </c>
      <c r="C23" s="65">
        <f>P7</f>
        <v>1</v>
      </c>
      <c r="D23" s="63" t="s">
        <v>129</v>
      </c>
      <c r="E23" s="63">
        <f>P11</f>
        <v>2.7</v>
      </c>
      <c r="F23" s="63" t="s">
        <v>87</v>
      </c>
      <c r="G23" s="63">
        <f>P16</f>
        <v>4</v>
      </c>
      <c r="H23" s="63" t="s">
        <v>83</v>
      </c>
      <c r="I23" s="63">
        <f>P15</f>
        <v>20</v>
      </c>
      <c r="J23" s="66"/>
      <c r="M23" s="364"/>
      <c r="N23" s="453"/>
      <c r="O23" s="51" t="s">
        <v>21</v>
      </c>
      <c r="P23" s="32">
        <v>47.6</v>
      </c>
      <c r="Q23" s="51" t="s">
        <v>10</v>
      </c>
      <c r="R23" s="53"/>
      <c r="U23" s="25"/>
      <c r="V23" s="25"/>
      <c r="W23" s="25"/>
      <c r="X23" s="25"/>
      <c r="Y23" s="25"/>
      <c r="Z23" s="25"/>
      <c r="AA23" s="25"/>
      <c r="AB23" s="25"/>
      <c r="AC23" s="25"/>
      <c r="AD23" s="25"/>
      <c r="AO23" s="47"/>
      <c r="AP23" s="47"/>
      <c r="AQ23" s="47"/>
      <c r="AR23" s="47"/>
      <c r="AS23" s="47"/>
      <c r="AT23" s="47"/>
      <c r="AU23" s="47"/>
      <c r="AV23" s="47"/>
      <c r="AW23" s="47"/>
      <c r="AX23" s="47"/>
      <c r="AY23" s="47"/>
      <c r="AZ23" s="47"/>
      <c r="BA23" s="47"/>
      <c r="BB23" s="47"/>
    </row>
    <row r="24" spans="2:54" ht="20.25" customHeight="1" x14ac:dyDescent="0.25">
      <c r="B24" s="64" t="s">
        <v>80</v>
      </c>
      <c r="C24" s="65">
        <f>P8</f>
        <v>0.14000000000000001</v>
      </c>
      <c r="D24" s="63" t="s">
        <v>130</v>
      </c>
      <c r="E24" s="63">
        <f>P10</f>
        <v>0.1</v>
      </c>
      <c r="F24" s="63" t="s">
        <v>89</v>
      </c>
      <c r="G24" s="63">
        <f>P17</f>
        <v>58.4</v>
      </c>
      <c r="H24" s="63" t="s">
        <v>131</v>
      </c>
      <c r="I24" s="63">
        <f>P25</f>
        <v>6.28</v>
      </c>
      <c r="J24" s="66"/>
      <c r="M24" s="364"/>
      <c r="N24" s="453"/>
      <c r="O24" s="51" t="s">
        <v>22</v>
      </c>
      <c r="P24" s="63">
        <f>100*(P6+P7+P8+P9)/P25</f>
        <v>57.00636942675159</v>
      </c>
      <c r="Q24" s="51" t="s">
        <v>23</v>
      </c>
      <c r="R24" s="53"/>
      <c r="AO24" s="47"/>
      <c r="AP24" s="47"/>
      <c r="AQ24" s="47"/>
      <c r="AR24" s="47"/>
      <c r="AS24" s="59">
        <f>AS26-(SUM(AS27:AS36))</f>
        <v>1.1996368965517241</v>
      </c>
      <c r="AT24" s="59">
        <f t="shared" ref="AT24:AV24" si="3">AT26-(SUM(AT27:AT36))</f>
        <v>-3.6310344827586205E-4</v>
      </c>
      <c r="AU24" s="59">
        <f t="shared" si="3"/>
        <v>-6.9827586206896563E-4</v>
      </c>
      <c r="AV24" s="59">
        <f t="shared" si="3"/>
        <v>-7.8206896551724154E-5</v>
      </c>
      <c r="AW24" s="47"/>
      <c r="AX24" s="47"/>
      <c r="AY24" s="47"/>
      <c r="AZ24" s="47"/>
      <c r="BA24" s="47"/>
      <c r="BB24" s="47"/>
    </row>
    <row r="25" spans="2:54" ht="20.25" customHeight="1" thickBot="1" x14ac:dyDescent="0.3">
      <c r="J25" s="66"/>
      <c r="M25" s="364"/>
      <c r="N25" s="453"/>
      <c r="O25" s="51" t="s">
        <v>24</v>
      </c>
      <c r="P25" s="67">
        <f>(P6+P7+P8+P9+P11)</f>
        <v>6.28</v>
      </c>
      <c r="Q25" s="51" t="s">
        <v>55</v>
      </c>
      <c r="R25" s="53"/>
      <c r="U25" s="458" t="s">
        <v>65</v>
      </c>
      <c r="V25" s="458"/>
      <c r="X25" s="457" t="s">
        <v>507</v>
      </c>
      <c r="Y25" s="457"/>
      <c r="AE25" s="457" t="s">
        <v>508</v>
      </c>
      <c r="AF25" s="457"/>
      <c r="AG25" s="457"/>
      <c r="AH25" s="457"/>
      <c r="AJ25" s="457" t="s">
        <v>509</v>
      </c>
      <c r="AK25" s="457"/>
      <c r="AL25" s="457"/>
      <c r="AM25" s="457"/>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78" t="s">
        <v>33</v>
      </c>
      <c r="V26" s="78">
        <f>VLOOKUP($P$39,$X$27:$Y$30,2,0)/$E$18</f>
        <v>162</v>
      </c>
      <c r="W26" s="25"/>
      <c r="X26" s="51" t="s">
        <v>32</v>
      </c>
      <c r="Y26" s="51" t="s">
        <v>512</v>
      </c>
      <c r="AE26" s="51" t="s">
        <v>32</v>
      </c>
      <c r="AF26" s="51" t="s">
        <v>75</v>
      </c>
      <c r="AG26" s="51" t="s">
        <v>71</v>
      </c>
      <c r="AH26" s="51" t="s">
        <v>513</v>
      </c>
      <c r="AJ26" s="51" t="s">
        <v>32</v>
      </c>
      <c r="AK26" s="51" t="s">
        <v>75</v>
      </c>
      <c r="AL26" s="51" t="s">
        <v>71</v>
      </c>
      <c r="AM26" s="51" t="s">
        <v>514</v>
      </c>
      <c r="AO26" s="47"/>
      <c r="AP26" s="461"/>
      <c r="AQ26" s="461"/>
      <c r="AR26" s="461"/>
      <c r="AS26" s="72">
        <f>AK9</f>
        <v>1.2</v>
      </c>
      <c r="AT26" s="72">
        <f>AK12</f>
        <v>0</v>
      </c>
      <c r="AU26" s="72">
        <f>AK15</f>
        <v>0</v>
      </c>
      <c r="AV26" s="72">
        <f>AK18</f>
        <v>0</v>
      </c>
      <c r="AW26" s="47"/>
      <c r="AX26" s="47"/>
      <c r="AY26" s="47"/>
      <c r="AZ26" s="47"/>
      <c r="BA26" s="47"/>
      <c r="BB26" s="47"/>
    </row>
    <row r="27" spans="2:54" ht="20.25" customHeight="1" thickBot="1" x14ac:dyDescent="0.3">
      <c r="B27" s="488" t="str">
        <f>IF($O$47&gt;0,$O$47,"-")</f>
        <v>BRICCAL Calcítico</v>
      </c>
      <c r="C27" s="488"/>
      <c r="D27" s="73">
        <f>IF(J27&gt;0,J27,"-")</f>
        <v>0.50847457627118664</v>
      </c>
      <c r="E27" s="365" t="str">
        <f>IF(J27&gt;0,"toneladas por hectare ou,","-")</f>
        <v>toneladas por hectare ou,</v>
      </c>
      <c r="F27" s="365"/>
      <c r="G27" s="365"/>
      <c r="H27" s="365"/>
      <c r="I27" s="365"/>
      <c r="J27" s="74">
        <f>V51</f>
        <v>0.50847457627118664</v>
      </c>
      <c r="U27" s="78" t="s">
        <v>66</v>
      </c>
      <c r="V27" s="78">
        <f>VLOOKUP(U32,AG27:AH50,2,0)/$E$18</f>
        <v>72</v>
      </c>
      <c r="W27" s="25"/>
      <c r="X27" s="75" t="s">
        <v>528</v>
      </c>
      <c r="Y27" s="75">
        <v>150000</v>
      </c>
      <c r="AE27" s="75" t="s">
        <v>528</v>
      </c>
      <c r="AF27" s="75" t="s">
        <v>504</v>
      </c>
      <c r="AG27" s="75" t="str">
        <f t="shared" ref="AG27:AG42" si="4">CONCATENATE(AE27," - ",AF27)</f>
        <v>&lt;20 - muito baixo</v>
      </c>
      <c r="AH27" s="75">
        <v>80000</v>
      </c>
      <c r="AJ27" s="75" t="s">
        <v>528</v>
      </c>
      <c r="AK27" s="75" t="s">
        <v>504</v>
      </c>
      <c r="AL27" s="75" t="str">
        <f t="shared" ref="AL27:AL42" si="5">CONCATENATE(AJ27," - ",AK27)</f>
        <v>&lt;20 - muito baixo</v>
      </c>
      <c r="AM27" s="75">
        <v>300000</v>
      </c>
      <c r="AO27" s="47"/>
      <c r="AP27" s="447" t="s">
        <v>261</v>
      </c>
      <c r="AQ27" s="447" t="str">
        <f>B29</f>
        <v>Remax Mistel (61) 99414-1975</v>
      </c>
      <c r="AR27" s="447"/>
      <c r="AS27" s="55">
        <f t="shared" ref="AS27:AS36" si="6">IFERROR(VLOOKUP(AQ27,$V$100:$AL$179,11,0)*0.01*VLOOKUP(AQ27,$B$27:$J$47,9,0),0)</f>
        <v>0</v>
      </c>
      <c r="AT27" s="55">
        <f t="shared" ref="AT27:AT36" si="7">IFERROR(VLOOKUP(AQ27,$V$100:$AL$179,12,0)*0.01*VLOOKUP(AQ27,$B$27:$J$47,9,0),0)</f>
        <v>0</v>
      </c>
      <c r="AU27" s="55">
        <f t="shared" ref="AU27:AU36" si="8">IFERROR(VLOOKUP(AQ27,$V$100:$AL$179,13,0)*0.01*VLOOKUP(AQ27,$B$27:$J$47,9,0),0)</f>
        <v>0</v>
      </c>
      <c r="AV27" s="55">
        <f t="shared" ref="AV27:AV36" si="9">IFERROR(VLOOKUP(AQ27,$V$100:$AL$179,14,0)*0.01*VLOOKUP(AQ27,$B$27:$J$47,9,0),0)</f>
        <v>0</v>
      </c>
      <c r="AW27" s="47"/>
      <c r="AX27" s="47"/>
      <c r="AY27" s="47"/>
      <c r="AZ27" s="47"/>
      <c r="BA27" s="47"/>
      <c r="BB27" s="47"/>
    </row>
    <row r="28" spans="2:54" ht="20.25" customHeight="1" x14ac:dyDescent="0.25">
      <c r="B28" s="488"/>
      <c r="C28" s="488"/>
      <c r="D28" s="73">
        <f>IF(J28&gt;0,J28,"-")</f>
        <v>5.0847457627118661E-2</v>
      </c>
      <c r="E28" s="365" t="str">
        <f>IF(J28&gt;0,"quilos por metro quadrado","-")</f>
        <v>quilos por metro quadrado</v>
      </c>
      <c r="F28" s="365"/>
      <c r="G28" s="365"/>
      <c r="H28" s="365"/>
      <c r="I28" s="365"/>
      <c r="J28" s="74">
        <f>J27/10</f>
        <v>5.0847457627118661E-2</v>
      </c>
      <c r="M28" s="48"/>
      <c r="N28" s="49"/>
      <c r="O28" s="49"/>
      <c r="P28" s="49"/>
      <c r="Q28" s="49"/>
      <c r="R28" s="50"/>
      <c r="U28" s="78" t="s">
        <v>67</v>
      </c>
      <c r="V28" s="78">
        <f>VLOOKUP($U$35,AL27:AM50,2,0)/$E$18</f>
        <v>450</v>
      </c>
      <c r="W28" s="25"/>
      <c r="X28" s="75" t="s">
        <v>529</v>
      </c>
      <c r="Y28" s="75">
        <v>190000</v>
      </c>
      <c r="AE28" s="75" t="s">
        <v>528</v>
      </c>
      <c r="AF28" s="75" t="s">
        <v>68</v>
      </c>
      <c r="AG28" s="75" t="str">
        <f t="shared" si="4"/>
        <v>&lt;20 - baixo</v>
      </c>
      <c r="AH28" s="75">
        <v>60000</v>
      </c>
      <c r="AJ28" s="75" t="s">
        <v>528</v>
      </c>
      <c r="AK28" s="75" t="s">
        <v>68</v>
      </c>
      <c r="AL28" s="75" t="str">
        <f t="shared" si="5"/>
        <v>&lt;20 - baixo</v>
      </c>
      <c r="AM28" s="75">
        <v>200000</v>
      </c>
      <c r="AO28" s="47"/>
      <c r="AP28" s="447"/>
      <c r="AQ28" s="447" t="str">
        <f t="shared" ref="AQ28:AQ36" si="10">B41</f>
        <v>Termofosfato YOORIN</v>
      </c>
      <c r="AR28" s="447"/>
      <c r="AS28" s="55">
        <f t="shared" si="6"/>
        <v>0</v>
      </c>
      <c r="AT28" s="55">
        <f t="shared" si="7"/>
        <v>0</v>
      </c>
      <c r="AU28" s="55">
        <f t="shared" si="8"/>
        <v>0</v>
      </c>
      <c r="AV28" s="55">
        <f t="shared" si="9"/>
        <v>0</v>
      </c>
      <c r="AW28" s="47"/>
      <c r="AX28" s="47"/>
      <c r="AY28" s="47"/>
      <c r="AZ28" s="47"/>
      <c r="BA28" s="47"/>
      <c r="BB28" s="47"/>
    </row>
    <row r="29" spans="2:54" ht="20.25" customHeight="1" x14ac:dyDescent="0.25">
      <c r="B29" s="488" t="str">
        <f>IF($O$50&gt;0,$O$50,"-")</f>
        <v>Remax Mistel (61) 99414-1975</v>
      </c>
      <c r="C29" s="488"/>
      <c r="D29" s="73">
        <f>IF(J29&gt;0,J29,"-")</f>
        <v>0.98220723286630063</v>
      </c>
      <c r="E29" s="365" t="str">
        <f>IF(J29&gt;0,"toneladas por hectare ou,","-")</f>
        <v>toneladas por hectare ou,</v>
      </c>
      <c r="F29" s="365"/>
      <c r="G29" s="365"/>
      <c r="H29" s="365"/>
      <c r="I29" s="365"/>
      <c r="J29" s="74">
        <f>Z49</f>
        <v>0.98220723286630063</v>
      </c>
      <c r="M29" s="364" t="s">
        <v>211</v>
      </c>
      <c r="N29" s="453"/>
      <c r="O29" s="473" t="s">
        <v>197</v>
      </c>
      <c r="P29" s="474"/>
      <c r="Q29" s="475"/>
      <c r="R29" s="53"/>
      <c r="W29" s="25"/>
      <c r="X29" s="75" t="s">
        <v>530</v>
      </c>
      <c r="Y29" s="75">
        <v>230000</v>
      </c>
      <c r="AE29" s="75" t="s">
        <v>528</v>
      </c>
      <c r="AF29" s="75" t="s">
        <v>70</v>
      </c>
      <c r="AG29" s="75" t="str">
        <f t="shared" si="4"/>
        <v>&lt;20 - adequado</v>
      </c>
      <c r="AH29" s="75">
        <v>40000</v>
      </c>
      <c r="AJ29" s="75" t="s">
        <v>528</v>
      </c>
      <c r="AK29" s="75" t="s">
        <v>70</v>
      </c>
      <c r="AL29" s="75" t="str">
        <f t="shared" si="5"/>
        <v>&lt;20 - adequado</v>
      </c>
      <c r="AM29" s="75">
        <v>100000</v>
      </c>
      <c r="AO29" s="47"/>
      <c r="AP29" s="447"/>
      <c r="AQ29" s="447" t="str">
        <f t="shared" si="10"/>
        <v>Superfosfato simples</v>
      </c>
      <c r="AR29" s="447"/>
      <c r="AS29" s="55">
        <f t="shared" si="6"/>
        <v>0</v>
      </c>
      <c r="AT29" s="55">
        <f t="shared" si="7"/>
        <v>0</v>
      </c>
      <c r="AU29" s="55">
        <f t="shared" si="8"/>
        <v>0</v>
      </c>
      <c r="AV29" s="55">
        <f t="shared" si="9"/>
        <v>0</v>
      </c>
      <c r="AW29" s="47"/>
      <c r="AX29" s="47"/>
      <c r="AY29" s="47"/>
      <c r="AZ29" s="47"/>
      <c r="BA29" s="47"/>
      <c r="BB29" s="47"/>
    </row>
    <row r="30" spans="2:54" ht="20.25" customHeight="1" x14ac:dyDescent="0.25">
      <c r="B30" s="488"/>
      <c r="C30" s="488"/>
      <c r="D30" s="73">
        <f>IF(J30&gt;0,J30,"-")</f>
        <v>9.8220723286630063E-2</v>
      </c>
      <c r="E30" s="365" t="str">
        <f>IF(J30&gt;0,"quilos por metro quadrado","-")</f>
        <v>quilos por metro quadrado</v>
      </c>
      <c r="F30" s="365"/>
      <c r="G30" s="365"/>
      <c r="H30" s="365"/>
      <c r="I30" s="365"/>
      <c r="J30" s="74">
        <f>J29/10</f>
        <v>9.8220723286630063E-2</v>
      </c>
      <c r="M30" s="364"/>
      <c r="N30" s="453"/>
      <c r="O30" s="32"/>
      <c r="P30" s="77" t="s">
        <v>200</v>
      </c>
      <c r="Q30" s="32"/>
      <c r="R30" s="53"/>
      <c r="W30" s="25"/>
      <c r="X30" s="75" t="s">
        <v>531</v>
      </c>
      <c r="Y30" s="75">
        <v>270000</v>
      </c>
      <c r="AE30" s="75" t="s">
        <v>528</v>
      </c>
      <c r="AF30" s="75" t="s">
        <v>331</v>
      </c>
      <c r="AG30" s="75" t="str">
        <f t="shared" si="4"/>
        <v>&lt;20 - alto</v>
      </c>
      <c r="AH30" s="75">
        <v>0</v>
      </c>
      <c r="AJ30" s="75" t="s">
        <v>528</v>
      </c>
      <c r="AK30" s="75" t="s">
        <v>331</v>
      </c>
      <c r="AL30" s="75" t="str">
        <f t="shared" si="5"/>
        <v>&lt;20 - alto</v>
      </c>
      <c r="AM30" s="75">
        <v>0</v>
      </c>
      <c r="AO30" s="47"/>
      <c r="AP30" s="447"/>
      <c r="AQ30" s="447" t="str">
        <f t="shared" si="10"/>
        <v>-</v>
      </c>
      <c r="AR30" s="447"/>
      <c r="AS30" s="55">
        <f t="shared" si="6"/>
        <v>0</v>
      </c>
      <c r="AT30" s="55">
        <f t="shared" si="7"/>
        <v>0</v>
      </c>
      <c r="AU30" s="55">
        <f t="shared" si="8"/>
        <v>0</v>
      </c>
      <c r="AV30" s="55">
        <f t="shared" si="9"/>
        <v>0</v>
      </c>
      <c r="AW30" s="47"/>
      <c r="AX30" s="47"/>
      <c r="AY30" s="47"/>
      <c r="AZ30" s="47"/>
      <c r="BA30" s="47"/>
      <c r="BB30" s="47"/>
    </row>
    <row r="31" spans="2:54" ht="20.25" customHeight="1" x14ac:dyDescent="0.25">
      <c r="B31" s="514" t="s">
        <v>533</v>
      </c>
      <c r="C31" s="514"/>
      <c r="D31" s="514"/>
      <c r="E31" s="514"/>
      <c r="F31" s="514"/>
      <c r="G31" s="514"/>
      <c r="H31" s="514"/>
      <c r="I31" s="514"/>
      <c r="J31" s="74"/>
      <c r="M31" s="364"/>
      <c r="N31" s="453"/>
      <c r="O31" s="473" t="s">
        <v>519</v>
      </c>
      <c r="P31" s="474"/>
      <c r="Q31" s="475"/>
      <c r="R31" s="53"/>
      <c r="U31" s="457" t="s">
        <v>72</v>
      </c>
      <c r="V31" s="457"/>
      <c r="W31" s="25"/>
      <c r="AE31" s="75" t="s">
        <v>529</v>
      </c>
      <c r="AF31" s="75" t="s">
        <v>504</v>
      </c>
      <c r="AG31" s="75" t="str">
        <f t="shared" si="4"/>
        <v>20-40 - muito baixo</v>
      </c>
      <c r="AH31" s="75">
        <v>10000</v>
      </c>
      <c r="AJ31" s="75" t="s">
        <v>529</v>
      </c>
      <c r="AK31" s="75" t="s">
        <v>504</v>
      </c>
      <c r="AL31" s="75" t="str">
        <f t="shared" si="5"/>
        <v>20-40 - muito baixo</v>
      </c>
      <c r="AM31" s="75">
        <v>450000</v>
      </c>
      <c r="AO31" s="47"/>
      <c r="AP31" s="447"/>
      <c r="AQ31" s="447" t="str">
        <f t="shared" si="10"/>
        <v>Cloreto de potássio</v>
      </c>
      <c r="AR31" s="447"/>
      <c r="AS31" s="55">
        <f t="shared" si="6"/>
        <v>0</v>
      </c>
      <c r="AT31" s="55">
        <f t="shared" si="7"/>
        <v>0</v>
      </c>
      <c r="AU31" s="55">
        <f t="shared" si="8"/>
        <v>0</v>
      </c>
      <c r="AV31" s="55">
        <f t="shared" si="9"/>
        <v>0</v>
      </c>
      <c r="AW31" s="47"/>
      <c r="AX31" s="47"/>
      <c r="AY31" s="47"/>
      <c r="AZ31" s="47"/>
      <c r="BA31" s="47"/>
      <c r="BB31" s="47"/>
    </row>
    <row r="32" spans="2:54" ht="20.25" customHeight="1" x14ac:dyDescent="0.25">
      <c r="B32" s="514"/>
      <c r="C32" s="514"/>
      <c r="D32" s="514"/>
      <c r="E32" s="514"/>
      <c r="F32" s="514"/>
      <c r="G32" s="514"/>
      <c r="H32" s="514"/>
      <c r="I32" s="514"/>
      <c r="J32" s="74"/>
      <c r="M32" s="364"/>
      <c r="N32" s="453"/>
      <c r="O32" s="32">
        <v>2</v>
      </c>
      <c r="P32" s="32">
        <v>2</v>
      </c>
      <c r="Q32" s="32">
        <v>4</v>
      </c>
      <c r="R32" s="53"/>
      <c r="U32" s="457" t="str">
        <f>CONCATENATE($P$39," - ",$AC$8)</f>
        <v>&gt;60 - baixo</v>
      </c>
      <c r="V32" s="457"/>
      <c r="W32" s="25"/>
      <c r="AE32" s="75" t="s">
        <v>529</v>
      </c>
      <c r="AF32" s="75" t="s">
        <v>68</v>
      </c>
      <c r="AG32" s="75" t="str">
        <f t="shared" si="4"/>
        <v>20-40 - baixo</v>
      </c>
      <c r="AH32" s="75">
        <v>80000</v>
      </c>
      <c r="AJ32" s="75" t="s">
        <v>529</v>
      </c>
      <c r="AK32" s="75" t="s">
        <v>68</v>
      </c>
      <c r="AL32" s="75" t="str">
        <f t="shared" si="5"/>
        <v>20-40 - baixo</v>
      </c>
      <c r="AM32" s="75">
        <v>300000</v>
      </c>
      <c r="AO32" s="47"/>
      <c r="AP32" s="447"/>
      <c r="AQ32" s="447" t="str">
        <f t="shared" si="10"/>
        <v>EkoSil</v>
      </c>
      <c r="AR32" s="447"/>
      <c r="AS32" s="55">
        <f t="shared" si="6"/>
        <v>3.6310344827586205E-4</v>
      </c>
      <c r="AT32" s="55">
        <f t="shared" si="7"/>
        <v>3.6310344827586205E-4</v>
      </c>
      <c r="AU32" s="55">
        <f t="shared" si="8"/>
        <v>6.9827586206896563E-4</v>
      </c>
      <c r="AV32" s="55">
        <f t="shared" si="9"/>
        <v>7.8206896551724154E-5</v>
      </c>
      <c r="AW32" s="47"/>
      <c r="AX32" s="47"/>
      <c r="AY32" s="47"/>
      <c r="AZ32" s="47"/>
      <c r="BA32" s="47"/>
      <c r="BB32" s="47"/>
    </row>
    <row r="33" spans="2:57" ht="20.25" customHeight="1" thickBot="1" x14ac:dyDescent="0.3">
      <c r="B33" s="515"/>
      <c r="C33" s="515"/>
      <c r="D33" s="515"/>
      <c r="E33" s="515"/>
      <c r="F33" s="515"/>
      <c r="G33" s="515"/>
      <c r="H33" s="515"/>
      <c r="I33" s="515"/>
      <c r="J33" s="74"/>
      <c r="M33" s="364"/>
      <c r="N33" s="453"/>
      <c r="O33" s="473" t="s">
        <v>282</v>
      </c>
      <c r="P33" s="474"/>
      <c r="Q33" s="475"/>
      <c r="R33" s="53"/>
      <c r="W33" s="25"/>
      <c r="AE33" s="75" t="s">
        <v>529</v>
      </c>
      <c r="AF33" s="75" t="s">
        <v>70</v>
      </c>
      <c r="AG33" s="75" t="str">
        <f t="shared" si="4"/>
        <v>20-40 - adequado</v>
      </c>
      <c r="AH33" s="75">
        <v>50000</v>
      </c>
      <c r="AJ33" s="75" t="s">
        <v>529</v>
      </c>
      <c r="AK33" s="75" t="s">
        <v>70</v>
      </c>
      <c r="AL33" s="75" t="str">
        <f t="shared" si="5"/>
        <v>20-40 - adequado</v>
      </c>
      <c r="AM33" s="75">
        <v>150000</v>
      </c>
      <c r="AO33" s="47"/>
      <c r="AP33" s="447"/>
      <c r="AQ33" s="447" t="str">
        <f t="shared" si="10"/>
        <v>-</v>
      </c>
      <c r="AR33" s="447"/>
      <c r="AS33" s="55">
        <f t="shared" si="6"/>
        <v>0</v>
      </c>
      <c r="AT33" s="55">
        <f t="shared" si="7"/>
        <v>0</v>
      </c>
      <c r="AU33" s="55">
        <f t="shared" si="8"/>
        <v>0</v>
      </c>
      <c r="AV33" s="55">
        <f t="shared" si="9"/>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364"/>
      <c r="N34" s="453"/>
      <c r="O34" s="448">
        <v>1</v>
      </c>
      <c r="P34" s="448"/>
      <c r="Q34" s="448"/>
      <c r="R34" s="53"/>
      <c r="U34" s="457" t="s">
        <v>73</v>
      </c>
      <c r="V34" s="457"/>
      <c r="W34" s="25"/>
      <c r="AE34" s="75" t="s">
        <v>529</v>
      </c>
      <c r="AF34" s="75" t="s">
        <v>331</v>
      </c>
      <c r="AG34" s="75" t="str">
        <f t="shared" si="4"/>
        <v>20-40 - alto</v>
      </c>
      <c r="AH34" s="75">
        <v>0</v>
      </c>
      <c r="AJ34" s="75" t="s">
        <v>529</v>
      </c>
      <c r="AK34" s="75" t="s">
        <v>331</v>
      </c>
      <c r="AL34" s="75" t="str">
        <f t="shared" si="5"/>
        <v>20-40 - alto</v>
      </c>
      <c r="AM34" s="75">
        <v>0</v>
      </c>
      <c r="AO34" s="47"/>
      <c r="AP34" s="447"/>
      <c r="AQ34" s="447" t="str">
        <f t="shared" si="10"/>
        <v>Nitrato de Amônio</v>
      </c>
      <c r="AR34" s="447"/>
      <c r="AS34" s="55">
        <f t="shared" si="6"/>
        <v>0</v>
      </c>
      <c r="AT34" s="55">
        <f t="shared" si="7"/>
        <v>0</v>
      </c>
      <c r="AU34" s="55">
        <f t="shared" si="8"/>
        <v>0</v>
      </c>
      <c r="AV34" s="55">
        <f t="shared" si="9"/>
        <v>0</v>
      </c>
      <c r="AW34" s="47"/>
      <c r="AX34" s="47"/>
      <c r="AY34" s="47"/>
      <c r="AZ34" s="47"/>
      <c r="BA34" s="47"/>
      <c r="BB34" s="47"/>
    </row>
    <row r="35" spans="2:57" ht="20.25" customHeight="1" thickBot="1" x14ac:dyDescent="0.3">
      <c r="B35" s="488" t="str">
        <f>IF($O$55&gt;0,$O$55,"-")</f>
        <v>Gesso Agronelli</v>
      </c>
      <c r="C35" s="488"/>
      <c r="D35" s="73">
        <f>IF(J34&gt;0,J34,"-")</f>
        <v>356.25</v>
      </c>
      <c r="E35" s="365" t="str">
        <f>IF(J34&gt;0,"quilos por hectare ou,","-")</f>
        <v>quilos por hectare ou,</v>
      </c>
      <c r="F35" s="365"/>
      <c r="G35" s="365"/>
      <c r="H35" s="365"/>
      <c r="I35" s="365"/>
      <c r="J35" s="81">
        <f>J34/10</f>
        <v>35.625</v>
      </c>
      <c r="M35" s="69"/>
      <c r="N35" s="70"/>
      <c r="O35" s="70"/>
      <c r="P35" s="83" t="e">
        <f>10000/($O$30*$Q$30)</f>
        <v>#DIV/0!</v>
      </c>
      <c r="Q35" s="83">
        <f>10000/(((P32+Q32)/2)*O32)</f>
        <v>1666.6666666666667</v>
      </c>
      <c r="R35" s="71"/>
      <c r="U35" s="457" t="str">
        <f>CONCATENATE($P$39," - ",$W$17)</f>
        <v>&gt;60 - muito baixo</v>
      </c>
      <c r="V35" s="457"/>
      <c r="W35" s="25"/>
      <c r="AE35" s="75" t="s">
        <v>530</v>
      </c>
      <c r="AF35" s="75" t="s">
        <v>504</v>
      </c>
      <c r="AG35" s="75" t="str">
        <f t="shared" si="4"/>
        <v>40-60 - muito baixo</v>
      </c>
      <c r="AH35" s="75">
        <v>120000</v>
      </c>
      <c r="AJ35" s="75" t="s">
        <v>530</v>
      </c>
      <c r="AK35" s="75" t="s">
        <v>504</v>
      </c>
      <c r="AL35" s="75" t="str">
        <f t="shared" si="5"/>
        <v>40-60 - muito baixo</v>
      </c>
      <c r="AM35" s="75">
        <v>600000</v>
      </c>
      <c r="AO35" s="47"/>
      <c r="AP35" s="447"/>
      <c r="AQ35" s="447" t="str">
        <f t="shared" si="10"/>
        <v>-</v>
      </c>
      <c r="AR35" s="447"/>
      <c r="AS35" s="55">
        <f t="shared" si="6"/>
        <v>0</v>
      </c>
      <c r="AT35" s="55">
        <f t="shared" si="7"/>
        <v>0</v>
      </c>
      <c r="AU35" s="55">
        <f t="shared" si="8"/>
        <v>0</v>
      </c>
      <c r="AV35" s="55">
        <f t="shared" si="9"/>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25"/>
      <c r="V36" s="25"/>
      <c r="W36" s="25"/>
      <c r="AE36" s="75" t="s">
        <v>530</v>
      </c>
      <c r="AF36" s="75" t="s">
        <v>68</v>
      </c>
      <c r="AG36" s="75" t="str">
        <f t="shared" si="4"/>
        <v>40-60 - baixo</v>
      </c>
      <c r="AH36" s="75">
        <v>10000</v>
      </c>
      <c r="AJ36" s="75" t="s">
        <v>530</v>
      </c>
      <c r="AK36" s="75" t="s">
        <v>68</v>
      </c>
      <c r="AL36" s="75" t="str">
        <f t="shared" si="5"/>
        <v>40-60 - baixo</v>
      </c>
      <c r="AM36" s="75">
        <v>400000</v>
      </c>
      <c r="AO36" s="47"/>
      <c r="AP36" s="447"/>
      <c r="AQ36" s="447" t="str">
        <f t="shared" si="10"/>
        <v>-</v>
      </c>
      <c r="AR36" s="447"/>
      <c r="AS36" s="55">
        <f t="shared" si="6"/>
        <v>0</v>
      </c>
      <c r="AT36" s="55">
        <f t="shared" si="7"/>
        <v>0</v>
      </c>
      <c r="AU36" s="55">
        <f t="shared" si="8"/>
        <v>0</v>
      </c>
      <c r="AV36" s="55">
        <f t="shared" si="9"/>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AE37" s="75" t="s">
        <v>530</v>
      </c>
      <c r="AF37" s="75" t="s">
        <v>70</v>
      </c>
      <c r="AG37" s="75" t="str">
        <f t="shared" si="4"/>
        <v>40-60 - adequado</v>
      </c>
      <c r="AH37" s="75">
        <v>70000</v>
      </c>
      <c r="AJ37" s="75" t="s">
        <v>530</v>
      </c>
      <c r="AK37" s="75" t="s">
        <v>70</v>
      </c>
      <c r="AL37" s="75" t="str">
        <f t="shared" si="5"/>
        <v>40-60 - adequado</v>
      </c>
      <c r="AM37" s="75">
        <v>200000</v>
      </c>
      <c r="AO37" s="85"/>
      <c r="AP37" s="85"/>
      <c r="AQ37" s="85"/>
      <c r="AR37" s="85"/>
      <c r="AS37" s="59">
        <f>IF(AS24&gt;0,AS24,0)</f>
        <v>1.1996368965517241</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301</v>
      </c>
      <c r="P38" s="489"/>
      <c r="Q38" s="489"/>
      <c r="R38" s="53"/>
      <c r="U38" s="51" t="s">
        <v>63</v>
      </c>
      <c r="AE38" s="75" t="s">
        <v>530</v>
      </c>
      <c r="AF38" s="75" t="s">
        <v>331</v>
      </c>
      <c r="AG38" s="75" t="str">
        <f t="shared" si="4"/>
        <v>40-60 - alto</v>
      </c>
      <c r="AH38" s="75">
        <v>0</v>
      </c>
      <c r="AJ38" s="75" t="s">
        <v>530</v>
      </c>
      <c r="AK38" s="75" t="s">
        <v>331</v>
      </c>
      <c r="AL38" s="75" t="str">
        <f t="shared" si="5"/>
        <v>40-60 - alto</v>
      </c>
      <c r="AM38" s="75">
        <v>0</v>
      </c>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205.71428571428572</v>
      </c>
      <c r="M39" s="364"/>
      <c r="N39" s="365"/>
      <c r="O39" s="51" t="s">
        <v>303</v>
      </c>
      <c r="P39" s="448" t="s">
        <v>531</v>
      </c>
      <c r="Q39" s="448"/>
      <c r="R39" s="53"/>
      <c r="U39" s="51" t="s">
        <v>32</v>
      </c>
      <c r="AE39" s="75" t="s">
        <v>531</v>
      </c>
      <c r="AF39" s="75" t="s">
        <v>504</v>
      </c>
      <c r="AG39" s="75" t="str">
        <f t="shared" si="4"/>
        <v>&gt;60 - muito baixo</v>
      </c>
      <c r="AH39" s="75">
        <v>160000</v>
      </c>
      <c r="AJ39" s="75" t="s">
        <v>531</v>
      </c>
      <c r="AK39" s="75" t="s">
        <v>504</v>
      </c>
      <c r="AL39" s="75" t="str">
        <f t="shared" si="5"/>
        <v>&gt;60 - muito baixo</v>
      </c>
      <c r="AM39" s="75">
        <v>750000</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t="str">
        <f>IF(AQ59&gt;0,AQ59,"-")</f>
        <v>-</v>
      </c>
      <c r="E40" s="362" t="str">
        <f>IF(AQ59&gt;0,"quilos por cova ou planta","-")</f>
        <v>-</v>
      </c>
      <c r="F40" s="362"/>
      <c r="G40" s="362"/>
      <c r="H40" s="362"/>
      <c r="I40" s="362"/>
      <c r="J40" s="81">
        <f>AV7</f>
        <v>200</v>
      </c>
      <c r="M40" s="364"/>
      <c r="N40" s="365"/>
      <c r="O40" s="25"/>
      <c r="P40" s="25"/>
      <c r="Q40" s="25"/>
      <c r="R40" s="53"/>
      <c r="U40" s="51" t="s">
        <v>34</v>
      </c>
      <c r="AE40" s="75" t="s">
        <v>531</v>
      </c>
      <c r="AF40" s="75" t="s">
        <v>68</v>
      </c>
      <c r="AG40" s="75" t="str">
        <f t="shared" si="4"/>
        <v>&gt;60 - baixo</v>
      </c>
      <c r="AH40" s="75">
        <v>120000</v>
      </c>
      <c r="AJ40" s="75" t="s">
        <v>531</v>
      </c>
      <c r="AK40" s="75" t="s">
        <v>68</v>
      </c>
      <c r="AL40" s="75" t="str">
        <f t="shared" si="5"/>
        <v>&gt;60 - baixo</v>
      </c>
      <c r="AM40" s="75">
        <v>500000</v>
      </c>
      <c r="AO40" s="47"/>
      <c r="AP40" s="447" t="str">
        <f>O105</f>
        <v>Ácido Bórico</v>
      </c>
      <c r="AQ40" s="447"/>
      <c r="AR40" s="55">
        <f>IFERROR($AS$37/((VLOOKUP(AP40,$V$100:$AO$179,11,0)*0.01)),0)</f>
        <v>6.8550679802955656</v>
      </c>
      <c r="AS40" s="55">
        <f>IFERROR($AT$37/((VLOOKUP(AP40,$V$100:$AO$179,14,0)*0.01)),0)</f>
        <v>0</v>
      </c>
      <c r="AT40" s="55">
        <f>IFERROR($AU$37/((VLOOKUP(AP40,$V$100:$AO$179,12,0)*0.01)),0)</f>
        <v>0</v>
      </c>
      <c r="AU40" s="55">
        <f>IFERROR($AV$37/((VLOOKUP(AP40,$V$100:$AO$179,13,0)*0.01)),0)</f>
        <v>0</v>
      </c>
      <c r="AV40" s="55">
        <f>MAX(AR40:AU40)</f>
        <v>6.8550679802955656</v>
      </c>
      <c r="AW40" s="55">
        <f>IFERROR(AV40*(VLOOKUP(AP40,$V$100:$AO$179,11,0)*0.01),0)</f>
        <v>1.1996368965517241</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f t="shared" ref="D41:D49" si="11">IF(J39&gt;0,J39,"-")</f>
        <v>205.71428571428572</v>
      </c>
      <c r="E41" s="365" t="str">
        <f t="shared" ref="E41:E49" si="12">IF(J39&gt;0,"gramas por planta","-")</f>
        <v>gramas por planta</v>
      </c>
      <c r="F41" s="365"/>
      <c r="G41" s="365"/>
      <c r="H41" s="365"/>
      <c r="I41" s="365"/>
      <c r="J41" s="81">
        <f>AV8</f>
        <v>0</v>
      </c>
      <c r="M41" s="364"/>
      <c r="N41" s="365"/>
      <c r="O41" s="489" t="s">
        <v>308</v>
      </c>
      <c r="P41" s="489"/>
      <c r="Q41" s="489"/>
      <c r="R41" s="53"/>
      <c r="U41" s="51">
        <v>30</v>
      </c>
      <c r="AE41" s="75" t="s">
        <v>531</v>
      </c>
      <c r="AF41" s="75" t="s">
        <v>70</v>
      </c>
      <c r="AG41" s="75" t="str">
        <f t="shared" si="4"/>
        <v>&gt;60 - adequado</v>
      </c>
      <c r="AH41" s="75">
        <v>80000</v>
      </c>
      <c r="AJ41" s="75" t="s">
        <v>531</v>
      </c>
      <c r="AK41" s="75" t="s">
        <v>70</v>
      </c>
      <c r="AL41" s="75" t="str">
        <f t="shared" si="5"/>
        <v>&gt;60 - adequado</v>
      </c>
      <c r="AM41" s="75">
        <v>250000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3">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f t="shared" si="11"/>
        <v>200</v>
      </c>
      <c r="E42" s="365" t="str">
        <f t="shared" si="12"/>
        <v>gramas por planta</v>
      </c>
      <c r="F42" s="365"/>
      <c r="G42" s="365"/>
      <c r="H42" s="365"/>
      <c r="I42" s="365"/>
      <c r="J42" s="81">
        <f>AV12</f>
        <v>375</v>
      </c>
      <c r="M42" s="364"/>
      <c r="N42" s="365"/>
      <c r="O42" s="483" t="s">
        <v>292</v>
      </c>
      <c r="P42" s="513"/>
      <c r="Q42" s="484"/>
      <c r="R42" s="53"/>
      <c r="U42" s="51">
        <v>60</v>
      </c>
      <c r="AE42" s="75" t="s">
        <v>531</v>
      </c>
      <c r="AF42" s="75" t="s">
        <v>331</v>
      </c>
      <c r="AG42" s="75" t="str">
        <f t="shared" si="4"/>
        <v>&gt;60 - alto</v>
      </c>
      <c r="AH42" s="75">
        <v>0</v>
      </c>
      <c r="AJ42" s="75" t="s">
        <v>531</v>
      </c>
      <c r="AK42" s="75" t="s">
        <v>331</v>
      </c>
      <c r="AL42" s="75" t="str">
        <f t="shared" si="5"/>
        <v>&gt;60 - alto</v>
      </c>
      <c r="AM42" s="75">
        <v>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3"/>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1"/>
        <v>-</v>
      </c>
      <c r="E43" s="365" t="str">
        <f t="shared" si="12"/>
        <v>-</v>
      </c>
      <c r="F43" s="365"/>
      <c r="G43" s="365"/>
      <c r="H43" s="365"/>
      <c r="I43" s="365"/>
      <c r="J43" s="81">
        <f>AV13</f>
        <v>2812.5</v>
      </c>
      <c r="M43" s="69"/>
      <c r="N43" s="70"/>
      <c r="O43" s="70"/>
      <c r="P43" s="70"/>
      <c r="Q43" s="70"/>
      <c r="R43" s="71"/>
      <c r="U43" s="51">
        <v>120</v>
      </c>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3"/>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1"/>
        <v>375</v>
      </c>
      <c r="E44" s="365" t="str">
        <f t="shared" si="12"/>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1"/>
        <v>2812.5</v>
      </c>
      <c r="E45" s="365" t="str">
        <f t="shared" si="12"/>
        <v>gramas por planta</v>
      </c>
      <c r="F45" s="365"/>
      <c r="G45" s="365"/>
      <c r="H45" s="365"/>
      <c r="I45" s="365"/>
      <c r="J45" s="81">
        <f>AV18</f>
        <v>558.62068965517244</v>
      </c>
      <c r="M45" s="48"/>
      <c r="N45" s="49"/>
      <c r="O45" s="499" t="s">
        <v>305</v>
      </c>
      <c r="P45" s="500"/>
      <c r="Q45" s="501"/>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1"/>
        <v>-</v>
      </c>
      <c r="E46" s="365" t="str">
        <f t="shared" si="12"/>
        <v>-</v>
      </c>
      <c r="F46" s="365"/>
      <c r="G46" s="365"/>
      <c r="H46" s="365"/>
      <c r="I46" s="365"/>
      <c r="J46" s="81">
        <f>AV19</f>
        <v>0</v>
      </c>
      <c r="M46" s="364" t="s">
        <v>213</v>
      </c>
      <c r="N46" s="365"/>
      <c r="O46" s="502"/>
      <c r="P46" s="503"/>
      <c r="Q46" s="504"/>
      <c r="R46" s="53"/>
      <c r="U46" s="75" t="s">
        <v>109</v>
      </c>
      <c r="V46" s="89">
        <v>70</v>
      </c>
      <c r="X46" s="455" t="s">
        <v>268</v>
      </c>
      <c r="Y46" s="455"/>
      <c r="Z46" s="63">
        <f>IFERROR(VLOOKUP(O50,$V$87:$AE$95,10,0),0)</f>
        <v>22.778167994795901</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1"/>
        <v>558.62068965517244</v>
      </c>
      <c r="E47" s="365" t="str">
        <f t="shared" si="12"/>
        <v>gramas por planta</v>
      </c>
      <c r="F47" s="365"/>
      <c r="G47" s="365"/>
      <c r="H47" s="365"/>
      <c r="I47" s="365"/>
      <c r="J47" s="81">
        <f>AV20</f>
        <v>0</v>
      </c>
      <c r="M47" s="364"/>
      <c r="N47" s="365"/>
      <c r="O47" s="481" t="s">
        <v>139</v>
      </c>
      <c r="P47" s="482"/>
      <c r="Q47" s="90">
        <v>0.5</v>
      </c>
      <c r="R47" s="53"/>
      <c r="U47" s="51" t="s">
        <v>111</v>
      </c>
      <c r="V47" s="63">
        <f>IFERROR((((V46-P24)*P25)/V49),0)</f>
        <v>1.0169491525423733</v>
      </c>
      <c r="X47" s="455" t="s">
        <v>203</v>
      </c>
      <c r="Y47" s="455"/>
      <c r="Z47" s="63">
        <f>IFERROR((($V$50/$Z$46)*$V$47),0)</f>
        <v>1.9644144657326013</v>
      </c>
      <c r="AO47" s="47"/>
      <c r="BA47" s="47"/>
      <c r="BB47" s="47"/>
    </row>
    <row r="48" spans="2:57" ht="20.25" customHeight="1" x14ac:dyDescent="0.25">
      <c r="B48" s="449" t="str">
        <f>IF(AQ19&gt;0,AQ19,"-")</f>
        <v>-</v>
      </c>
      <c r="C48" s="449"/>
      <c r="D48" s="87" t="str">
        <f t="shared" si="11"/>
        <v>-</v>
      </c>
      <c r="E48" s="365" t="str">
        <f t="shared" si="12"/>
        <v>-</v>
      </c>
      <c r="F48" s="365"/>
      <c r="G48" s="365"/>
      <c r="H48" s="365"/>
      <c r="I48" s="365"/>
      <c r="J48" s="91"/>
      <c r="M48" s="364"/>
      <c r="N48" s="365"/>
      <c r="O48" s="505" t="s">
        <v>306</v>
      </c>
      <c r="P48" s="506"/>
      <c r="Q48" s="507"/>
      <c r="R48" s="53"/>
      <c r="U48" s="51" t="s">
        <v>201</v>
      </c>
      <c r="V48" s="63">
        <f>IF(V47&lt;0,(0),IF(V47&gt;=0,(V47)))</f>
        <v>1.0169491525423733</v>
      </c>
      <c r="X48" s="455" t="s">
        <v>201</v>
      </c>
      <c r="Y48" s="455"/>
      <c r="Z48" s="63">
        <f>IFERROR(IF(Z47&lt;0,(0),IF(Z47&gt;=0,(Z47))),0)</f>
        <v>1.9644144657326013</v>
      </c>
    </row>
    <row r="49" spans="2:50" ht="20.25" customHeight="1" x14ac:dyDescent="0.25">
      <c r="B49" s="449" t="str">
        <f>IF(AQ20&gt;0,AQ20,"-")</f>
        <v>-</v>
      </c>
      <c r="C49" s="449"/>
      <c r="D49" s="87" t="str">
        <f t="shared" si="11"/>
        <v>-</v>
      </c>
      <c r="E49" s="365" t="str">
        <f t="shared" si="12"/>
        <v>-</v>
      </c>
      <c r="F49" s="365"/>
      <c r="G49" s="365"/>
      <c r="H49" s="365"/>
      <c r="I49" s="365"/>
      <c r="M49" s="364"/>
      <c r="N49" s="365"/>
      <c r="O49" s="502"/>
      <c r="P49" s="503"/>
      <c r="Q49" s="504"/>
      <c r="R49" s="53"/>
      <c r="U49" s="51" t="s">
        <v>110</v>
      </c>
      <c r="V49" s="63">
        <f>IFERROR(VLOOKUP($O$47,$V$56:$AA$68,5,0),0)</f>
        <v>80.239999999999995</v>
      </c>
      <c r="X49" s="455" t="s">
        <v>273</v>
      </c>
      <c r="Y49" s="455"/>
      <c r="Z49" s="63">
        <f>Z48*$Q$50</f>
        <v>0.98220723286630063</v>
      </c>
    </row>
    <row r="50" spans="2:50" ht="20.25" customHeight="1" x14ac:dyDescent="0.25">
      <c r="B50" s="476" t="s">
        <v>535</v>
      </c>
      <c r="C50" s="476"/>
      <c r="D50" s="476"/>
      <c r="E50" s="476"/>
      <c r="F50" s="476"/>
      <c r="G50" s="476"/>
      <c r="H50" s="476"/>
      <c r="I50" s="476"/>
      <c r="M50" s="364"/>
      <c r="N50" s="365"/>
      <c r="O50" s="483" t="s">
        <v>493</v>
      </c>
      <c r="P50" s="484"/>
      <c r="Q50" s="92">
        <v>0.5</v>
      </c>
      <c r="R50" s="53"/>
      <c r="U50" s="51" t="s">
        <v>193</v>
      </c>
      <c r="V50" s="63">
        <f>IFERROR(VLOOKUP($O$47,$V$56:$AA$68,6,0),0)</f>
        <v>44</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0.50847457627118664</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4">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4"/>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4"/>
        <v>3 - Composto de lixo (COL)</v>
      </c>
      <c r="AW54" s="51">
        <v>15</v>
      </c>
    </row>
    <row r="55" spans="2:50" ht="20.25" customHeight="1" x14ac:dyDescent="0.25">
      <c r="B55" s="449" t="str">
        <f>IF(AP40&gt;0,AP40,"-")</f>
        <v>Ácido Bórico</v>
      </c>
      <c r="C55" s="449"/>
      <c r="D55" s="87">
        <f>IF(AV40&gt;0,AV40,"-")</f>
        <v>6.8550679802955656</v>
      </c>
      <c r="E55" s="365" t="str">
        <f>IF(AV40&gt;0,"gramas por planta","-")</f>
        <v>gramas por planta</v>
      </c>
      <c r="F55" s="365"/>
      <c r="G55" s="365"/>
      <c r="H55" s="365"/>
      <c r="I55" s="365"/>
      <c r="M55" s="364"/>
      <c r="N55" s="365"/>
      <c r="O55" s="448" t="s">
        <v>188</v>
      </c>
      <c r="P55" s="448"/>
      <c r="Q55" s="448"/>
      <c r="R55" s="53"/>
      <c r="U55" s="344"/>
      <c r="V55" s="344"/>
      <c r="W55" s="344"/>
      <c r="X55" s="95" t="s">
        <v>105</v>
      </c>
      <c r="Y55" s="95" t="s">
        <v>106</v>
      </c>
      <c r="Z55" s="95" t="s">
        <v>107</v>
      </c>
      <c r="AA55" s="95" t="s">
        <v>195</v>
      </c>
      <c r="AP55" s="465"/>
      <c r="AQ55" s="465"/>
      <c r="AS55" s="465"/>
      <c r="AT55" s="51">
        <v>4</v>
      </c>
      <c r="AU55" s="93" t="s">
        <v>286</v>
      </c>
      <c r="AV55" s="93" t="str">
        <f t="shared" si="14"/>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4"/>
        <v>0 - Cama de frango corte</v>
      </c>
      <c r="AW56" s="75">
        <v>4</v>
      </c>
      <c r="AX56" s="25"/>
    </row>
    <row r="57" spans="2:50" ht="20.25" customHeight="1" x14ac:dyDescent="0.25">
      <c r="B57" s="449" t="str">
        <f>IF(AP42&gt;0,AP42,"-")</f>
        <v>Sulfato de zinco</v>
      </c>
      <c r="C57" s="449"/>
      <c r="D57" s="87" t="str">
        <f>IF(AV42&gt;0,AV42,"-")</f>
        <v>-</v>
      </c>
      <c r="E57" s="365" t="str">
        <f t="shared" ref="E57:E59" si="15">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4"/>
        <v>1 - Cama de frango corte</v>
      </c>
      <c r="AW57" s="75">
        <v>1</v>
      </c>
    </row>
    <row r="58" spans="2:50" ht="20.25" customHeight="1" x14ac:dyDescent="0.25">
      <c r="B58" s="449" t="str">
        <f>IF(AP43&gt;0,AP43,"-")</f>
        <v>Sulfato de manganês</v>
      </c>
      <c r="C58" s="449"/>
      <c r="D58" s="87" t="str">
        <f>IF(AV43&gt;0,AV43,"-")</f>
        <v>-</v>
      </c>
      <c r="E58" s="365" t="str">
        <f t="shared" si="15"/>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&gt;60 - Esterco Bovino curtido</v>
      </c>
      <c r="AR58" s="463"/>
      <c r="AS58" s="25"/>
      <c r="AT58" s="75">
        <v>2</v>
      </c>
      <c r="AU58" s="97" t="s">
        <v>293</v>
      </c>
      <c r="AV58" s="97" t="str">
        <f t="shared" si="14"/>
        <v>2 - Cama de frango corte</v>
      </c>
      <c r="AW58" s="75">
        <v>3</v>
      </c>
    </row>
    <row r="59" spans="2:50" ht="20.25" customHeight="1" x14ac:dyDescent="0.25">
      <c r="B59" s="449" t="str">
        <f>IF(AP44&gt;0,AP44,"-")</f>
        <v>-</v>
      </c>
      <c r="C59" s="449"/>
      <c r="D59" s="87" t="str">
        <f>IF(AV44&gt;0,AV44,"-")</f>
        <v>-</v>
      </c>
      <c r="E59" s="365" t="str">
        <f t="shared" si="15"/>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0</v>
      </c>
      <c r="AR59" s="456"/>
      <c r="AS59" s="25"/>
      <c r="AT59" s="75">
        <v>3</v>
      </c>
      <c r="AU59" s="97" t="s">
        <v>293</v>
      </c>
      <c r="AV59" s="97" t="str">
        <f t="shared" si="14"/>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4"/>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4"/>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4"/>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4"/>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4"/>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4"/>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4"/>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4"/>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4"/>
        <v>2 - Esterco Bovino curtido</v>
      </c>
      <c r="AW68" s="75">
        <v>7</v>
      </c>
    </row>
    <row r="69" spans="2:49" ht="20.25" customHeight="1" thickBot="1" x14ac:dyDescent="0.3">
      <c r="M69" s="69"/>
      <c r="N69" s="70"/>
      <c r="O69" s="70"/>
      <c r="P69" s="70"/>
      <c r="Q69" s="70"/>
      <c r="R69" s="71"/>
      <c r="AT69" s="75">
        <v>3</v>
      </c>
      <c r="AU69" s="97" t="s">
        <v>292</v>
      </c>
      <c r="AV69" s="97" t="str">
        <f t="shared" si="14"/>
        <v>3 - Esterco Bovino curtido</v>
      </c>
      <c r="AW69" s="75">
        <v>12</v>
      </c>
    </row>
    <row r="70" spans="2:49" ht="20.25" customHeight="1" thickBot="1" x14ac:dyDescent="0.3">
      <c r="AT70" s="75">
        <v>4</v>
      </c>
      <c r="AU70" s="97" t="s">
        <v>292</v>
      </c>
      <c r="AV70" s="97" t="str">
        <f t="shared" si="14"/>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4"/>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4"/>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4"/>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4"/>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4"/>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4"/>
        <v>0 - Esterco de suínos</v>
      </c>
      <c r="AW76" s="75">
        <v>10</v>
      </c>
    </row>
    <row r="77" spans="2:49" ht="20.2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4"/>
        <v>1 - Esterco de suínos</v>
      </c>
      <c r="AW77" s="75">
        <v>4</v>
      </c>
    </row>
    <row r="78" spans="2:49" ht="20.2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4"/>
        <v>2 - Esterco de suínos</v>
      </c>
      <c r="AW78" s="75">
        <v>6</v>
      </c>
    </row>
    <row r="79" spans="2:49" ht="20.2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4"/>
        <v>3 - Esterco de suínos</v>
      </c>
      <c r="AW79" s="75">
        <v>10</v>
      </c>
    </row>
    <row r="80" spans="2:49" ht="20.2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4"/>
        <v>4 - Esterco de suínos</v>
      </c>
      <c r="AW80" s="75">
        <v>4</v>
      </c>
    </row>
    <row r="81" spans="13:49" ht="20.2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4"/>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4"/>
        <v>1 - Esterco de ovinos</v>
      </c>
      <c r="AW82" s="51">
        <v>4</v>
      </c>
    </row>
    <row r="83" spans="13:49" ht="20.25" customHeight="1" x14ac:dyDescent="0.25">
      <c r="M83" s="364"/>
      <c r="N83" s="365"/>
      <c r="O83" s="448" t="s">
        <v>116</v>
      </c>
      <c r="P83" s="448"/>
      <c r="Q83" s="92">
        <v>0.5</v>
      </c>
      <c r="R83" s="53"/>
      <c r="AT83" s="51">
        <v>2</v>
      </c>
      <c r="AU83" s="93" t="s">
        <v>288</v>
      </c>
      <c r="AV83" s="93" t="str">
        <f t="shared" si="14"/>
        <v>2 - Esterco de ovinos</v>
      </c>
      <c r="AW83" s="51">
        <v>6</v>
      </c>
    </row>
    <row r="84" spans="13:49" ht="20.25" customHeight="1" x14ac:dyDescent="0.25">
      <c r="M84" s="364"/>
      <c r="N84" s="365"/>
      <c r="O84" s="448"/>
      <c r="P84" s="448"/>
      <c r="Q84" s="92"/>
      <c r="R84" s="53"/>
      <c r="AT84" s="51">
        <v>3</v>
      </c>
      <c r="AU84" s="93" t="s">
        <v>288</v>
      </c>
      <c r="AV84" s="93" t="str">
        <f t="shared" si="14"/>
        <v>3 - Esterco de ovinos</v>
      </c>
      <c r="AW84" s="51">
        <v>10</v>
      </c>
    </row>
    <row r="85" spans="13:49" ht="20.2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T85" s="51">
        <v>4</v>
      </c>
      <c r="AU85" s="93" t="s">
        <v>288</v>
      </c>
      <c r="AV85" s="93" t="str">
        <f t="shared" si="14"/>
        <v>4 - Esterco de ovinos</v>
      </c>
      <c r="AW85" s="51">
        <v>4</v>
      </c>
    </row>
    <row r="86" spans="13:49" ht="20.2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4"/>
        <v>0 - Lodo de esgosto</v>
      </c>
      <c r="AW86" s="75">
        <v>15</v>
      </c>
    </row>
    <row r="87" spans="13:49" ht="20.2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6">Y160</f>
        <v>8.7999999999999995E-2</v>
      </c>
      <c r="Z87" s="99">
        <f t="shared" si="16"/>
        <v>0.2</v>
      </c>
      <c r="AA87" s="99">
        <f t="shared" si="16"/>
        <v>2.83</v>
      </c>
      <c r="AB87" s="99">
        <f t="shared" si="16"/>
        <v>3.4</v>
      </c>
      <c r="AC87" s="100">
        <f>AC160*0.602</f>
        <v>1.5155244755244754</v>
      </c>
      <c r="AD87" s="100">
        <f>AD160*0.715</f>
        <v>5.4634551495016606</v>
      </c>
      <c r="AE87" s="100">
        <f t="shared" ref="AE87:AE95" si="17">AB87+AC87+AD87</f>
        <v>10.378979625026137</v>
      </c>
      <c r="AT87" s="75">
        <v>1</v>
      </c>
      <c r="AU87" s="97" t="s">
        <v>289</v>
      </c>
      <c r="AV87" s="97" t="str">
        <f t="shared" si="14"/>
        <v>1 - Lodo de esgosto</v>
      </c>
      <c r="AW87" s="75">
        <v>10</v>
      </c>
    </row>
    <row r="88" spans="13:49" ht="20.25" customHeight="1" x14ac:dyDescent="0.25">
      <c r="M88" s="364"/>
      <c r="N88" s="365"/>
      <c r="O88" s="450" t="s">
        <v>254</v>
      </c>
      <c r="P88" s="451"/>
      <c r="Q88" s="452"/>
      <c r="R88" s="53"/>
      <c r="U88" s="466"/>
      <c r="V88" s="99" t="str">
        <f t="shared" ref="V88:W95" si="18">V161</f>
        <v>Kamafugito</v>
      </c>
      <c r="W88" s="99">
        <f t="shared" si="18"/>
        <v>0</v>
      </c>
      <c r="X88" s="99">
        <f t="shared" ref="X88:X95" si="19">AL161</f>
        <v>0</v>
      </c>
      <c r="Y88" s="99">
        <f t="shared" si="16"/>
        <v>1.5069999999999999</v>
      </c>
      <c r="Z88" s="99">
        <f t="shared" si="16"/>
        <v>3.5</v>
      </c>
      <c r="AA88" s="99">
        <f t="shared" si="16"/>
        <v>3.3250000000000002</v>
      </c>
      <c r="AB88" s="99">
        <f t="shared" si="16"/>
        <v>4</v>
      </c>
      <c r="AC88" s="100">
        <f t="shared" ref="AC88:AC95" si="20">AC161*0.602</f>
        <v>1.7217199999999999</v>
      </c>
      <c r="AD88" s="100">
        <f t="shared" ref="AD88:AD95" si="21">AD161*0.715</f>
        <v>0</v>
      </c>
      <c r="AE88" s="100">
        <f t="shared" si="17"/>
        <v>5.7217199999999995</v>
      </c>
      <c r="AT88" s="75">
        <v>2</v>
      </c>
      <c r="AU88" s="97" t="s">
        <v>289</v>
      </c>
      <c r="AV88" s="97" t="str">
        <f t="shared" si="14"/>
        <v>2 - Lodo de esgosto</v>
      </c>
      <c r="AW88" s="75">
        <v>5</v>
      </c>
    </row>
    <row r="89" spans="13:49" ht="20.25" customHeight="1" x14ac:dyDescent="0.25">
      <c r="M89" s="364"/>
      <c r="N89" s="365"/>
      <c r="O89" s="450" t="s">
        <v>251</v>
      </c>
      <c r="P89" s="451"/>
      <c r="Q89" s="452"/>
      <c r="R89" s="53"/>
      <c r="U89" s="466"/>
      <c r="V89" s="99" t="str">
        <f t="shared" si="18"/>
        <v>Micaxisto (61) 3233-9368</v>
      </c>
      <c r="W89" s="99">
        <f t="shared" si="18"/>
        <v>0</v>
      </c>
      <c r="X89" s="99">
        <f t="shared" si="19"/>
        <v>0</v>
      </c>
      <c r="Y89" s="99">
        <f t="shared" si="16"/>
        <v>4.4999999999999998E-2</v>
      </c>
      <c r="Z89" s="99">
        <f t="shared" si="16"/>
        <v>0.1</v>
      </c>
      <c r="AA89" s="99">
        <f t="shared" si="16"/>
        <v>4.32</v>
      </c>
      <c r="AB89" s="99">
        <f t="shared" si="16"/>
        <v>5.2</v>
      </c>
      <c r="AC89" s="100">
        <f t="shared" si="20"/>
        <v>0.75776223776223772</v>
      </c>
      <c r="AD89" s="100">
        <f t="shared" si="21"/>
        <v>0.83139534883720934</v>
      </c>
      <c r="AE89" s="100">
        <f t="shared" si="17"/>
        <v>6.7891575865994476</v>
      </c>
      <c r="AT89" s="75">
        <v>3</v>
      </c>
      <c r="AU89" s="97" t="s">
        <v>289</v>
      </c>
      <c r="AV89" s="97" t="str">
        <f t="shared" si="14"/>
        <v>3 - Lodo de esgosto</v>
      </c>
      <c r="AW89" s="75">
        <v>15</v>
      </c>
    </row>
    <row r="90" spans="13:49" ht="20.25" customHeight="1" x14ac:dyDescent="0.25">
      <c r="M90" s="364"/>
      <c r="N90" s="365"/>
      <c r="O90" s="448" t="s">
        <v>93</v>
      </c>
      <c r="P90" s="448"/>
      <c r="Q90" s="92">
        <v>1</v>
      </c>
      <c r="R90" s="53"/>
      <c r="U90" s="466"/>
      <c r="V90" s="99" t="str">
        <f t="shared" si="18"/>
        <v xml:space="preserve">Pó de brita Fmx (62) 3924 8565 </v>
      </c>
      <c r="W90" s="99">
        <f t="shared" si="18"/>
        <v>0</v>
      </c>
      <c r="X90" s="99">
        <f t="shared" si="19"/>
        <v>0</v>
      </c>
      <c r="Y90" s="99">
        <f t="shared" si="16"/>
        <v>0</v>
      </c>
      <c r="Z90" s="99">
        <f t="shared" si="16"/>
        <v>0</v>
      </c>
      <c r="AA90" s="99">
        <f t="shared" si="16"/>
        <v>4.99</v>
      </c>
      <c r="AB90" s="99">
        <f t="shared" si="16"/>
        <v>6</v>
      </c>
      <c r="AC90" s="100">
        <f t="shared" si="20"/>
        <v>2.5258741258741257</v>
      </c>
      <c r="AD90" s="100">
        <f t="shared" si="21"/>
        <v>0.59385382059800662</v>
      </c>
      <c r="AE90" s="100">
        <f t="shared" si="17"/>
        <v>9.1197279464721319</v>
      </c>
      <c r="AT90" s="75">
        <v>4</v>
      </c>
      <c r="AU90" s="97" t="s">
        <v>289</v>
      </c>
      <c r="AV90" s="97" t="str">
        <f t="shared" si="14"/>
        <v>4 - Lodo de esgosto</v>
      </c>
      <c r="AW90" s="75">
        <v>10</v>
      </c>
    </row>
    <row r="91" spans="13:49" ht="20.25" customHeight="1" x14ac:dyDescent="0.25">
      <c r="M91" s="364"/>
      <c r="N91" s="365"/>
      <c r="O91" s="448"/>
      <c r="P91" s="448"/>
      <c r="Q91" s="92"/>
      <c r="R91" s="53"/>
      <c r="U91" s="466"/>
      <c r="V91" s="99" t="str">
        <f t="shared" si="18"/>
        <v>Remax Mistel (61) 99414-1975</v>
      </c>
      <c r="W91" s="99">
        <f t="shared" si="18"/>
        <v>0</v>
      </c>
      <c r="X91" s="99">
        <f t="shared" si="19"/>
        <v>43.8</v>
      </c>
      <c r="Y91" s="99">
        <f t="shared" si="16"/>
        <v>4.4999999999999998E-2</v>
      </c>
      <c r="Z91" s="99">
        <f t="shared" si="16"/>
        <v>0.1</v>
      </c>
      <c r="AA91" s="99">
        <f t="shared" si="16"/>
        <v>2.1949999999999998</v>
      </c>
      <c r="AB91" s="99">
        <f t="shared" si="16"/>
        <v>2.6</v>
      </c>
      <c r="AC91" s="100">
        <f t="shared" si="20"/>
        <v>11.282237762237763</v>
      </c>
      <c r="AD91" s="100">
        <f t="shared" si="21"/>
        <v>8.8959302325581397</v>
      </c>
      <c r="AE91" s="100">
        <f t="shared" si="17"/>
        <v>22.778167994795901</v>
      </c>
      <c r="AT91" s="51">
        <v>0</v>
      </c>
      <c r="AU91" s="93" t="s">
        <v>290</v>
      </c>
      <c r="AV91" s="93" t="str">
        <f t="shared" si="14"/>
        <v>0 - Compostos orgânicos</v>
      </c>
      <c r="AW91" s="51">
        <v>6</v>
      </c>
    </row>
    <row r="92" spans="13:49" ht="20.25" customHeight="1" x14ac:dyDescent="0.25">
      <c r="M92" s="364"/>
      <c r="N92" s="365"/>
      <c r="O92" s="448"/>
      <c r="P92" s="448"/>
      <c r="Q92" s="92"/>
      <c r="R92" s="53"/>
      <c r="U92" s="466"/>
      <c r="V92" s="99">
        <f t="shared" si="18"/>
        <v>0</v>
      </c>
      <c r="W92" s="99">
        <f t="shared" si="18"/>
        <v>0</v>
      </c>
      <c r="X92" s="99">
        <f t="shared" si="19"/>
        <v>0</v>
      </c>
      <c r="Y92" s="99">
        <f t="shared" si="16"/>
        <v>0</v>
      </c>
      <c r="Z92" s="99">
        <f t="shared" si="16"/>
        <v>0</v>
      </c>
      <c r="AA92" s="99">
        <f t="shared" si="16"/>
        <v>0</v>
      </c>
      <c r="AB92" s="99">
        <f t="shared" si="16"/>
        <v>0</v>
      </c>
      <c r="AC92" s="100">
        <f t="shared" si="20"/>
        <v>0</v>
      </c>
      <c r="AD92" s="100">
        <f t="shared" si="21"/>
        <v>0</v>
      </c>
      <c r="AE92" s="100">
        <f t="shared" si="17"/>
        <v>0</v>
      </c>
      <c r="AT92" s="51">
        <v>1</v>
      </c>
      <c r="AU92" s="93" t="s">
        <v>290</v>
      </c>
      <c r="AV92" s="93" t="str">
        <f t="shared" si="14"/>
        <v>1 - Compostos orgânicos</v>
      </c>
      <c r="AW92" s="51">
        <v>2</v>
      </c>
    </row>
    <row r="93" spans="13:49" ht="20.25" customHeight="1" x14ac:dyDescent="0.25">
      <c r="M93" s="101"/>
      <c r="N93" s="25"/>
      <c r="O93" s="25"/>
      <c r="P93" s="25"/>
      <c r="Q93" s="25"/>
      <c r="R93" s="53"/>
      <c r="U93" s="466"/>
      <c r="V93" s="99">
        <f t="shared" si="18"/>
        <v>0</v>
      </c>
      <c r="W93" s="99">
        <f t="shared" si="18"/>
        <v>0</v>
      </c>
      <c r="X93" s="99">
        <f t="shared" si="19"/>
        <v>0</v>
      </c>
      <c r="Y93" s="99">
        <f t="shared" si="16"/>
        <v>0</v>
      </c>
      <c r="Z93" s="99">
        <f t="shared" si="16"/>
        <v>0</v>
      </c>
      <c r="AA93" s="99">
        <f t="shared" si="16"/>
        <v>0</v>
      </c>
      <c r="AB93" s="99">
        <f t="shared" si="16"/>
        <v>0</v>
      </c>
      <c r="AC93" s="100">
        <f t="shared" si="20"/>
        <v>0</v>
      </c>
      <c r="AD93" s="100">
        <f t="shared" si="21"/>
        <v>0</v>
      </c>
      <c r="AE93" s="100">
        <f t="shared" si="17"/>
        <v>0</v>
      </c>
      <c r="AT93" s="51">
        <v>2</v>
      </c>
      <c r="AU93" s="93" t="s">
        <v>290</v>
      </c>
      <c r="AV93" s="93" t="str">
        <f t="shared" si="14"/>
        <v>2 - Compostos orgânicos</v>
      </c>
      <c r="AW93" s="51">
        <v>4</v>
      </c>
    </row>
    <row r="94" spans="13:49" ht="20.25" customHeight="1" x14ac:dyDescent="0.25">
      <c r="M94" s="101"/>
      <c r="N94" s="25"/>
      <c r="O94" s="365" t="s">
        <v>264</v>
      </c>
      <c r="P94" s="365"/>
      <c r="Q94" s="365"/>
      <c r="R94" s="53"/>
      <c r="U94" s="466"/>
      <c r="V94" s="99">
        <f t="shared" si="18"/>
        <v>0</v>
      </c>
      <c r="W94" s="99">
        <f t="shared" si="18"/>
        <v>0</v>
      </c>
      <c r="X94" s="99">
        <f t="shared" si="19"/>
        <v>0</v>
      </c>
      <c r="Y94" s="99">
        <f t="shared" si="16"/>
        <v>0</v>
      </c>
      <c r="Z94" s="99">
        <f t="shared" si="16"/>
        <v>0</v>
      </c>
      <c r="AA94" s="99">
        <f t="shared" si="16"/>
        <v>0</v>
      </c>
      <c r="AB94" s="99">
        <f t="shared" si="16"/>
        <v>0</v>
      </c>
      <c r="AC94" s="100">
        <f t="shared" si="20"/>
        <v>0</v>
      </c>
      <c r="AD94" s="100">
        <f t="shared" si="21"/>
        <v>0</v>
      </c>
      <c r="AE94" s="100">
        <f t="shared" si="17"/>
        <v>0</v>
      </c>
      <c r="AT94" s="51">
        <v>3</v>
      </c>
      <c r="AU94" s="93" t="s">
        <v>290</v>
      </c>
      <c r="AV94" s="93" t="str">
        <f t="shared" si="14"/>
        <v>3 - Compostos orgânicos</v>
      </c>
      <c r="AW94" s="51">
        <v>6</v>
      </c>
    </row>
    <row r="95" spans="13:49" ht="20.25" customHeight="1" thickBot="1" x14ac:dyDescent="0.3">
      <c r="M95" s="69"/>
      <c r="N95" s="70"/>
      <c r="O95" s="70"/>
      <c r="P95" s="70"/>
      <c r="Q95" s="70"/>
      <c r="R95" s="71"/>
      <c r="U95" s="466"/>
      <c r="V95" s="99">
        <f t="shared" si="18"/>
        <v>0</v>
      </c>
      <c r="W95" s="99">
        <f t="shared" si="18"/>
        <v>0</v>
      </c>
      <c r="X95" s="99">
        <f t="shared" si="19"/>
        <v>0</v>
      </c>
      <c r="Y95" s="99">
        <f t="shared" si="16"/>
        <v>0</v>
      </c>
      <c r="Z95" s="99">
        <f t="shared" si="16"/>
        <v>0</v>
      </c>
      <c r="AA95" s="99">
        <f t="shared" si="16"/>
        <v>0</v>
      </c>
      <c r="AB95" s="99">
        <f t="shared" si="16"/>
        <v>0</v>
      </c>
      <c r="AC95" s="100">
        <f t="shared" si="20"/>
        <v>0</v>
      </c>
      <c r="AD95" s="100">
        <f t="shared" si="21"/>
        <v>0</v>
      </c>
      <c r="AE95" s="100">
        <f t="shared" si="17"/>
        <v>0</v>
      </c>
      <c r="AT95" s="51">
        <v>4</v>
      </c>
      <c r="AU95" s="93" t="s">
        <v>290</v>
      </c>
      <c r="AV95" s="93" t="str">
        <f t="shared" si="14"/>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$V$26</f>
        <v>162</v>
      </c>
      <c r="P99" s="103">
        <f>$V$27</f>
        <v>72</v>
      </c>
      <c r="Q99" s="103">
        <f>$V$28</f>
        <v>450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1.2</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0">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W85:W86"/>
    <mergeCell ref="X85:AE85"/>
    <mergeCell ref="O86:Q86"/>
    <mergeCell ref="U87:U95"/>
    <mergeCell ref="O88:Q88"/>
    <mergeCell ref="O89:Q89"/>
    <mergeCell ref="O90:P90"/>
    <mergeCell ref="O91:P91"/>
    <mergeCell ref="O92:P92"/>
    <mergeCell ref="O94:Q94"/>
    <mergeCell ref="O81:Q81"/>
    <mergeCell ref="O82:P82"/>
    <mergeCell ref="O83:P83"/>
    <mergeCell ref="O84:P84"/>
    <mergeCell ref="U85:U86"/>
    <mergeCell ref="V85:V86"/>
    <mergeCell ref="X71:Z71"/>
    <mergeCell ref="M72:N92"/>
    <mergeCell ref="O72:Q72"/>
    <mergeCell ref="O73:Q73"/>
    <mergeCell ref="U73:U82"/>
    <mergeCell ref="O74:P74"/>
    <mergeCell ref="O75:P75"/>
    <mergeCell ref="O76:P76"/>
    <mergeCell ref="O78:Q78"/>
    <mergeCell ref="O80:Q80"/>
    <mergeCell ref="F64:I66"/>
    <mergeCell ref="O66:Q67"/>
    <mergeCell ref="B67:E67"/>
    <mergeCell ref="F67:I67"/>
    <mergeCell ref="O68:Q68"/>
    <mergeCell ref="U71:U72"/>
    <mergeCell ref="V71:V72"/>
    <mergeCell ref="W71:W72"/>
    <mergeCell ref="AQ57:AR57"/>
    <mergeCell ref="B58:C58"/>
    <mergeCell ref="E58:I58"/>
    <mergeCell ref="AQ58:AR58"/>
    <mergeCell ref="B59:C59"/>
    <mergeCell ref="E59:I59"/>
    <mergeCell ref="AQ59:AR59"/>
    <mergeCell ref="AP54:AP55"/>
    <mergeCell ref="AQ54:AQ55"/>
    <mergeCell ref="AS54:AS55"/>
    <mergeCell ref="B55:C55"/>
    <mergeCell ref="E55:I55"/>
    <mergeCell ref="O55:Q55"/>
    <mergeCell ref="B50:I53"/>
    <mergeCell ref="O50:P50"/>
    <mergeCell ref="AT50:AW50"/>
    <mergeCell ref="B54:I54"/>
    <mergeCell ref="M54:N68"/>
    <mergeCell ref="O54:Q54"/>
    <mergeCell ref="U54:U55"/>
    <mergeCell ref="V54:V55"/>
    <mergeCell ref="W54:W55"/>
    <mergeCell ref="X54:AA54"/>
    <mergeCell ref="B56:C56"/>
    <mergeCell ref="E56:I56"/>
    <mergeCell ref="O56:Q64"/>
    <mergeCell ref="U56:U68"/>
    <mergeCell ref="B57:C57"/>
    <mergeCell ref="E57:I57"/>
    <mergeCell ref="B60:I63"/>
    <mergeCell ref="B64:E66"/>
    <mergeCell ref="B45:C45"/>
    <mergeCell ref="E45:I45"/>
    <mergeCell ref="O45:Q46"/>
    <mergeCell ref="U45:V45"/>
    <mergeCell ref="X45:Z45"/>
    <mergeCell ref="B46:C46"/>
    <mergeCell ref="E46:I46"/>
    <mergeCell ref="M46:N50"/>
    <mergeCell ref="X46:Y46"/>
    <mergeCell ref="B47:C47"/>
    <mergeCell ref="E47:I47"/>
    <mergeCell ref="O47:P47"/>
    <mergeCell ref="X47:Y47"/>
    <mergeCell ref="B48:C48"/>
    <mergeCell ref="E48:I48"/>
    <mergeCell ref="O48:Q49"/>
    <mergeCell ref="X48:Y48"/>
    <mergeCell ref="B49:C49"/>
    <mergeCell ref="E49:I49"/>
    <mergeCell ref="X49:Y49"/>
    <mergeCell ref="B43:C43"/>
    <mergeCell ref="E43:I43"/>
    <mergeCell ref="AP43:AQ43"/>
    <mergeCell ref="B44:C44"/>
    <mergeCell ref="E44:I44"/>
    <mergeCell ref="M44:R44"/>
    <mergeCell ref="AP44:AQ44"/>
    <mergeCell ref="E41:I41"/>
    <mergeCell ref="O41:Q41"/>
    <mergeCell ref="AP41:AQ41"/>
    <mergeCell ref="B42:C42"/>
    <mergeCell ref="E42:I42"/>
    <mergeCell ref="O42:Q42"/>
    <mergeCell ref="AP42:AQ42"/>
    <mergeCell ref="B37:I38"/>
    <mergeCell ref="M38:N42"/>
    <mergeCell ref="O38:Q38"/>
    <mergeCell ref="B39:I39"/>
    <mergeCell ref="P39:Q39"/>
    <mergeCell ref="AP39:AQ39"/>
    <mergeCell ref="B40:C40"/>
    <mergeCell ref="E40:I40"/>
    <mergeCell ref="AP40:AQ40"/>
    <mergeCell ref="B41:C41"/>
    <mergeCell ref="E36:I36"/>
    <mergeCell ref="M36:R36"/>
    <mergeCell ref="AQ36:AR36"/>
    <mergeCell ref="O33:Q33"/>
    <mergeCell ref="AQ33:AR33"/>
    <mergeCell ref="B34:I34"/>
    <mergeCell ref="O34:Q34"/>
    <mergeCell ref="U34:V34"/>
    <mergeCell ref="AQ34:AR34"/>
    <mergeCell ref="B26:I26"/>
    <mergeCell ref="B27:C28"/>
    <mergeCell ref="E27:I27"/>
    <mergeCell ref="AP27:AP36"/>
    <mergeCell ref="AQ27:AR27"/>
    <mergeCell ref="E28:I28"/>
    <mergeCell ref="AQ28:AR28"/>
    <mergeCell ref="B29:C30"/>
    <mergeCell ref="E29:I29"/>
    <mergeCell ref="M29:N34"/>
    <mergeCell ref="O29:Q29"/>
    <mergeCell ref="AQ29:AR29"/>
    <mergeCell ref="E30:I30"/>
    <mergeCell ref="AQ30:AR30"/>
    <mergeCell ref="B31:I33"/>
    <mergeCell ref="O31:Q31"/>
    <mergeCell ref="U31:V31"/>
    <mergeCell ref="AQ31:AR31"/>
    <mergeCell ref="U32:V32"/>
    <mergeCell ref="AQ32:AR32"/>
    <mergeCell ref="B35:C36"/>
    <mergeCell ref="E35:I35"/>
    <mergeCell ref="U35:V35"/>
    <mergeCell ref="AQ35:AR35"/>
    <mergeCell ref="B20:E20"/>
    <mergeCell ref="AQ20:AR20"/>
    <mergeCell ref="B16:I16"/>
    <mergeCell ref="AP16:AP17"/>
    <mergeCell ref="AQ16:AR17"/>
    <mergeCell ref="AV16:AV17"/>
    <mergeCell ref="W17:W18"/>
    <mergeCell ref="B18:D18"/>
    <mergeCell ref="F18:H18"/>
    <mergeCell ref="AF18:AF20"/>
    <mergeCell ref="AJ18:AJ20"/>
    <mergeCell ref="AK18:AK20"/>
    <mergeCell ref="AL18:AL20"/>
    <mergeCell ref="AM18:AM20"/>
    <mergeCell ref="AQ18:AR18"/>
    <mergeCell ref="AQ19:AR19"/>
    <mergeCell ref="C12:I12"/>
    <mergeCell ref="AF12:AF14"/>
    <mergeCell ref="AJ12:AJ14"/>
    <mergeCell ref="AK12:AK14"/>
    <mergeCell ref="AL12:AL14"/>
    <mergeCell ref="AM12:AM14"/>
    <mergeCell ref="AQ12:AR12"/>
    <mergeCell ref="C13:I13"/>
    <mergeCell ref="U13:W14"/>
    <mergeCell ref="AQ13:AR13"/>
    <mergeCell ref="C14:G14"/>
    <mergeCell ref="AQ14:AR14"/>
    <mergeCell ref="B9:I9"/>
    <mergeCell ref="AF9:AF11"/>
    <mergeCell ref="AJ9:AJ11"/>
    <mergeCell ref="AK9:AK11"/>
    <mergeCell ref="AL9:AL11"/>
    <mergeCell ref="AM9:AM11"/>
    <mergeCell ref="AF7:AM7"/>
    <mergeCell ref="AQ7:AR7"/>
    <mergeCell ref="AC8:AC11"/>
    <mergeCell ref="AG8:AH8"/>
    <mergeCell ref="AI8:AJ8"/>
    <mergeCell ref="AQ8:AR8"/>
    <mergeCell ref="AP10:AP11"/>
    <mergeCell ref="AQ10:AR11"/>
    <mergeCell ref="C11:I11"/>
    <mergeCell ref="M2:R2"/>
    <mergeCell ref="M4:N4"/>
    <mergeCell ref="O4:P4"/>
    <mergeCell ref="AP4:AP5"/>
    <mergeCell ref="AQ4:AR5"/>
    <mergeCell ref="AV4:AV5"/>
    <mergeCell ref="M5:N25"/>
    <mergeCell ref="U6:V7"/>
    <mergeCell ref="W6:W7"/>
    <mergeCell ref="AQ6:AR6"/>
    <mergeCell ref="AV10:AV11"/>
    <mergeCell ref="W15:W16"/>
    <mergeCell ref="AF15:AF17"/>
    <mergeCell ref="AJ15:AJ17"/>
    <mergeCell ref="AK15:AK17"/>
    <mergeCell ref="AL15:AL17"/>
    <mergeCell ref="AM15:AM17"/>
    <mergeCell ref="U25:V25"/>
    <mergeCell ref="X25:Y25"/>
    <mergeCell ref="AE25:AH25"/>
    <mergeCell ref="AJ25:AM25"/>
    <mergeCell ref="AP25:AP26"/>
    <mergeCell ref="AQ25:AR26"/>
  </mergeCells>
  <dataValidations count="5">
    <dataValidation type="list" allowBlank="1" showInputMessage="1" showErrorMessage="1" sqref="O105:Q109">
      <formula1>$V$170:$V$179</formula1>
    </dataValidation>
    <dataValidation type="list" allowBlank="1" showInputMessage="1" showErrorMessage="1" sqref="O68 O174 N159 O176">
      <formula1>$Y$5:$Y$6</formula1>
    </dataValidation>
    <dataValidation type="list" allowBlank="1" showInputMessage="1" showErrorMessage="1" sqref="Q82:Q84 Q90:Q92 Q74:Q76 Q47 Q50">
      <formula1>$Y$10:$Y$21</formula1>
    </dataValidation>
    <dataValidation type="list" allowBlank="1" showInputMessage="1" showErrorMessage="1" sqref="O42:Q42">
      <formula1>$AA$8:$AA$17</formula1>
    </dataValidation>
    <dataValidation type="list" allowBlank="1" showInputMessage="1" showErrorMessage="1" sqref="P39:Q39">
      <formula1>$X$27:$X$30</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corretivos'!$C$3:$C$62</xm:f>
          </x14:formula1>
          <xm:sqref>O74:P76 O82:P84 O90:P92</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E44" sqref="E44:I44"/>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18.7109375" style="11" customWidth="1"/>
    <col min="17" max="17" width="49.28515625" style="11" customWidth="1"/>
    <col min="18" max="18" width="8.7109375"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0.28515625" style="11" hidden="1" customWidth="1" outlineLevel="1"/>
    <col min="25" max="25" width="22.42578125" style="11" hidden="1" customWidth="1" outlineLevel="1"/>
    <col min="26" max="26" width="18.85546875"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25.42578125" style="11" hidden="1" customWidth="1" outlineLevel="1"/>
    <col min="32" max="32" width="25.5703125" style="11" hidden="1" customWidth="1" outlineLevel="1"/>
    <col min="33" max="33" width="21.42578125" style="11" hidden="1" customWidth="1" outlineLevel="1"/>
    <col min="34" max="34" width="21.5703125" style="11" hidden="1" customWidth="1" outlineLevel="1"/>
    <col min="35" max="36" width="14.28515625" style="11" hidden="1" customWidth="1" outlineLevel="1"/>
    <col min="37" max="37" width="31.42578125" style="11" hidden="1" customWidth="1" outlineLevel="1"/>
    <col min="38" max="38" width="11.425781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29.28515625" style="11" hidden="1" customWidth="1" outlineLevel="1"/>
    <col min="47" max="48" width="23.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50</v>
      </c>
      <c r="AT5" s="55">
        <f>$AC$31</f>
        <v>10</v>
      </c>
      <c r="AU5" s="55">
        <f>$AC$32</f>
        <v>10</v>
      </c>
      <c r="AV5" s="509"/>
      <c r="AW5" s="47"/>
      <c r="AX5" s="47"/>
      <c r="AY5" s="47"/>
      <c r="AZ5" s="47"/>
      <c r="BA5" s="47"/>
      <c r="BB5" s="47"/>
    </row>
    <row r="6" spans="1:54" ht="20.25" customHeight="1" x14ac:dyDescent="0.25">
      <c r="M6" s="364"/>
      <c r="N6" s="453"/>
      <c r="O6" s="51" t="s">
        <v>3</v>
      </c>
      <c r="P6" s="56">
        <v>1</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5.0000000000000009</v>
      </c>
      <c r="AU6" s="55">
        <f>IFERROR((VLOOKUP(AQ6,$V$100:$AB$179,7,0)*0.01)*AV6,0)</f>
        <v>0</v>
      </c>
      <c r="AV6" s="55">
        <f>IFERROR($AT$5*Q74/(VLOOKUP(AQ6,$V$100:$AB$179,5,0)/100),0)</f>
        <v>28.571428571428573</v>
      </c>
      <c r="AW6" s="47"/>
      <c r="AX6" s="47"/>
      <c r="AY6" s="47"/>
      <c r="AZ6" s="47"/>
      <c r="BA6" s="47"/>
      <c r="BB6" s="47"/>
    </row>
    <row r="7" spans="1:54" ht="20.25" customHeight="1" x14ac:dyDescent="0.25">
      <c r="M7" s="364"/>
      <c r="N7" s="453"/>
      <c r="O7" s="51" t="s">
        <v>4</v>
      </c>
      <c r="P7" s="32">
        <v>1</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5</v>
      </c>
      <c r="AU7" s="55">
        <f>IFERROR((VLOOKUP(AQ7,$V$100:$AB$179,7,0)*0.01)*AV7,0)</f>
        <v>0</v>
      </c>
      <c r="AV7" s="55">
        <f>IFERROR($AT$5*Q75/(VLOOKUP(AQ7,$V$100:$AB$179,5,0)/100),0)</f>
        <v>27.777777777777779</v>
      </c>
      <c r="AW7" s="47"/>
      <c r="AX7" s="47"/>
      <c r="AY7" s="47"/>
      <c r="AZ7" s="47"/>
      <c r="BA7" s="47"/>
      <c r="BB7" s="47"/>
    </row>
    <row r="8" spans="1:54" ht="20.25" customHeight="1" thickBot="1" x14ac:dyDescent="0.3">
      <c r="M8" s="364"/>
      <c r="N8" s="453"/>
      <c r="O8" s="51" t="s">
        <v>5</v>
      </c>
      <c r="P8" s="56">
        <v>0.5</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9.6</v>
      </c>
      <c r="AL9" s="457">
        <f>(AM9*1000)/$E$18</f>
        <v>9.6</v>
      </c>
      <c r="AM9" s="456">
        <v>2</v>
      </c>
      <c r="AO9" s="47"/>
      <c r="AP9" s="47"/>
      <c r="AQ9" s="47"/>
      <c r="AR9" s="47"/>
      <c r="AS9" s="59">
        <f>AS5-(SUM(AS6:AS8))</f>
        <v>50</v>
      </c>
      <c r="AT9" s="59">
        <f>AT5-(SUM(AT6:AT8))</f>
        <v>0</v>
      </c>
      <c r="AU9" s="59">
        <f>AU5-(SUM(AU6:AU8))</f>
        <v>10</v>
      </c>
      <c r="AV9" s="59"/>
      <c r="AW9" s="47"/>
      <c r="AX9" s="47"/>
      <c r="AY9" s="47"/>
      <c r="AZ9" s="47"/>
      <c r="BA9" s="47"/>
      <c r="BB9" s="47"/>
    </row>
    <row r="10" spans="1:54" ht="20.2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50</v>
      </c>
      <c r="AT11" s="55">
        <f t="shared" ref="AT11:AU11" si="0">AT9</f>
        <v>0</v>
      </c>
      <c r="AU11" s="55">
        <f t="shared" si="0"/>
        <v>10</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9.6</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5</v>
      </c>
      <c r="AV12" s="55">
        <f>IFERROR($AU$11*Q82/(VLOOKUP(AQ12,$V$100:$AB$179,7,0)/100),0)</f>
        <v>8.3333333333333339</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5</v>
      </c>
      <c r="AV13" s="55">
        <f>IFERROR($AU$11*Q83/(VLOOKUP(AQ13,$V$100:$AB$179,7,0)/100),0)</f>
        <v>62.5</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28.799999999999997</v>
      </c>
      <c r="AM15" s="456">
        <v>6</v>
      </c>
      <c r="AO15" s="47"/>
      <c r="AP15" s="47"/>
      <c r="AQ15" s="47"/>
      <c r="AR15" s="47"/>
      <c r="AS15" s="59">
        <f>AS11-(SUM(AS12:AS14))</f>
        <v>50</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50</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208.33333333333334</v>
      </c>
      <c r="F18" s="457" t="s">
        <v>125</v>
      </c>
      <c r="G18" s="457"/>
      <c r="H18" s="457"/>
      <c r="I18" s="51">
        <f>O34</f>
        <v>1</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28.799999999999997</v>
      </c>
      <c r="AM18" s="456">
        <v>6</v>
      </c>
      <c r="AO18" s="47"/>
      <c r="AP18" s="54">
        <v>13</v>
      </c>
      <c r="AQ18" s="447" t="str">
        <f>O90</f>
        <v>Nitrato de Amônio</v>
      </c>
      <c r="AR18" s="447"/>
      <c r="AS18" s="55">
        <f>IFERROR((VLOOKUP(AQ18,$V$100:$AB$179,3,0)*0.01)*AV18,0)</f>
        <v>50</v>
      </c>
      <c r="AT18" s="55">
        <f>IFERROR((VLOOKUP(AQ18,$V$100:$AB$179,5,0)*0.01)*AV18,0)</f>
        <v>0</v>
      </c>
      <c r="AU18" s="55">
        <f>IFERROR((VLOOKUP(AQ18,$V$100:$AB$179,7,0)*0.01)*AV18,0)</f>
        <v>0</v>
      </c>
      <c r="AV18" s="55">
        <f>IFERROR($AS$17*Q90/(VLOOKUP(AQ18,$V$100:$AB$179,3,0)/100),0)</f>
        <v>172.41379310344828</v>
      </c>
      <c r="AW18" s="47"/>
      <c r="AX18" s="47"/>
      <c r="AY18" s="47"/>
      <c r="AZ18" s="47"/>
      <c r="BA18" s="47"/>
      <c r="BB18" s="47"/>
    </row>
    <row r="19" spans="2:54" ht="20.2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52.127659574468083</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1</v>
      </c>
      <c r="D22" s="63" t="s">
        <v>79</v>
      </c>
      <c r="E22" s="63">
        <f>P13</f>
        <v>38.299999999999997</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20.25" customHeight="1" x14ac:dyDescent="0.25">
      <c r="B23" s="64" t="s">
        <v>82</v>
      </c>
      <c r="C23" s="65">
        <f>P7</f>
        <v>1</v>
      </c>
      <c r="D23" s="63" t="s">
        <v>129</v>
      </c>
      <c r="E23" s="63">
        <f>P11</f>
        <v>2.7</v>
      </c>
      <c r="F23" s="63" t="s">
        <v>87</v>
      </c>
      <c r="G23" s="63">
        <f>P16</f>
        <v>4</v>
      </c>
      <c r="H23" s="63" t="s">
        <v>83</v>
      </c>
      <c r="I23" s="63">
        <f>P15</f>
        <v>20</v>
      </c>
      <c r="J23" s="66"/>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20.25" customHeight="1" x14ac:dyDescent="0.25">
      <c r="B24" s="64" t="s">
        <v>80</v>
      </c>
      <c r="C24" s="65">
        <f>P8</f>
        <v>0.5</v>
      </c>
      <c r="D24" s="63" t="s">
        <v>130</v>
      </c>
      <c r="E24" s="63">
        <f>P10</f>
        <v>0.1</v>
      </c>
      <c r="F24" s="63" t="s">
        <v>89</v>
      </c>
      <c r="G24" s="63">
        <f>P17</f>
        <v>58.4</v>
      </c>
      <c r="H24" s="63" t="s">
        <v>131</v>
      </c>
      <c r="I24" s="63">
        <f>P25</f>
        <v>5.6400000000000006</v>
      </c>
      <c r="J24" s="66"/>
      <c r="M24" s="364"/>
      <c r="N24" s="453"/>
      <c r="O24" s="51" t="s">
        <v>22</v>
      </c>
      <c r="P24" s="63">
        <f>100*(P6+P7+P8+P9)/P25</f>
        <v>52.127659574468083</v>
      </c>
      <c r="Q24" s="51" t="s">
        <v>23</v>
      </c>
      <c r="R24" s="53"/>
      <c r="AO24" s="47"/>
      <c r="AP24" s="47"/>
      <c r="AQ24" s="47"/>
      <c r="AR24" s="47"/>
      <c r="AS24" s="59">
        <f>AS26-(SUM(AS27:AS36))</f>
        <v>9.5998879310344822</v>
      </c>
      <c r="AT24" s="59">
        <f t="shared" ref="AT24:AV24" si="3">AT26-(SUM(AT27:AT36))</f>
        <v>-1.1206896551724137E-4</v>
      </c>
      <c r="AU24" s="59">
        <f t="shared" si="3"/>
        <v>-2.1551724137931037E-4</v>
      </c>
      <c r="AV24" s="59">
        <f t="shared" si="3"/>
        <v>-2.4137931034482762E-5</v>
      </c>
      <c r="AW24" s="47"/>
      <c r="AX24" s="47"/>
      <c r="AY24" s="47"/>
      <c r="AZ24" s="47"/>
      <c r="BA24" s="47"/>
      <c r="BB24" s="47"/>
    </row>
    <row r="25" spans="2:54" ht="20.25" customHeight="1" thickBot="1" x14ac:dyDescent="0.3">
      <c r="J25" s="66"/>
      <c r="M25" s="364"/>
      <c r="N25" s="453"/>
      <c r="O25" s="51" t="s">
        <v>24</v>
      </c>
      <c r="P25" s="67">
        <f>(P6+P7+P8+P9+P11)</f>
        <v>5.6400000000000006</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459" t="s">
        <v>118</v>
      </c>
      <c r="V26" s="512"/>
      <c r="W26" s="512"/>
      <c r="X26" s="512"/>
      <c r="Y26" s="512"/>
      <c r="Z26" s="460"/>
      <c r="AO26" s="47"/>
      <c r="AP26" s="461"/>
      <c r="AQ26" s="461"/>
      <c r="AR26" s="461"/>
      <c r="AS26" s="72">
        <f>AK9</f>
        <v>9.6</v>
      </c>
      <c r="AT26" s="72">
        <f>AK12</f>
        <v>0</v>
      </c>
      <c r="AU26" s="72">
        <f>AK15</f>
        <v>0</v>
      </c>
      <c r="AV26" s="72">
        <f>AK18</f>
        <v>0</v>
      </c>
      <c r="AW26" s="47"/>
      <c r="AX26" s="47"/>
      <c r="AY26" s="47"/>
      <c r="AZ26" s="47"/>
      <c r="BA26" s="47"/>
      <c r="BB26" s="47"/>
    </row>
    <row r="27" spans="2:54" ht="20.25" customHeight="1" thickBot="1" x14ac:dyDescent="0.3">
      <c r="B27" s="488" t="str">
        <f>IF($O$47&gt;0,$O$47,"-")</f>
        <v>BRITACAL Dolomítico</v>
      </c>
      <c r="C27" s="488"/>
      <c r="D27" s="73">
        <f>IF(J27&gt;0,J27,"-")</f>
        <v>0.63000000000000012</v>
      </c>
      <c r="E27" s="365" t="str">
        <f>IF(J27&gt;0,"toneladas por hectare ou,","-")</f>
        <v>toneladas por hectare ou,</v>
      </c>
      <c r="F27" s="365"/>
      <c r="G27" s="365"/>
      <c r="H27" s="365"/>
      <c r="I27" s="365"/>
      <c r="J27" s="74">
        <f>V51</f>
        <v>0.63000000000000012</v>
      </c>
      <c r="U27" s="51" t="s">
        <v>32</v>
      </c>
      <c r="V27" s="51" t="s">
        <v>64</v>
      </c>
      <c r="W27" s="51" t="s">
        <v>75</v>
      </c>
      <c r="X27" s="51" t="s">
        <v>71</v>
      </c>
      <c r="Y27" s="51" t="s">
        <v>36</v>
      </c>
      <c r="Z27" s="51" t="s">
        <v>35</v>
      </c>
      <c r="AO27" s="47"/>
      <c r="AP27" s="447" t="s">
        <v>261</v>
      </c>
      <c r="AQ27" s="447" t="str">
        <f>B29</f>
        <v>Micaxisto (61) 3233-9368</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20.25" customHeight="1" x14ac:dyDescent="0.25">
      <c r="B28" s="488"/>
      <c r="C28" s="488"/>
      <c r="D28" s="73">
        <f>IF(J28&gt;0,J28,"-")</f>
        <v>6.3000000000000014E-2</v>
      </c>
      <c r="E28" s="365" t="str">
        <f>IF(J28&gt;0,"quilos por metro quadrado","-")</f>
        <v>quilos por metro quadrado</v>
      </c>
      <c r="F28" s="365"/>
      <c r="G28" s="365"/>
      <c r="H28" s="365"/>
      <c r="I28" s="365"/>
      <c r="J28" s="74">
        <f>J27/10</f>
        <v>6.3000000000000014E-2</v>
      </c>
      <c r="M28" s="48"/>
      <c r="N28" s="49"/>
      <c r="O28" s="49"/>
      <c r="P28" s="49"/>
      <c r="Q28" s="49"/>
      <c r="R28" s="50"/>
      <c r="U28" s="75">
        <v>0</v>
      </c>
      <c r="V28" s="75">
        <v>50</v>
      </c>
      <c r="W28" s="75" t="s">
        <v>68</v>
      </c>
      <c r="X28" s="75" t="str">
        <f>CONCATENATE(U28," - ",W28)</f>
        <v>0 - baixo</v>
      </c>
      <c r="Y28" s="75">
        <v>10</v>
      </c>
      <c r="Z28" s="75">
        <v>10</v>
      </c>
      <c r="AE28" s="51"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20.25" customHeight="1" x14ac:dyDescent="0.25">
      <c r="B29" s="488" t="str">
        <f>IF($O$50&gt;0,$O$50,"-")</f>
        <v>Micaxisto (61) 3233-9368</v>
      </c>
      <c r="C29" s="488"/>
      <c r="D29" s="73">
        <f>IF(J29&gt;0,J29,"-")</f>
        <v>3.9901857711287629</v>
      </c>
      <c r="E29" s="365" t="str">
        <f>IF(J29&gt;0,"toneladas por hectare ou,","-")</f>
        <v>toneladas por hectare ou,</v>
      </c>
      <c r="F29" s="365"/>
      <c r="G29" s="365"/>
      <c r="H29" s="365"/>
      <c r="I29" s="365"/>
      <c r="J29" s="74">
        <f>Z49</f>
        <v>3.9901857711287629</v>
      </c>
      <c r="M29" s="364" t="s">
        <v>211</v>
      </c>
      <c r="N29" s="453"/>
      <c r="O29" s="489" t="s">
        <v>197</v>
      </c>
      <c r="P29" s="489"/>
      <c r="Q29" s="489"/>
      <c r="R29" s="53"/>
      <c r="U29" s="75">
        <v>0</v>
      </c>
      <c r="V29" s="75">
        <v>50</v>
      </c>
      <c r="W29" s="75" t="s">
        <v>69</v>
      </c>
      <c r="X29" s="75" t="str">
        <f t="shared" ref="X29:X42" si="9">CONCATENATE(U29," - ",W29)</f>
        <v>0 - medio</v>
      </c>
      <c r="Y29" s="75">
        <v>10</v>
      </c>
      <c r="Z29" s="75">
        <v>10</v>
      </c>
      <c r="AB29" s="458" t="s">
        <v>65</v>
      </c>
      <c r="AC29" s="458"/>
      <c r="AE29" s="51" t="s">
        <v>32</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20.25" customHeight="1" x14ac:dyDescent="0.25">
      <c r="B30" s="488"/>
      <c r="C30" s="488"/>
      <c r="D30" s="73">
        <f>IF(J30&gt;0,J30,"-")</f>
        <v>0.3990185771128763</v>
      </c>
      <c r="E30" s="365" t="str">
        <f>IF(J30&gt;0,"gramas por metro quadrado","-")</f>
        <v>gramas por metro quadrado</v>
      </c>
      <c r="F30" s="365"/>
      <c r="G30" s="365"/>
      <c r="H30" s="365"/>
      <c r="I30" s="365"/>
      <c r="J30" s="74">
        <f>J29/10</f>
        <v>0.3990185771128763</v>
      </c>
      <c r="M30" s="364"/>
      <c r="N30" s="453"/>
      <c r="O30" s="32">
        <v>8</v>
      </c>
      <c r="P30" s="77" t="s">
        <v>200</v>
      </c>
      <c r="Q30" s="32">
        <v>6</v>
      </c>
      <c r="R30" s="53"/>
      <c r="U30" s="75">
        <v>0</v>
      </c>
      <c r="V30" s="75">
        <v>50</v>
      </c>
      <c r="W30" s="75" t="s">
        <v>70</v>
      </c>
      <c r="X30" s="75" t="str">
        <f t="shared" si="9"/>
        <v>0 - adequado</v>
      </c>
      <c r="Y30" s="75">
        <v>10</v>
      </c>
      <c r="Z30" s="75">
        <v>10</v>
      </c>
      <c r="AB30" s="78" t="s">
        <v>33</v>
      </c>
      <c r="AC30" s="78">
        <f>VLOOKUP($P$39,$U$28:$V$42,2,0)</f>
        <v>50</v>
      </c>
      <c r="AE30" s="51"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20.25" customHeight="1" x14ac:dyDescent="0.25">
      <c r="B31" s="514" t="s">
        <v>533</v>
      </c>
      <c r="C31" s="514"/>
      <c r="D31" s="514"/>
      <c r="E31" s="514"/>
      <c r="F31" s="514"/>
      <c r="G31" s="514"/>
      <c r="H31" s="514"/>
      <c r="I31" s="514"/>
      <c r="J31" s="74"/>
      <c r="M31" s="364"/>
      <c r="N31" s="365"/>
      <c r="O31" s="105"/>
      <c r="P31" s="105"/>
      <c r="Q31" s="105"/>
      <c r="R31" s="53"/>
      <c r="U31" s="75">
        <v>1</v>
      </c>
      <c r="V31" s="75">
        <v>40</v>
      </c>
      <c r="W31" s="75" t="s">
        <v>68</v>
      </c>
      <c r="X31" s="75" t="str">
        <f t="shared" si="9"/>
        <v>1 - baixo</v>
      </c>
      <c r="Y31" s="75">
        <v>100</v>
      </c>
      <c r="Z31" s="75">
        <v>70</v>
      </c>
      <c r="AB31" s="78" t="s">
        <v>66</v>
      </c>
      <c r="AC31" s="78">
        <f>VLOOKUP(AB36,X28:Z42,2,0)</f>
        <v>10</v>
      </c>
      <c r="AE31" s="51">
        <v>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20.25" customHeight="1" x14ac:dyDescent="0.25">
      <c r="B32" s="514"/>
      <c r="C32" s="514"/>
      <c r="D32" s="514"/>
      <c r="E32" s="514"/>
      <c r="F32" s="514"/>
      <c r="G32" s="514"/>
      <c r="H32" s="514"/>
      <c r="I32" s="514"/>
      <c r="J32" s="74"/>
      <c r="M32" s="364"/>
      <c r="N32" s="365"/>
      <c r="O32" s="80"/>
      <c r="P32" s="80"/>
      <c r="Q32" s="80"/>
      <c r="R32" s="53"/>
      <c r="U32" s="75">
        <v>1</v>
      </c>
      <c r="V32" s="75">
        <v>40</v>
      </c>
      <c r="W32" s="75" t="s">
        <v>69</v>
      </c>
      <c r="X32" s="75" t="str">
        <f t="shared" si="9"/>
        <v>1 - medio</v>
      </c>
      <c r="Y32" s="75">
        <v>70</v>
      </c>
      <c r="Z32" s="75">
        <v>45</v>
      </c>
      <c r="AB32" s="78" t="s">
        <v>67</v>
      </c>
      <c r="AC32" s="78">
        <f>VLOOKUP($AB$39,X28:Z42,3,0)</f>
        <v>10</v>
      </c>
      <c r="AE32" s="51">
        <v>1</v>
      </c>
      <c r="AI32" s="76">
        <v>0.2</v>
      </c>
      <c r="AK32" s="51" t="s">
        <v>292</v>
      </c>
      <c r="AO32" s="47"/>
      <c r="AP32" s="447"/>
      <c r="AQ32" s="447" t="str">
        <f t="shared" si="8"/>
        <v>EkoSil</v>
      </c>
      <c r="AR32" s="447"/>
      <c r="AS32" s="55">
        <f t="shared" si="4"/>
        <v>1.1206896551724137E-4</v>
      </c>
      <c r="AT32" s="55">
        <f t="shared" si="5"/>
        <v>1.1206896551724137E-4</v>
      </c>
      <c r="AU32" s="55">
        <f t="shared" si="6"/>
        <v>2.1551724137931037E-4</v>
      </c>
      <c r="AV32" s="55">
        <f t="shared" si="7"/>
        <v>2.4137931034482762E-5</v>
      </c>
      <c r="AW32" s="47"/>
      <c r="AX32" s="47"/>
      <c r="AY32" s="47"/>
      <c r="AZ32" s="47"/>
      <c r="BA32" s="47"/>
      <c r="BB32" s="47"/>
    </row>
    <row r="33" spans="2:57" ht="20.25" customHeight="1" thickBot="1" x14ac:dyDescent="0.3">
      <c r="B33" s="515"/>
      <c r="C33" s="515"/>
      <c r="D33" s="515"/>
      <c r="E33" s="515"/>
      <c r="F33" s="515"/>
      <c r="G33" s="515"/>
      <c r="H33" s="515"/>
      <c r="I33" s="515"/>
      <c r="J33" s="74"/>
      <c r="M33" s="364"/>
      <c r="N33" s="453"/>
      <c r="O33" s="489" t="s">
        <v>282</v>
      </c>
      <c r="P33" s="489"/>
      <c r="Q33" s="489"/>
      <c r="R33" s="53"/>
      <c r="U33" s="75">
        <v>1</v>
      </c>
      <c r="V33" s="75">
        <v>40</v>
      </c>
      <c r="W33" s="75" t="s">
        <v>70</v>
      </c>
      <c r="X33" s="75" t="str">
        <f t="shared" si="9"/>
        <v>1 - adequado</v>
      </c>
      <c r="Y33" s="75">
        <v>35</v>
      </c>
      <c r="Z33" s="75">
        <v>20</v>
      </c>
      <c r="AE33" s="51">
        <v>2</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364"/>
      <c r="N34" s="453"/>
      <c r="O34" s="448">
        <v>1</v>
      </c>
      <c r="P34" s="448"/>
      <c r="Q34" s="448"/>
      <c r="R34" s="53"/>
      <c r="U34" s="75">
        <v>2</v>
      </c>
      <c r="V34" s="75">
        <v>100</v>
      </c>
      <c r="W34" s="75" t="s">
        <v>68</v>
      </c>
      <c r="X34" s="75" t="str">
        <f t="shared" si="9"/>
        <v>2 - baixo</v>
      </c>
      <c r="Y34" s="75">
        <v>175</v>
      </c>
      <c r="Z34" s="75">
        <v>110</v>
      </c>
      <c r="AE34" s="51">
        <v>3</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20.25" customHeight="1" thickBot="1" x14ac:dyDescent="0.3">
      <c r="B35" s="488" t="str">
        <f>IF($O$55&gt;0,$O$55,"-")</f>
        <v>Nutrigesso Nutrion</v>
      </c>
      <c r="C35" s="488"/>
      <c r="D35" s="73">
        <f>IF(J34&gt;0,J34,"-")</f>
        <v>356.25</v>
      </c>
      <c r="E35" s="365" t="str">
        <f>IF(J34&gt;0,"quilos por hectare ou,","-")</f>
        <v>quilos por hectare ou,</v>
      </c>
      <c r="F35" s="365"/>
      <c r="G35" s="365"/>
      <c r="H35" s="365"/>
      <c r="I35" s="365"/>
      <c r="J35" s="81">
        <f>J34/10</f>
        <v>35.625</v>
      </c>
      <c r="M35" s="69"/>
      <c r="N35" s="70"/>
      <c r="O35" s="70"/>
      <c r="P35" s="83">
        <f>10000/($O$30*$Q$30)</f>
        <v>208.33333333333334</v>
      </c>
      <c r="Q35" s="83" t="e">
        <f>10000/((($O$32/2)+($P$32/2))*$Q$32)</f>
        <v>#DIV/0!</v>
      </c>
      <c r="R35" s="71"/>
      <c r="U35" s="75">
        <v>2</v>
      </c>
      <c r="V35" s="75">
        <v>100</v>
      </c>
      <c r="W35" s="75" t="s">
        <v>69</v>
      </c>
      <c r="X35" s="75" t="str">
        <f t="shared" si="9"/>
        <v>2 - medio</v>
      </c>
      <c r="Y35" s="75">
        <v>120</v>
      </c>
      <c r="Z35" s="75">
        <v>75</v>
      </c>
      <c r="AB35" s="457" t="s">
        <v>72</v>
      </c>
      <c r="AC35" s="457"/>
      <c r="AE35" s="51">
        <v>4</v>
      </c>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v>2</v>
      </c>
      <c r="V36" s="75">
        <v>100</v>
      </c>
      <c r="W36" s="75" t="s">
        <v>70</v>
      </c>
      <c r="X36" s="75" t="str">
        <f t="shared" si="9"/>
        <v>2 - adequado</v>
      </c>
      <c r="Y36" s="75">
        <v>60</v>
      </c>
      <c r="Z36" s="75">
        <v>35</v>
      </c>
      <c r="AB36" s="457" t="str">
        <f>CONCATENATE($P$39," - ",$AD$8)</f>
        <v>0 -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U37" s="75">
        <v>3</v>
      </c>
      <c r="V37" s="75">
        <v>200</v>
      </c>
      <c r="W37" s="75" t="s">
        <v>68</v>
      </c>
      <c r="X37" s="75" t="str">
        <f t="shared" si="9"/>
        <v>3 - baixo</v>
      </c>
      <c r="Y37" s="75">
        <v>245</v>
      </c>
      <c r="Z37" s="75">
        <v>160</v>
      </c>
      <c r="AI37" s="76">
        <v>0.7</v>
      </c>
      <c r="AK37" s="51" t="s">
        <v>290</v>
      </c>
      <c r="AO37" s="85"/>
      <c r="AP37" s="85"/>
      <c r="AQ37" s="85"/>
      <c r="AR37" s="85"/>
      <c r="AS37" s="59">
        <f>IF(AS24&gt;0,AS24,0)</f>
        <v>9.5998879310344822</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198</v>
      </c>
      <c r="P38" s="489"/>
      <c r="Q38" s="489"/>
      <c r="R38" s="53"/>
      <c r="U38" s="75">
        <v>3</v>
      </c>
      <c r="V38" s="75">
        <v>200</v>
      </c>
      <c r="W38" s="75" t="s">
        <v>69</v>
      </c>
      <c r="X38" s="75" t="str">
        <f t="shared" si="9"/>
        <v>3 - medio</v>
      </c>
      <c r="Y38" s="75">
        <v>160</v>
      </c>
      <c r="Z38" s="75">
        <v>105</v>
      </c>
      <c r="AB38" s="457" t="s">
        <v>73</v>
      </c>
      <c r="AC38" s="457"/>
      <c r="AI38" s="76">
        <v>0.8</v>
      </c>
      <c r="AK38" s="51"/>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28.571428571428573</v>
      </c>
      <c r="M39" s="364"/>
      <c r="N39" s="365"/>
      <c r="O39" s="51" t="s">
        <v>182</v>
      </c>
      <c r="P39" s="448">
        <v>0</v>
      </c>
      <c r="Q39" s="448"/>
      <c r="R39" s="53"/>
      <c r="U39" s="75">
        <v>3</v>
      </c>
      <c r="V39" s="75">
        <v>200</v>
      </c>
      <c r="W39" s="75" t="s">
        <v>70</v>
      </c>
      <c r="X39" s="75" t="str">
        <f t="shared" si="9"/>
        <v>3 - adequado</v>
      </c>
      <c r="Y39" s="75">
        <v>80</v>
      </c>
      <c r="Z39" s="75">
        <v>50</v>
      </c>
      <c r="AB39" s="457" t="str">
        <f>CONCATENATE($P$39," - ",$AD$22)</f>
        <v>0 -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de galinha</v>
      </c>
      <c r="C40" s="449"/>
      <c r="D40" s="86">
        <f>IF(AQ59&gt;0,AQ59,"-")</f>
        <v>6</v>
      </c>
      <c r="E40" s="362" t="str">
        <f>IF(AQ59&gt;0,"quilos por cova ou planta","-")</f>
        <v>quilos por cova ou planta</v>
      </c>
      <c r="F40" s="362"/>
      <c r="G40" s="362"/>
      <c r="H40" s="362"/>
      <c r="I40" s="362"/>
      <c r="J40" s="81">
        <f>AV7</f>
        <v>27.777777777777779</v>
      </c>
      <c r="M40" s="364"/>
      <c r="N40" s="365"/>
      <c r="O40" s="25"/>
      <c r="P40" s="25"/>
      <c r="Q40" s="25"/>
      <c r="R40" s="53"/>
      <c r="U40" s="75">
        <v>4</v>
      </c>
      <c r="V40" s="75">
        <v>340</v>
      </c>
      <c r="W40" s="75" t="s">
        <v>68</v>
      </c>
      <c r="X40" s="75" t="str">
        <f t="shared" si="9"/>
        <v>4 - baixo</v>
      </c>
      <c r="Y40" s="75">
        <v>315</v>
      </c>
      <c r="Z40" s="75">
        <v>200</v>
      </c>
      <c r="AI40" s="76">
        <v>1</v>
      </c>
      <c r="AO40" s="47"/>
      <c r="AP40" s="447" t="str">
        <f>O105</f>
        <v>Ácido Bórico</v>
      </c>
      <c r="AQ40" s="447"/>
      <c r="AR40" s="55">
        <f>IFERROR($AS$37/((VLOOKUP(AP40,$V$100:$AO$179,11,0)*0.01)),0)</f>
        <v>54.856502463054177</v>
      </c>
      <c r="AS40" s="55">
        <f>IFERROR($AT$37/((VLOOKUP(AP40,$V$100:$AO$179,14,0)*0.01)),0)</f>
        <v>0</v>
      </c>
      <c r="AT40" s="55">
        <f>IFERROR($AU$37/((VLOOKUP(AP40,$V$100:$AO$179,12,0)*0.01)),0)</f>
        <v>0</v>
      </c>
      <c r="AU40" s="55">
        <f>IFERROR($AV$37/((VLOOKUP(AP40,$V$100:$AO$179,13,0)*0.01)),0)</f>
        <v>0</v>
      </c>
      <c r="AV40" s="55">
        <f>MAX(AR40:AU40)</f>
        <v>54.856502463054177</v>
      </c>
      <c r="AW40" s="55">
        <f>IFERROR(AV40*(VLOOKUP(AP40,$V$100:$AO$179,11,0)*0.01),0)</f>
        <v>9.5998879310344822</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f t="shared" ref="D41:D49" si="10">IF(J39&gt;0,J39,"-")</f>
        <v>28.571428571428573</v>
      </c>
      <c r="E41" s="365" t="str">
        <f t="shared" ref="E41:E49" si="11">IF(J39&gt;0,"gramas por planta","-")</f>
        <v>gramas por planta</v>
      </c>
      <c r="F41" s="365"/>
      <c r="G41" s="365"/>
      <c r="H41" s="365"/>
      <c r="I41" s="365"/>
      <c r="J41" s="81">
        <f>AV8</f>
        <v>0</v>
      </c>
      <c r="M41" s="364"/>
      <c r="N41" s="365"/>
      <c r="O41" s="489" t="s">
        <v>308</v>
      </c>
      <c r="P41" s="489"/>
      <c r="Q41" s="489"/>
      <c r="R41" s="53"/>
      <c r="U41" s="75">
        <v>4</v>
      </c>
      <c r="V41" s="75">
        <v>340</v>
      </c>
      <c r="W41" s="75" t="s">
        <v>69</v>
      </c>
      <c r="X41" s="75" t="str">
        <f t="shared" si="9"/>
        <v>4 - medio</v>
      </c>
      <c r="Y41" s="75">
        <v>210</v>
      </c>
      <c r="Z41" s="75">
        <v>150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2">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f t="shared" si="10"/>
        <v>27.777777777777779</v>
      </c>
      <c r="E42" s="365" t="str">
        <f t="shared" si="11"/>
        <v>gramas por planta</v>
      </c>
      <c r="F42" s="365"/>
      <c r="G42" s="365"/>
      <c r="H42" s="365"/>
      <c r="I42" s="365"/>
      <c r="J42" s="81">
        <f>AV12</f>
        <v>8.3333333333333339</v>
      </c>
      <c r="M42" s="364"/>
      <c r="N42" s="365"/>
      <c r="O42" s="483" t="s">
        <v>158</v>
      </c>
      <c r="P42" s="513"/>
      <c r="Q42" s="484"/>
      <c r="R42" s="53"/>
      <c r="U42" s="75">
        <v>4</v>
      </c>
      <c r="V42" s="75">
        <v>340</v>
      </c>
      <c r="W42" s="75" t="s">
        <v>70</v>
      </c>
      <c r="X42" s="75" t="str">
        <f t="shared" si="9"/>
        <v>4 - adequado</v>
      </c>
      <c r="Y42" s="75">
        <v>105</v>
      </c>
      <c r="Z42" s="75">
        <v>75</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2"/>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0"/>
        <v>-</v>
      </c>
      <c r="E43" s="365" t="str">
        <f t="shared" si="11"/>
        <v>-</v>
      </c>
      <c r="F43" s="365"/>
      <c r="G43" s="365"/>
      <c r="H43" s="365"/>
      <c r="I43" s="365"/>
      <c r="J43" s="81">
        <f>AV13</f>
        <v>62.5</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2"/>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0"/>
        <v>8.3333333333333339</v>
      </c>
      <c r="E44" s="365" t="str">
        <f t="shared" si="11"/>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0"/>
        <v>62.5</v>
      </c>
      <c r="E45" s="365" t="str">
        <f t="shared" si="11"/>
        <v>gramas por planta</v>
      </c>
      <c r="F45" s="365"/>
      <c r="G45" s="365"/>
      <c r="H45" s="365"/>
      <c r="I45" s="365"/>
      <c r="J45" s="81">
        <f>AV18</f>
        <v>172.41379310344828</v>
      </c>
      <c r="M45" s="48"/>
      <c r="N45" s="49"/>
      <c r="O45" s="499" t="s">
        <v>305</v>
      </c>
      <c r="P45" s="500"/>
      <c r="Q45" s="501"/>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0"/>
        <v>-</v>
      </c>
      <c r="E46" s="365" t="str">
        <f t="shared" si="11"/>
        <v>-</v>
      </c>
      <c r="F46" s="365"/>
      <c r="G46" s="365"/>
      <c r="H46" s="365"/>
      <c r="I46" s="365"/>
      <c r="J46" s="81">
        <f>AV19</f>
        <v>0</v>
      </c>
      <c r="M46" s="364" t="s">
        <v>213</v>
      </c>
      <c r="N46" s="365"/>
      <c r="O46" s="502"/>
      <c r="P46" s="503"/>
      <c r="Q46" s="504"/>
      <c r="R46" s="53"/>
      <c r="U46" s="75" t="s">
        <v>109</v>
      </c>
      <c r="V46" s="89">
        <v>70</v>
      </c>
      <c r="X46" s="455" t="s">
        <v>268</v>
      </c>
      <c r="Y46" s="455"/>
      <c r="Z46" s="63">
        <f>IFERROR(VLOOKUP(O50,$V$87:$AE$95,10,0),0)</f>
        <v>6.7891575865994476</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0"/>
        <v>172.41379310344828</v>
      </c>
      <c r="E47" s="365" t="str">
        <f t="shared" si="11"/>
        <v>gramas por planta</v>
      </c>
      <c r="F47" s="365"/>
      <c r="G47" s="365"/>
      <c r="H47" s="365"/>
      <c r="I47" s="365"/>
      <c r="J47" s="81">
        <f>AV20</f>
        <v>0</v>
      </c>
      <c r="M47" s="364"/>
      <c r="N47" s="365"/>
      <c r="O47" s="481" t="s">
        <v>140</v>
      </c>
      <c r="P47" s="482"/>
      <c r="Q47" s="90">
        <v>0.5</v>
      </c>
      <c r="R47" s="53"/>
      <c r="U47" s="51" t="s">
        <v>111</v>
      </c>
      <c r="V47" s="63">
        <f>IFERROR((((V46-P24)*P25)/V49),0)</f>
        <v>1.2600000000000002</v>
      </c>
      <c r="X47" s="455" t="s">
        <v>203</v>
      </c>
      <c r="Y47" s="455"/>
      <c r="Z47" s="63">
        <f>IFERROR((($V$50/$Z$46)*$V$47),0)</f>
        <v>7.9803715422575259</v>
      </c>
      <c r="AO47" s="47"/>
      <c r="BA47" s="47"/>
      <c r="BB47" s="47"/>
    </row>
    <row r="48" spans="2:57" ht="20.25" customHeight="1" x14ac:dyDescent="0.25">
      <c r="B48" s="449" t="str">
        <f>IF(AQ19&gt;0,AQ19,"-")</f>
        <v>-</v>
      </c>
      <c r="C48" s="449"/>
      <c r="D48" s="87" t="str">
        <f t="shared" si="10"/>
        <v>-</v>
      </c>
      <c r="E48" s="365" t="str">
        <f t="shared" si="11"/>
        <v>-</v>
      </c>
      <c r="F48" s="365"/>
      <c r="G48" s="365"/>
      <c r="H48" s="365"/>
      <c r="I48" s="365"/>
      <c r="J48" s="91"/>
      <c r="M48" s="364"/>
      <c r="N48" s="365"/>
      <c r="O48" s="505" t="s">
        <v>306</v>
      </c>
      <c r="P48" s="506"/>
      <c r="Q48" s="507"/>
      <c r="R48" s="53"/>
      <c r="U48" s="51" t="s">
        <v>201</v>
      </c>
      <c r="V48" s="63">
        <f>IF(V47&lt;0,(0),IF(V47&gt;=0,(V47)))</f>
        <v>1.2600000000000002</v>
      </c>
      <c r="X48" s="455" t="s">
        <v>201</v>
      </c>
      <c r="Y48" s="455"/>
      <c r="Z48" s="63">
        <f>IFERROR(IF(Z47&lt;0,(0),IF(Z47&gt;=0,(Z47))),0)</f>
        <v>7.9803715422575259</v>
      </c>
    </row>
    <row r="49" spans="2:50" ht="20.25" customHeight="1" x14ac:dyDescent="0.25">
      <c r="B49" s="449" t="str">
        <f>IF(AQ20&gt;0,AQ20,"-")</f>
        <v>-</v>
      </c>
      <c r="C49" s="449"/>
      <c r="D49" s="87" t="str">
        <f t="shared" si="10"/>
        <v>-</v>
      </c>
      <c r="E49" s="365" t="str">
        <f t="shared" si="11"/>
        <v>-</v>
      </c>
      <c r="F49" s="365"/>
      <c r="G49" s="365"/>
      <c r="H49" s="365"/>
      <c r="I49" s="365"/>
      <c r="M49" s="364"/>
      <c r="N49" s="365"/>
      <c r="O49" s="502"/>
      <c r="P49" s="503"/>
      <c r="Q49" s="504"/>
      <c r="R49" s="53"/>
      <c r="U49" s="51" t="s">
        <v>110</v>
      </c>
      <c r="V49" s="63">
        <f>IFERROR(VLOOKUP($O$47,$V$56:$AA$68,5,0),0)</f>
        <v>80</v>
      </c>
      <c r="X49" s="455" t="s">
        <v>273</v>
      </c>
      <c r="Y49" s="455"/>
      <c r="Z49" s="63">
        <f>Z48*$Q$50</f>
        <v>3.9901857711287629</v>
      </c>
    </row>
    <row r="50" spans="2:50" ht="20.25" customHeight="1" x14ac:dyDescent="0.25">
      <c r="B50" s="476" t="s">
        <v>535</v>
      </c>
      <c r="C50" s="476"/>
      <c r="D50" s="476"/>
      <c r="E50" s="476"/>
      <c r="F50" s="476"/>
      <c r="G50" s="476"/>
      <c r="H50" s="476"/>
      <c r="I50" s="476"/>
      <c r="M50" s="364"/>
      <c r="N50" s="365"/>
      <c r="O50" s="483" t="s">
        <v>156</v>
      </c>
      <c r="P50" s="484"/>
      <c r="Q50" s="92">
        <v>0.5</v>
      </c>
      <c r="R50" s="53"/>
      <c r="U50" s="51" t="s">
        <v>193</v>
      </c>
      <c r="V50" s="63">
        <f>IFERROR(VLOOKUP($O$47,$V$56:$AA$68,6,0),0)</f>
        <v>43</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0.63000000000000012</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3">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3"/>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3"/>
        <v>3 - Composto de lixo (COL)</v>
      </c>
      <c r="AW54" s="51">
        <v>15</v>
      </c>
    </row>
    <row r="55" spans="2:50" ht="20.25" customHeight="1" x14ac:dyDescent="0.25">
      <c r="B55" s="449" t="str">
        <f>IF(AP40&gt;0,AP40,"-")</f>
        <v>Ácido Bórico</v>
      </c>
      <c r="C55" s="449"/>
      <c r="D55" s="87">
        <f>IF(AV40&gt;0,AV40,"-")</f>
        <v>54.856502463054177</v>
      </c>
      <c r="E55" s="365" t="str">
        <f>IF(AV40&gt;0,"gramas por planta","-")</f>
        <v>gramas por planta</v>
      </c>
      <c r="F55" s="365"/>
      <c r="G55" s="365"/>
      <c r="H55" s="365"/>
      <c r="I55" s="365"/>
      <c r="M55" s="364"/>
      <c r="N55" s="365"/>
      <c r="O55" s="448" t="s">
        <v>154</v>
      </c>
      <c r="P55" s="448"/>
      <c r="Q55" s="448"/>
      <c r="R55" s="53"/>
      <c r="U55" s="344"/>
      <c r="V55" s="344"/>
      <c r="W55" s="344"/>
      <c r="X55" s="95" t="s">
        <v>105</v>
      </c>
      <c r="Y55" s="95" t="s">
        <v>106</v>
      </c>
      <c r="Z55" s="95" t="s">
        <v>107</v>
      </c>
      <c r="AA55" s="95" t="s">
        <v>195</v>
      </c>
      <c r="AP55" s="465"/>
      <c r="AQ55" s="465"/>
      <c r="AS55" s="465"/>
      <c r="AT55" s="51">
        <v>4</v>
      </c>
      <c r="AU55" s="93" t="s">
        <v>286</v>
      </c>
      <c r="AV55" s="93" t="str">
        <f t="shared" si="13"/>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3"/>
        <v>0 - Cama de frango corte</v>
      </c>
      <c r="AW56" s="75">
        <v>4</v>
      </c>
      <c r="AX56" s="25"/>
    </row>
    <row r="57" spans="2:50" ht="20.25" customHeight="1" x14ac:dyDescent="0.25">
      <c r="B57" s="449" t="str">
        <f>IF(AP42&gt;0,AP42,"-")</f>
        <v>Sulfato de zinco</v>
      </c>
      <c r="C57" s="449"/>
      <c r="D57" s="87" t="str">
        <f>IF(AV42&gt;0,AV42,"-")</f>
        <v>-</v>
      </c>
      <c r="E57" s="365" t="str">
        <f t="shared" ref="E57:E59" si="14">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3"/>
        <v>1 - Cama de frango corte</v>
      </c>
      <c r="AW57" s="75">
        <v>1</v>
      </c>
    </row>
    <row r="58" spans="2:50" ht="20.25" customHeight="1" x14ac:dyDescent="0.25">
      <c r="B58" s="449" t="str">
        <f>IF(AP43&gt;0,AP43,"-")</f>
        <v>Sulfato de manganês</v>
      </c>
      <c r="C58" s="449"/>
      <c r="D58" s="87" t="str">
        <f>IF(AV43&gt;0,AV43,"-")</f>
        <v>-</v>
      </c>
      <c r="E58" s="365" t="str">
        <f t="shared" si="14"/>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0 - Esterco de galinha</v>
      </c>
      <c r="AR58" s="463"/>
      <c r="AS58" s="25"/>
      <c r="AT58" s="75">
        <v>2</v>
      </c>
      <c r="AU58" s="97" t="s">
        <v>293</v>
      </c>
      <c r="AV58" s="97" t="str">
        <f t="shared" si="13"/>
        <v>2 - Cama de frango corte</v>
      </c>
      <c r="AW58" s="75">
        <v>3</v>
      </c>
    </row>
    <row r="59" spans="2:50" ht="20.25" customHeight="1" x14ac:dyDescent="0.25">
      <c r="B59" s="449" t="str">
        <f>IF(AP44&gt;0,AP44,"-")</f>
        <v>-</v>
      </c>
      <c r="C59" s="449"/>
      <c r="D59" s="87" t="str">
        <f>IF(AV44&gt;0,AV44,"-")</f>
        <v>-</v>
      </c>
      <c r="E59" s="365" t="str">
        <f t="shared" si="14"/>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6</v>
      </c>
      <c r="AR59" s="456"/>
      <c r="AS59" s="25"/>
      <c r="AT59" s="75">
        <v>3</v>
      </c>
      <c r="AU59" s="97" t="s">
        <v>293</v>
      </c>
      <c r="AV59" s="97" t="str">
        <f t="shared" si="13"/>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3"/>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3"/>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3"/>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3"/>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3"/>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3"/>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3"/>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3"/>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3"/>
        <v>2 - Esterco Bovino curtido</v>
      </c>
      <c r="AW68" s="75">
        <v>7</v>
      </c>
    </row>
    <row r="69" spans="2:49" ht="20.25" customHeight="1" thickBot="1" x14ac:dyDescent="0.3">
      <c r="M69" s="69"/>
      <c r="N69" s="70"/>
      <c r="O69" s="70"/>
      <c r="P69" s="70"/>
      <c r="Q69" s="70"/>
      <c r="R69" s="71"/>
      <c r="AT69" s="75">
        <v>3</v>
      </c>
      <c r="AU69" s="97" t="s">
        <v>292</v>
      </c>
      <c r="AV69" s="97" t="str">
        <f t="shared" si="13"/>
        <v>3 - Esterco Bovino curtido</v>
      </c>
      <c r="AW69" s="75">
        <v>12</v>
      </c>
    </row>
    <row r="70" spans="2:49" ht="20.25" customHeight="1" thickBot="1" x14ac:dyDescent="0.3">
      <c r="AT70" s="75">
        <v>4</v>
      </c>
      <c r="AU70" s="97" t="s">
        <v>292</v>
      </c>
      <c r="AV70" s="97" t="str">
        <f t="shared" si="13"/>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3"/>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3"/>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3"/>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3"/>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3"/>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3"/>
        <v>0 - Esterco de suínos</v>
      </c>
      <c r="AW76" s="75">
        <v>10</v>
      </c>
    </row>
    <row r="77" spans="2:49" ht="20.2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3"/>
        <v>1 - Esterco de suínos</v>
      </c>
      <c r="AW77" s="75">
        <v>4</v>
      </c>
    </row>
    <row r="78" spans="2:49" ht="20.2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3"/>
        <v>2 - Esterco de suínos</v>
      </c>
      <c r="AW78" s="75">
        <v>6</v>
      </c>
    </row>
    <row r="79" spans="2:49" ht="20.2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3"/>
        <v>3 - Esterco de suínos</v>
      </c>
      <c r="AW79" s="75">
        <v>10</v>
      </c>
    </row>
    <row r="80" spans="2:49" ht="20.2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3"/>
        <v>4 - Esterco de suínos</v>
      </c>
      <c r="AW80" s="75">
        <v>4</v>
      </c>
    </row>
    <row r="81" spans="13:49" ht="20.2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3"/>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3"/>
        <v>1 - Esterco de ovinos</v>
      </c>
      <c r="AW82" s="51">
        <v>4</v>
      </c>
    </row>
    <row r="83" spans="13:49" ht="20.25" customHeight="1" x14ac:dyDescent="0.25">
      <c r="M83" s="364"/>
      <c r="N83" s="365"/>
      <c r="O83" s="448" t="s">
        <v>116</v>
      </c>
      <c r="P83" s="448"/>
      <c r="Q83" s="92">
        <v>0.5</v>
      </c>
      <c r="R83" s="53"/>
      <c r="AT83" s="51">
        <v>2</v>
      </c>
      <c r="AU83" s="93" t="s">
        <v>288</v>
      </c>
      <c r="AV83" s="93" t="str">
        <f t="shared" si="13"/>
        <v>2 - Esterco de ovinos</v>
      </c>
      <c r="AW83" s="51">
        <v>6</v>
      </c>
    </row>
    <row r="84" spans="13:49" ht="20.25" customHeight="1" x14ac:dyDescent="0.25">
      <c r="M84" s="364"/>
      <c r="N84" s="365"/>
      <c r="O84" s="448"/>
      <c r="P84" s="448"/>
      <c r="Q84" s="92"/>
      <c r="R84" s="53"/>
      <c r="AT84" s="51">
        <v>3</v>
      </c>
      <c r="AU84" s="93" t="s">
        <v>288</v>
      </c>
      <c r="AV84" s="93" t="str">
        <f t="shared" si="13"/>
        <v>3 - Esterco de ovinos</v>
      </c>
      <c r="AW84" s="51">
        <v>10</v>
      </c>
    </row>
    <row r="85" spans="13:49" ht="20.2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T85" s="51">
        <v>4</v>
      </c>
      <c r="AU85" s="93" t="s">
        <v>288</v>
      </c>
      <c r="AV85" s="93" t="str">
        <f t="shared" si="13"/>
        <v>4 - Esterco de ovinos</v>
      </c>
      <c r="AW85" s="51">
        <v>4</v>
      </c>
    </row>
    <row r="86" spans="13:49" ht="20.2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3"/>
        <v>0 - Lodo de esgosto</v>
      </c>
      <c r="AW86" s="75">
        <v>15</v>
      </c>
    </row>
    <row r="87" spans="13:49" ht="20.2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5">Y160</f>
        <v>8.7999999999999995E-2</v>
      </c>
      <c r="Z87" s="99">
        <f t="shared" si="15"/>
        <v>0.2</v>
      </c>
      <c r="AA87" s="99">
        <f t="shared" si="15"/>
        <v>2.83</v>
      </c>
      <c r="AB87" s="99">
        <f t="shared" si="15"/>
        <v>3.4</v>
      </c>
      <c r="AC87" s="100">
        <f>AC160*0.602</f>
        <v>1.5155244755244754</v>
      </c>
      <c r="AD87" s="100">
        <f>AD160*0.715</f>
        <v>5.4634551495016606</v>
      </c>
      <c r="AE87" s="100">
        <f t="shared" ref="AE87:AE95" si="16">AB87+AC87+AD87</f>
        <v>10.378979625026137</v>
      </c>
      <c r="AT87" s="75">
        <v>1</v>
      </c>
      <c r="AU87" s="97" t="s">
        <v>289</v>
      </c>
      <c r="AV87" s="97" t="str">
        <f t="shared" si="13"/>
        <v>1 - Lodo de esgosto</v>
      </c>
      <c r="AW87" s="75">
        <v>10</v>
      </c>
    </row>
    <row r="88" spans="13:49" ht="20.25" customHeight="1" x14ac:dyDescent="0.25">
      <c r="M88" s="364"/>
      <c r="N88" s="365"/>
      <c r="O88" s="450" t="s">
        <v>254</v>
      </c>
      <c r="P88" s="451"/>
      <c r="Q88" s="452"/>
      <c r="R88" s="53"/>
      <c r="U88" s="466"/>
      <c r="V88" s="99" t="str">
        <f t="shared" ref="V88:W95" si="17">V161</f>
        <v>Kamafugito</v>
      </c>
      <c r="W88" s="99">
        <f t="shared" si="17"/>
        <v>0</v>
      </c>
      <c r="X88" s="99">
        <f t="shared" ref="X88:X95" si="18">AL161</f>
        <v>0</v>
      </c>
      <c r="Y88" s="99">
        <f t="shared" si="15"/>
        <v>1.5069999999999999</v>
      </c>
      <c r="Z88" s="99">
        <f t="shared" si="15"/>
        <v>3.5</v>
      </c>
      <c r="AA88" s="99">
        <f t="shared" si="15"/>
        <v>3.3250000000000002</v>
      </c>
      <c r="AB88" s="99">
        <f t="shared" si="15"/>
        <v>4</v>
      </c>
      <c r="AC88" s="100">
        <f t="shared" ref="AC88:AC95" si="19">AC161*0.602</f>
        <v>1.7217199999999999</v>
      </c>
      <c r="AD88" s="100">
        <f t="shared" ref="AD88:AD95" si="20">AD161*0.715</f>
        <v>0</v>
      </c>
      <c r="AE88" s="100">
        <f t="shared" si="16"/>
        <v>5.7217199999999995</v>
      </c>
      <c r="AT88" s="75">
        <v>2</v>
      </c>
      <c r="AU88" s="97" t="s">
        <v>289</v>
      </c>
      <c r="AV88" s="97" t="str">
        <f t="shared" si="13"/>
        <v>2 - Lodo de esgosto</v>
      </c>
      <c r="AW88" s="75">
        <v>5</v>
      </c>
    </row>
    <row r="89" spans="13:49" ht="20.25" customHeight="1" x14ac:dyDescent="0.25">
      <c r="M89" s="364"/>
      <c r="N89" s="365"/>
      <c r="O89" s="450" t="s">
        <v>251</v>
      </c>
      <c r="P89" s="451"/>
      <c r="Q89" s="452"/>
      <c r="R89" s="53"/>
      <c r="U89" s="466"/>
      <c r="V89" s="99" t="str">
        <f t="shared" si="17"/>
        <v>Micaxisto (61) 3233-9368</v>
      </c>
      <c r="W89" s="99">
        <f t="shared" si="17"/>
        <v>0</v>
      </c>
      <c r="X89" s="99">
        <f t="shared" si="18"/>
        <v>0</v>
      </c>
      <c r="Y89" s="99">
        <f t="shared" si="15"/>
        <v>4.4999999999999998E-2</v>
      </c>
      <c r="Z89" s="99">
        <f t="shared" si="15"/>
        <v>0.1</v>
      </c>
      <c r="AA89" s="99">
        <f t="shared" si="15"/>
        <v>4.32</v>
      </c>
      <c r="AB89" s="99">
        <f t="shared" si="15"/>
        <v>5.2</v>
      </c>
      <c r="AC89" s="100">
        <f t="shared" si="19"/>
        <v>0.75776223776223772</v>
      </c>
      <c r="AD89" s="100">
        <f t="shared" si="20"/>
        <v>0.83139534883720934</v>
      </c>
      <c r="AE89" s="100">
        <f t="shared" si="16"/>
        <v>6.7891575865994476</v>
      </c>
      <c r="AT89" s="75">
        <v>3</v>
      </c>
      <c r="AU89" s="97" t="s">
        <v>289</v>
      </c>
      <c r="AV89" s="97" t="str">
        <f t="shared" si="13"/>
        <v>3 - Lodo de esgosto</v>
      </c>
      <c r="AW89" s="75">
        <v>15</v>
      </c>
    </row>
    <row r="90" spans="13:49" ht="20.25" customHeight="1" x14ac:dyDescent="0.25">
      <c r="M90" s="364"/>
      <c r="N90" s="365"/>
      <c r="O90" s="448" t="s">
        <v>93</v>
      </c>
      <c r="P90" s="448"/>
      <c r="Q90" s="92">
        <v>1</v>
      </c>
      <c r="R90" s="53"/>
      <c r="U90" s="466"/>
      <c r="V90" s="99" t="str">
        <f t="shared" si="17"/>
        <v xml:space="preserve">Pó de brita Fmx (62) 3924 8565 </v>
      </c>
      <c r="W90" s="99">
        <f t="shared" si="17"/>
        <v>0</v>
      </c>
      <c r="X90" s="99">
        <f t="shared" si="18"/>
        <v>0</v>
      </c>
      <c r="Y90" s="99">
        <f t="shared" si="15"/>
        <v>0</v>
      </c>
      <c r="Z90" s="99">
        <f t="shared" si="15"/>
        <v>0</v>
      </c>
      <c r="AA90" s="99">
        <f t="shared" si="15"/>
        <v>4.99</v>
      </c>
      <c r="AB90" s="99">
        <f t="shared" si="15"/>
        <v>6</v>
      </c>
      <c r="AC90" s="100">
        <f t="shared" si="19"/>
        <v>2.5258741258741257</v>
      </c>
      <c r="AD90" s="100">
        <f t="shared" si="20"/>
        <v>0.59385382059800662</v>
      </c>
      <c r="AE90" s="100">
        <f t="shared" si="16"/>
        <v>9.1197279464721319</v>
      </c>
      <c r="AT90" s="75">
        <v>4</v>
      </c>
      <c r="AU90" s="97" t="s">
        <v>289</v>
      </c>
      <c r="AV90" s="97" t="str">
        <f t="shared" si="13"/>
        <v>4 - Lodo de esgosto</v>
      </c>
      <c r="AW90" s="75">
        <v>10</v>
      </c>
    </row>
    <row r="91" spans="13:49" ht="20.25" customHeight="1" x14ac:dyDescent="0.25">
      <c r="M91" s="364"/>
      <c r="N91" s="365"/>
      <c r="O91" s="448"/>
      <c r="P91" s="448"/>
      <c r="Q91" s="92"/>
      <c r="R91" s="53"/>
      <c r="U91" s="466"/>
      <c r="V91" s="99" t="str">
        <f t="shared" si="17"/>
        <v>Remax Mistel (61) 99414-1975</v>
      </c>
      <c r="W91" s="99">
        <f t="shared" si="17"/>
        <v>0</v>
      </c>
      <c r="X91" s="99">
        <f t="shared" si="18"/>
        <v>43.8</v>
      </c>
      <c r="Y91" s="99">
        <f t="shared" si="15"/>
        <v>4.4999999999999998E-2</v>
      </c>
      <c r="Z91" s="99">
        <f t="shared" si="15"/>
        <v>0.1</v>
      </c>
      <c r="AA91" s="99">
        <f t="shared" si="15"/>
        <v>2.1949999999999998</v>
      </c>
      <c r="AB91" s="99">
        <f t="shared" si="15"/>
        <v>2.6</v>
      </c>
      <c r="AC91" s="100">
        <f t="shared" si="19"/>
        <v>11.282237762237763</v>
      </c>
      <c r="AD91" s="100">
        <f t="shared" si="20"/>
        <v>8.8959302325581397</v>
      </c>
      <c r="AE91" s="100">
        <f t="shared" si="16"/>
        <v>22.778167994795901</v>
      </c>
      <c r="AT91" s="51">
        <v>0</v>
      </c>
      <c r="AU91" s="93" t="s">
        <v>290</v>
      </c>
      <c r="AV91" s="93" t="str">
        <f t="shared" si="13"/>
        <v>0 - Compostos orgânicos</v>
      </c>
      <c r="AW91" s="51">
        <v>6</v>
      </c>
    </row>
    <row r="92" spans="13:49" ht="20.25" customHeight="1" x14ac:dyDescent="0.25">
      <c r="M92" s="364"/>
      <c r="N92" s="365"/>
      <c r="O92" s="448"/>
      <c r="P92" s="448"/>
      <c r="Q92" s="92"/>
      <c r="R92" s="53"/>
      <c r="U92" s="466"/>
      <c r="V92" s="99">
        <f t="shared" si="17"/>
        <v>0</v>
      </c>
      <c r="W92" s="99">
        <f t="shared" si="17"/>
        <v>0</v>
      </c>
      <c r="X92" s="99">
        <f t="shared" si="18"/>
        <v>0</v>
      </c>
      <c r="Y92" s="99">
        <f t="shared" si="15"/>
        <v>0</v>
      </c>
      <c r="Z92" s="99">
        <f t="shared" si="15"/>
        <v>0</v>
      </c>
      <c r="AA92" s="99">
        <f t="shared" si="15"/>
        <v>0</v>
      </c>
      <c r="AB92" s="99">
        <f t="shared" si="15"/>
        <v>0</v>
      </c>
      <c r="AC92" s="100">
        <f t="shared" si="19"/>
        <v>0</v>
      </c>
      <c r="AD92" s="100">
        <f t="shared" si="20"/>
        <v>0</v>
      </c>
      <c r="AE92" s="100">
        <f t="shared" si="16"/>
        <v>0</v>
      </c>
      <c r="AT92" s="51">
        <v>1</v>
      </c>
      <c r="AU92" s="93" t="s">
        <v>290</v>
      </c>
      <c r="AV92" s="93" t="str">
        <f t="shared" si="13"/>
        <v>1 - Compostos orgânicos</v>
      </c>
      <c r="AW92" s="51">
        <v>2</v>
      </c>
    </row>
    <row r="93" spans="13:49" ht="20.25" customHeight="1" x14ac:dyDescent="0.25">
      <c r="M93" s="101"/>
      <c r="N93" s="25"/>
      <c r="O93" s="25"/>
      <c r="P93" s="25"/>
      <c r="Q93" s="25"/>
      <c r="R93" s="53"/>
      <c r="U93" s="466"/>
      <c r="V93" s="99">
        <f t="shared" si="17"/>
        <v>0</v>
      </c>
      <c r="W93" s="99">
        <f t="shared" si="17"/>
        <v>0</v>
      </c>
      <c r="X93" s="99">
        <f t="shared" si="18"/>
        <v>0</v>
      </c>
      <c r="Y93" s="99">
        <f t="shared" si="15"/>
        <v>0</v>
      </c>
      <c r="Z93" s="99">
        <f t="shared" si="15"/>
        <v>0</v>
      </c>
      <c r="AA93" s="99">
        <f t="shared" si="15"/>
        <v>0</v>
      </c>
      <c r="AB93" s="99">
        <f t="shared" si="15"/>
        <v>0</v>
      </c>
      <c r="AC93" s="100">
        <f t="shared" si="19"/>
        <v>0</v>
      </c>
      <c r="AD93" s="100">
        <f t="shared" si="20"/>
        <v>0</v>
      </c>
      <c r="AE93" s="100">
        <f t="shared" si="16"/>
        <v>0</v>
      </c>
      <c r="AT93" s="51">
        <v>2</v>
      </c>
      <c r="AU93" s="93" t="s">
        <v>290</v>
      </c>
      <c r="AV93" s="93" t="str">
        <f t="shared" si="13"/>
        <v>2 - Compostos orgânicos</v>
      </c>
      <c r="AW93" s="51">
        <v>4</v>
      </c>
    </row>
    <row r="94" spans="13:49" ht="20.25" customHeight="1" x14ac:dyDescent="0.25">
      <c r="M94" s="101"/>
      <c r="N94" s="25"/>
      <c r="O94" s="365" t="s">
        <v>264</v>
      </c>
      <c r="P94" s="365"/>
      <c r="Q94" s="365"/>
      <c r="R94" s="53"/>
      <c r="U94" s="466"/>
      <c r="V94" s="99">
        <f t="shared" si="17"/>
        <v>0</v>
      </c>
      <c r="W94" s="99">
        <f t="shared" si="17"/>
        <v>0</v>
      </c>
      <c r="X94" s="99">
        <f t="shared" si="18"/>
        <v>0</v>
      </c>
      <c r="Y94" s="99">
        <f t="shared" si="15"/>
        <v>0</v>
      </c>
      <c r="Z94" s="99">
        <f t="shared" si="15"/>
        <v>0</v>
      </c>
      <c r="AA94" s="99">
        <f t="shared" si="15"/>
        <v>0</v>
      </c>
      <c r="AB94" s="99">
        <f t="shared" si="15"/>
        <v>0</v>
      </c>
      <c r="AC94" s="100">
        <f t="shared" si="19"/>
        <v>0</v>
      </c>
      <c r="AD94" s="100">
        <f t="shared" si="20"/>
        <v>0</v>
      </c>
      <c r="AE94" s="100">
        <f t="shared" si="16"/>
        <v>0</v>
      </c>
      <c r="AT94" s="51">
        <v>3</v>
      </c>
      <c r="AU94" s="93" t="s">
        <v>290</v>
      </c>
      <c r="AV94" s="93" t="str">
        <f t="shared" si="13"/>
        <v>3 - Compostos orgânicos</v>
      </c>
      <c r="AW94" s="51">
        <v>6</v>
      </c>
    </row>
    <row r="95" spans="13:49" ht="20.25" customHeight="1" thickBot="1" x14ac:dyDescent="0.3">
      <c r="M95" s="69"/>
      <c r="N95" s="70"/>
      <c r="O95" s="70"/>
      <c r="P95" s="70"/>
      <c r="Q95" s="70"/>
      <c r="R95" s="71"/>
      <c r="U95" s="466"/>
      <c r="V95" s="99">
        <f t="shared" si="17"/>
        <v>0</v>
      </c>
      <c r="W95" s="99">
        <f t="shared" si="17"/>
        <v>0</v>
      </c>
      <c r="X95" s="99">
        <f t="shared" si="18"/>
        <v>0</v>
      </c>
      <c r="Y95" s="99">
        <f t="shared" si="15"/>
        <v>0</v>
      </c>
      <c r="Z95" s="99">
        <f t="shared" si="15"/>
        <v>0</v>
      </c>
      <c r="AA95" s="99">
        <f t="shared" si="15"/>
        <v>0</v>
      </c>
      <c r="AB95" s="99">
        <f t="shared" si="15"/>
        <v>0</v>
      </c>
      <c r="AC95" s="100">
        <f t="shared" si="19"/>
        <v>0</v>
      </c>
      <c r="AD95" s="100">
        <f t="shared" si="20"/>
        <v>0</v>
      </c>
      <c r="AE95" s="100">
        <f t="shared" si="16"/>
        <v>0</v>
      </c>
      <c r="AT95" s="51">
        <v>4</v>
      </c>
      <c r="AU95" s="93" t="s">
        <v>290</v>
      </c>
      <c r="AV95" s="93" t="str">
        <f t="shared" si="13"/>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$AC$30</f>
        <v>50</v>
      </c>
      <c r="P99" s="103">
        <f>$AC$31</f>
        <v>10</v>
      </c>
      <c r="Q99" s="103">
        <f>$AC$32</f>
        <v>10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9.6</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1">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U87:U95"/>
    <mergeCell ref="O88:Q88"/>
    <mergeCell ref="O89:Q89"/>
    <mergeCell ref="O90:P90"/>
    <mergeCell ref="O91:P91"/>
    <mergeCell ref="O92:P92"/>
    <mergeCell ref="O94:Q94"/>
    <mergeCell ref="O68:Q68"/>
    <mergeCell ref="U71:U72"/>
    <mergeCell ref="V71:V72"/>
    <mergeCell ref="W71:W72"/>
    <mergeCell ref="X71:Z71"/>
    <mergeCell ref="M72:N92"/>
    <mergeCell ref="O72:Q72"/>
    <mergeCell ref="O73:Q73"/>
    <mergeCell ref="U73:U82"/>
    <mergeCell ref="O83:P83"/>
    <mergeCell ref="O84:P84"/>
    <mergeCell ref="U85:U86"/>
    <mergeCell ref="V85:V86"/>
    <mergeCell ref="W85:W86"/>
    <mergeCell ref="X85:AE85"/>
    <mergeCell ref="O86:Q86"/>
    <mergeCell ref="O75:P75"/>
    <mergeCell ref="O76:P76"/>
    <mergeCell ref="O78:Q78"/>
    <mergeCell ref="O80:Q80"/>
    <mergeCell ref="O81:Q81"/>
    <mergeCell ref="O82:P82"/>
    <mergeCell ref="O74:P74"/>
    <mergeCell ref="B67:E67"/>
    <mergeCell ref="F67:I67"/>
    <mergeCell ref="AQ57:AR57"/>
    <mergeCell ref="B58:C58"/>
    <mergeCell ref="E58:I58"/>
    <mergeCell ref="AQ58:AR58"/>
    <mergeCell ref="B59:C59"/>
    <mergeCell ref="E59:I59"/>
    <mergeCell ref="AQ59:AR5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B44:C44"/>
    <mergeCell ref="E44:I44"/>
    <mergeCell ref="M44:R44"/>
    <mergeCell ref="AP44:AQ44"/>
    <mergeCell ref="B45:C45"/>
    <mergeCell ref="E45:I45"/>
    <mergeCell ref="O45:Q46"/>
    <mergeCell ref="U45:V45"/>
    <mergeCell ref="X45:Z45"/>
    <mergeCell ref="B46:C46"/>
    <mergeCell ref="B43:C43"/>
    <mergeCell ref="E43:I43"/>
    <mergeCell ref="AP43:AQ43"/>
    <mergeCell ref="E40:I40"/>
    <mergeCell ref="AP40:AQ40"/>
    <mergeCell ref="B41:C41"/>
    <mergeCell ref="E41:I41"/>
    <mergeCell ref="O41:Q41"/>
    <mergeCell ref="AP41:AQ41"/>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D22:AD23"/>
    <mergeCell ref="AP25:AP26"/>
    <mergeCell ref="AQ25:AR26"/>
    <mergeCell ref="B26:I26"/>
    <mergeCell ref="U26:Z26"/>
    <mergeCell ref="AM18:AM20"/>
    <mergeCell ref="AQ18:AR18"/>
    <mergeCell ref="AQ19:AR19"/>
    <mergeCell ref="B20:E20"/>
    <mergeCell ref="V20:X20"/>
    <mergeCell ref="AQ20:AR20"/>
    <mergeCell ref="B16:I16"/>
    <mergeCell ref="AP16:AP17"/>
    <mergeCell ref="AQ16:AR17"/>
    <mergeCell ref="AV16:AV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s>
  <dataValidations count="5">
    <dataValidation type="list" allowBlank="1" showInputMessage="1" showErrorMessage="1" sqref="O105:Q109">
      <formula1>$V$170:$V$179</formula1>
    </dataValidation>
    <dataValidation type="list" allowBlank="1" showInputMessage="1" showErrorMessage="1" sqref="O42:Q42">
      <formula1>$AK$29:$AK$38</formula1>
    </dataValidation>
    <dataValidation type="list" allowBlank="1" showInputMessage="1" showErrorMessage="1" sqref="Q82:Q84 Q90:Q92 Q74:Q76 Q47 Q50">
      <formula1>$AI$29:$AI$40</formula1>
    </dataValidation>
    <dataValidation type="list" allowBlank="1" showInputMessage="1" showErrorMessage="1" sqref="P39:Q39">
      <formula1>$AE$31:$AE$35</formula1>
    </dataValidation>
    <dataValidation type="list" allowBlank="1" showInputMessage="1" showErrorMessage="1" sqref="O68 O176 N159 O174">
      <formula1>$AG$29:$AG$30</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corretivos'!$C$3:$C$62</xm:f>
          </x14:formula1>
          <xm:sqref>O74:P76 O82:P84 O90:P92</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corretivos'!$C$87:$C$99</xm:f>
          </x14:formula1>
          <xm:sqref>O47:P47</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E49" sqref="E49:I49"/>
    </sheetView>
  </sheetViews>
  <sheetFormatPr defaultRowHeight="19.5" customHeight="1" outlineLevelCol="1" x14ac:dyDescent="0.25"/>
  <cols>
    <col min="1" max="1" width="5.7109375" style="11" customWidth="1"/>
    <col min="2" max="2" width="37.28515625" style="11" customWidth="1"/>
    <col min="3" max="3" width="29.5703125" style="11" customWidth="1"/>
    <col min="4" max="9" width="16.7109375" style="11" customWidth="1"/>
    <col min="10" max="10" width="5.85546875" style="66" customWidth="1"/>
    <col min="11" max="12" width="0" style="11" hidden="1" customWidth="1"/>
    <col min="13" max="13" width="36.5703125" style="11" customWidth="1"/>
    <col min="14" max="14" width="13.140625" style="11" bestFit="1" customWidth="1"/>
    <col min="15" max="15" width="29.7109375" style="11" customWidth="1"/>
    <col min="16" max="16" width="18.42578125" style="11" customWidth="1"/>
    <col min="17" max="17" width="49.140625" style="11" customWidth="1"/>
    <col min="18" max="18" width="8"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7.42578125" style="11" hidden="1" customWidth="1" outlineLevel="1"/>
    <col min="25" max="25" width="22.42578125" style="11" hidden="1" customWidth="1" outlineLevel="1"/>
    <col min="26" max="26" width="22"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36.140625" style="11" hidden="1" customWidth="1" outlineLevel="1"/>
    <col min="32" max="32" width="25.5703125" style="11" hidden="1" customWidth="1" outlineLevel="1"/>
    <col min="33" max="33" width="22" style="11" hidden="1" customWidth="1" outlineLevel="1"/>
    <col min="34" max="34" width="21.5703125" style="11" hidden="1" customWidth="1" outlineLevel="1"/>
    <col min="35" max="35" width="24.7109375" style="11" hidden="1" customWidth="1" outlineLevel="1"/>
    <col min="36" max="36" width="14.28515625" style="11" hidden="1" customWidth="1" outlineLevel="1"/>
    <col min="37" max="37" width="32.42578125" style="11" hidden="1" customWidth="1" outlineLevel="1"/>
    <col min="38" max="38" width="13.1406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13.7109375" style="11" hidden="1" customWidth="1" outlineLevel="1"/>
    <col min="47" max="47" width="31.42578125" style="11" hidden="1" customWidth="1" outlineLevel="1"/>
    <col min="48" max="48" width="9.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19.5" customHeight="1" thickBot="1" x14ac:dyDescent="0.3">
      <c r="A1" s="23"/>
    </row>
    <row r="2" spans="1:54" ht="19.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19.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19.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19.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880</v>
      </c>
      <c r="AT5" s="55">
        <f>$AC$31</f>
        <v>120</v>
      </c>
      <c r="AU5" s="55">
        <f>$AC$32</f>
        <v>400</v>
      </c>
      <c r="AV5" s="509"/>
      <c r="AW5" s="47"/>
      <c r="AX5" s="47"/>
      <c r="AY5" s="47"/>
      <c r="AZ5" s="47"/>
      <c r="BA5" s="47"/>
      <c r="BB5" s="47"/>
    </row>
    <row r="6" spans="1:54" ht="19.5" customHeight="1" x14ac:dyDescent="0.25">
      <c r="M6" s="364"/>
      <c r="N6" s="453"/>
      <c r="O6" s="51" t="s">
        <v>3</v>
      </c>
      <c r="P6" s="56">
        <v>2</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60.000000000000014</v>
      </c>
      <c r="AU6" s="55">
        <f>IFERROR((VLOOKUP(AQ6,$V$100:$AB$179,7,0)*0.01)*AV6,0)</f>
        <v>0</v>
      </c>
      <c r="AV6" s="55">
        <f>IFERROR($AT$5*Q74/(VLOOKUP(AQ6,$V$100:$AB$179,5,0)/100),0)</f>
        <v>342.85714285714289</v>
      </c>
      <c r="AW6" s="47"/>
      <c r="AX6" s="47"/>
      <c r="AY6" s="47"/>
      <c r="AZ6" s="47"/>
      <c r="BA6" s="47"/>
      <c r="BB6" s="47"/>
    </row>
    <row r="7" spans="1:54" ht="19.5" customHeight="1" x14ac:dyDescent="0.25">
      <c r="M7" s="364"/>
      <c r="N7" s="453"/>
      <c r="O7" s="51" t="s">
        <v>4</v>
      </c>
      <c r="P7" s="32">
        <v>1</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60.000000000000007</v>
      </c>
      <c r="AU7" s="55">
        <f>IFERROR((VLOOKUP(AQ7,$V$100:$AB$179,7,0)*0.01)*AV7,0)</f>
        <v>0</v>
      </c>
      <c r="AV7" s="55">
        <f>IFERROR($AT$5*Q75/(VLOOKUP(AQ7,$V$100:$AB$179,5,0)/100),0)</f>
        <v>333.33333333333337</v>
      </c>
      <c r="AW7" s="47"/>
      <c r="AX7" s="47"/>
      <c r="AY7" s="47"/>
      <c r="AZ7" s="47"/>
      <c r="BA7" s="47"/>
      <c r="BB7" s="47"/>
    </row>
    <row r="8" spans="1:54" ht="19.5" customHeight="1" thickBot="1" x14ac:dyDescent="0.3">
      <c r="M8" s="364"/>
      <c r="N8" s="453"/>
      <c r="O8" s="51" t="s">
        <v>5</v>
      </c>
      <c r="P8" s="56">
        <v>1</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19.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4</v>
      </c>
      <c r="AL9" s="457">
        <f>(AM9*1000)/$E$18</f>
        <v>4</v>
      </c>
      <c r="AM9" s="456">
        <v>1</v>
      </c>
      <c r="AO9" s="47"/>
      <c r="AP9" s="47"/>
      <c r="AQ9" s="47"/>
      <c r="AR9" s="47"/>
      <c r="AS9" s="59">
        <f>AS5-(SUM(AS6:AS8))</f>
        <v>880</v>
      </c>
      <c r="AT9" s="59">
        <f>AT5-(SUM(AT6:AT8))</f>
        <v>0</v>
      </c>
      <c r="AU9" s="59">
        <f>AU5-(SUM(AU6:AU8))</f>
        <v>400</v>
      </c>
      <c r="AV9" s="59"/>
      <c r="AW9" s="47"/>
      <c r="AX9" s="47"/>
      <c r="AY9" s="47"/>
      <c r="AZ9" s="47"/>
      <c r="BA9" s="47"/>
      <c r="BB9" s="47"/>
    </row>
    <row r="10" spans="1:54" ht="19.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c r="AX10" s="47"/>
      <c r="AY10" s="47"/>
      <c r="AZ10" s="47"/>
      <c r="BA10" s="47"/>
      <c r="BB10" s="47"/>
    </row>
    <row r="11" spans="1:54" ht="19.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880</v>
      </c>
      <c r="AT11" s="55">
        <f t="shared" ref="AT11:AU11" si="0">AT9</f>
        <v>0</v>
      </c>
      <c r="AU11" s="55">
        <f t="shared" si="0"/>
        <v>400</v>
      </c>
      <c r="AV11" s="509"/>
      <c r="AW11" s="47"/>
      <c r="AX11" s="47"/>
      <c r="AY11" s="47"/>
      <c r="AZ11" s="47"/>
      <c r="BA11" s="47"/>
      <c r="BB11" s="47"/>
    </row>
    <row r="12" spans="1:54" ht="19.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2</v>
      </c>
      <c r="AM12" s="456">
        <v>0.5</v>
      </c>
      <c r="AO12" s="47"/>
      <c r="AP12" s="54">
        <v>7</v>
      </c>
      <c r="AQ12" s="447" t="str">
        <f>O82</f>
        <v>Cloreto de potássio</v>
      </c>
      <c r="AR12" s="447"/>
      <c r="AS12" s="55">
        <f>IFERROR((VLOOKUP(AQ12,$V$100:$AB$179,3,0)*0.01)*AV12,0)</f>
        <v>0</v>
      </c>
      <c r="AT12" s="55">
        <f>IFERROR((VLOOKUP(AQ12,$V$100:$AB$179,5,0)*0.01)*AV12,0)</f>
        <v>0</v>
      </c>
      <c r="AU12" s="55">
        <f>IFERROR((VLOOKUP(AQ12,$V$100:$AB$179,7,0)*0.01)*AV12,0)</f>
        <v>200.00000000000003</v>
      </c>
      <c r="AV12" s="55">
        <f>IFERROR($AU$11*Q82/(VLOOKUP(AQ12,$V$100:$AB$179,7,0)/100),0)</f>
        <v>333.33333333333337</v>
      </c>
      <c r="AW12" s="47"/>
      <c r="AX12" s="47"/>
      <c r="AY12" s="47"/>
      <c r="AZ12" s="47"/>
      <c r="BA12" s="47"/>
      <c r="BB12" s="47"/>
    </row>
    <row r="13" spans="1:54" ht="19.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200</v>
      </c>
      <c r="AV13" s="55">
        <f>IFERROR($AU$11*Q83/(VLOOKUP(AQ13,$V$100:$AB$179,7,0)/100),0)</f>
        <v>2500</v>
      </c>
      <c r="AW13" s="47"/>
      <c r="AX13" s="47"/>
      <c r="AY13" s="47"/>
      <c r="AZ13" s="47"/>
      <c r="BA13" s="47"/>
      <c r="BB13" s="47"/>
    </row>
    <row r="14" spans="1:54" ht="19.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19.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4</v>
      </c>
      <c r="AM15" s="456">
        <v>1</v>
      </c>
      <c r="AO15" s="47"/>
      <c r="AP15" s="47"/>
      <c r="AQ15" s="47"/>
      <c r="AR15" s="47"/>
      <c r="AS15" s="59">
        <f>AS11-(SUM(AS12:AS14))</f>
        <v>880</v>
      </c>
      <c r="AT15" s="59">
        <f>AT11-(SUM(AT12:AT14))</f>
        <v>0</v>
      </c>
      <c r="AU15" s="59">
        <f>AU11-(SUM(AU12:AU14))</f>
        <v>0</v>
      </c>
      <c r="AV15" s="47"/>
      <c r="AW15" s="47"/>
      <c r="AX15" s="47"/>
      <c r="AY15" s="47"/>
      <c r="AZ15" s="47"/>
      <c r="BA15" s="47"/>
      <c r="BB15" s="47"/>
    </row>
    <row r="16" spans="1:54" ht="19.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19.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880</v>
      </c>
      <c r="AT17" s="55">
        <f t="shared" ref="AT17:AU17" si="1">AT15</f>
        <v>0</v>
      </c>
      <c r="AU17" s="55">
        <f t="shared" si="1"/>
        <v>0</v>
      </c>
      <c r="AV17" s="509"/>
      <c r="AW17" s="47"/>
      <c r="AX17" s="47"/>
      <c r="AY17" s="47"/>
      <c r="AZ17" s="47"/>
      <c r="BA17" s="47"/>
      <c r="BB17" s="47"/>
    </row>
    <row r="18" spans="2:54" ht="19.5" customHeight="1" x14ac:dyDescent="0.25">
      <c r="B18" s="457" t="s">
        <v>134</v>
      </c>
      <c r="C18" s="457"/>
      <c r="D18" s="457"/>
      <c r="E18" s="60">
        <f>IFERROR(IF(ISERR(P35),Q35,IF(ISERR(Q35),P35)),"-")</f>
        <v>250</v>
      </c>
      <c r="F18" s="457" t="s">
        <v>125</v>
      </c>
      <c r="G18" s="457"/>
      <c r="H18" s="457"/>
      <c r="I18" s="51">
        <f>O34</f>
        <v>0</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20</v>
      </c>
      <c r="AM18" s="456">
        <v>5</v>
      </c>
      <c r="AO18" s="47"/>
      <c r="AP18" s="54">
        <v>13</v>
      </c>
      <c r="AQ18" s="447" t="str">
        <f>O90</f>
        <v>Nitrato de Amônio</v>
      </c>
      <c r="AR18" s="447"/>
      <c r="AS18" s="55">
        <f>IFERROR((VLOOKUP(AQ18,$V$100:$AB$179,3,0)*0.01)*AV18,0)</f>
        <v>880</v>
      </c>
      <c r="AT18" s="55">
        <f>IFERROR((VLOOKUP(AQ18,$V$100:$AB$179,5,0)*0.01)*AV18,0)</f>
        <v>0</v>
      </c>
      <c r="AU18" s="55">
        <f>IFERROR((VLOOKUP(AQ18,$V$100:$AB$179,7,0)*0.01)*AV18,0)</f>
        <v>0</v>
      </c>
      <c r="AV18" s="55">
        <f>IFERROR($AS$17*Q90/(VLOOKUP(AQ18,$V$100:$AB$179,3,0)/100),0)</f>
        <v>3034.4827586206898</v>
      </c>
      <c r="AW18" s="47"/>
      <c r="AX18" s="47"/>
      <c r="AY18" s="47"/>
      <c r="AZ18" s="47"/>
      <c r="BA18" s="47"/>
      <c r="BB18" s="47"/>
    </row>
    <row r="19" spans="2:54" ht="19.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19.5" customHeight="1" x14ac:dyDescent="0.25">
      <c r="B20" s="459" t="s">
        <v>183</v>
      </c>
      <c r="C20" s="512"/>
      <c r="D20" s="512"/>
      <c r="E20" s="460"/>
      <c r="F20" s="63" t="s">
        <v>126</v>
      </c>
      <c r="G20" s="63">
        <f>P24</f>
        <v>62.184873949579838</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19.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19.5" customHeight="1" x14ac:dyDescent="0.25">
      <c r="B22" s="64" t="s">
        <v>81</v>
      </c>
      <c r="C22" s="65">
        <f>P6</f>
        <v>2</v>
      </c>
      <c r="D22" s="63" t="s">
        <v>79</v>
      </c>
      <c r="E22" s="63">
        <f>P13</f>
        <v>38.299999999999997</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19.5" customHeight="1" x14ac:dyDescent="0.25">
      <c r="B23" s="64" t="s">
        <v>82</v>
      </c>
      <c r="C23" s="65">
        <f>P7</f>
        <v>1</v>
      </c>
      <c r="D23" s="63" t="s">
        <v>129</v>
      </c>
      <c r="E23" s="63">
        <f>P11</f>
        <v>2.7</v>
      </c>
      <c r="F23" s="63" t="s">
        <v>87</v>
      </c>
      <c r="G23" s="63">
        <f>P16</f>
        <v>4</v>
      </c>
      <c r="H23" s="63" t="s">
        <v>83</v>
      </c>
      <c r="I23" s="63">
        <f>P15</f>
        <v>20</v>
      </c>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19.5" customHeight="1" x14ac:dyDescent="0.25">
      <c r="B24" s="64" t="s">
        <v>80</v>
      </c>
      <c r="C24" s="65">
        <f>P8</f>
        <v>1</v>
      </c>
      <c r="D24" s="63" t="s">
        <v>130</v>
      </c>
      <c r="E24" s="63">
        <f>P10</f>
        <v>0.1</v>
      </c>
      <c r="F24" s="63" t="s">
        <v>89</v>
      </c>
      <c r="G24" s="63">
        <f>P17</f>
        <v>58.4</v>
      </c>
      <c r="H24" s="63" t="s">
        <v>131</v>
      </c>
      <c r="I24" s="63">
        <f>P25</f>
        <v>7.1400000000000006</v>
      </c>
      <c r="M24" s="364"/>
      <c r="N24" s="453"/>
      <c r="O24" s="51" t="s">
        <v>22</v>
      </c>
      <c r="P24" s="63">
        <f>100*(P6+P7+P8+P9)/P25</f>
        <v>62.184873949579838</v>
      </c>
      <c r="Q24" s="51" t="s">
        <v>23</v>
      </c>
      <c r="R24" s="53"/>
      <c r="AO24" s="47"/>
      <c r="AP24" s="47"/>
      <c r="AQ24" s="47"/>
      <c r="AR24" s="47"/>
      <c r="AS24" s="59">
        <f>AS26-(SUM(AS27:AS36))</f>
        <v>3.9980275862068964</v>
      </c>
      <c r="AT24" s="59">
        <f t="shared" ref="AT24:AV24" si="3">AT26-(SUM(AT27:AT36))</f>
        <v>-1.9724137931034481E-3</v>
      </c>
      <c r="AU24" s="59">
        <f t="shared" si="3"/>
        <v>-3.7931034482758625E-3</v>
      </c>
      <c r="AV24" s="59">
        <f t="shared" si="3"/>
        <v>-4.2482758620689657E-4</v>
      </c>
      <c r="AW24" s="47"/>
      <c r="AX24" s="47"/>
      <c r="AY24" s="47"/>
      <c r="AZ24" s="47"/>
      <c r="BA24" s="47"/>
      <c r="BB24" s="47"/>
    </row>
    <row r="25" spans="2:54" ht="19.5" customHeight="1" thickBot="1" x14ac:dyDescent="0.3">
      <c r="M25" s="364"/>
      <c r="N25" s="453"/>
      <c r="O25" s="51" t="s">
        <v>24</v>
      </c>
      <c r="P25" s="67">
        <f>(P6+P7+P8+P9+P11)</f>
        <v>7.1400000000000006</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19.5" customHeight="1" thickBot="1" x14ac:dyDescent="0.3">
      <c r="B26" s="485" t="s">
        <v>272</v>
      </c>
      <c r="C26" s="486"/>
      <c r="D26" s="486"/>
      <c r="E26" s="486"/>
      <c r="F26" s="486"/>
      <c r="G26" s="486"/>
      <c r="H26" s="486"/>
      <c r="I26" s="487"/>
      <c r="M26" s="69"/>
      <c r="N26" s="70"/>
      <c r="O26" s="70"/>
      <c r="P26" s="70"/>
      <c r="Q26" s="70"/>
      <c r="R26" s="71"/>
      <c r="U26" s="459" t="s">
        <v>312</v>
      </c>
      <c r="V26" s="512"/>
      <c r="W26" s="512"/>
      <c r="X26" s="512"/>
      <c r="Y26" s="512"/>
      <c r="Z26" s="460"/>
      <c r="AO26" s="47"/>
      <c r="AP26" s="461"/>
      <c r="AQ26" s="461"/>
      <c r="AR26" s="461"/>
      <c r="AS26" s="72">
        <f>AK9</f>
        <v>4</v>
      </c>
      <c r="AT26" s="72">
        <f>AK12</f>
        <v>0</v>
      </c>
      <c r="AU26" s="72">
        <f>AK15</f>
        <v>0</v>
      </c>
      <c r="AV26" s="72">
        <f>AK18</f>
        <v>0</v>
      </c>
      <c r="AW26" s="47"/>
      <c r="AX26" s="47"/>
      <c r="AY26" s="47"/>
      <c r="AZ26" s="47"/>
      <c r="BA26" s="47"/>
      <c r="BB26" s="47"/>
    </row>
    <row r="27" spans="2:54" ht="19.5" customHeight="1" thickBot="1" x14ac:dyDescent="0.3">
      <c r="B27" s="488" t="str">
        <f>IF($O$47&gt;0,$O$47,"-")</f>
        <v>ARAGUAIA Dolomítico</v>
      </c>
      <c r="C27" s="488"/>
      <c r="D27" s="73">
        <f>IF(J27&gt;0,J27,"-")</f>
        <v>0.31344792719919085</v>
      </c>
      <c r="E27" s="365" t="str">
        <f>IF(J27&gt;0,"toneladas por hectare ou,","-")</f>
        <v>toneladas por hectare ou,</v>
      </c>
      <c r="F27" s="365"/>
      <c r="G27" s="365"/>
      <c r="H27" s="365"/>
      <c r="I27" s="365"/>
      <c r="J27" s="74">
        <f>V51</f>
        <v>0.31344792719919085</v>
      </c>
      <c r="U27" s="51" t="s">
        <v>300</v>
      </c>
      <c r="V27" s="51" t="s">
        <v>313</v>
      </c>
      <c r="W27" s="51" t="s">
        <v>75</v>
      </c>
      <c r="X27" s="51" t="s">
        <v>71</v>
      </c>
      <c r="Y27" s="51" t="s">
        <v>314</v>
      </c>
      <c r="Z27" s="51" t="s">
        <v>315</v>
      </c>
      <c r="AO27" s="47"/>
      <c r="AP27" s="447" t="s">
        <v>261</v>
      </c>
      <c r="AQ27" s="447" t="str">
        <f>B29</f>
        <v xml:space="preserve">Pó de brita Fmx (62) 3924 8565 </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19.5" customHeight="1" x14ac:dyDescent="0.25">
      <c r="B28" s="488"/>
      <c r="C28" s="488"/>
      <c r="D28" s="73">
        <f>IF(J28&gt;0,J28,"-")</f>
        <v>3.1344792719919086E-2</v>
      </c>
      <c r="E28" s="365" t="str">
        <f>IF(J28&gt;0,"quilos por metro quadrado","-")</f>
        <v>quilos por metro quadrado</v>
      </c>
      <c r="F28" s="365"/>
      <c r="G28" s="365"/>
      <c r="H28" s="365"/>
      <c r="I28" s="365"/>
      <c r="J28" s="74">
        <f>J27/10</f>
        <v>3.1344792719919086E-2</v>
      </c>
      <c r="M28" s="48"/>
      <c r="N28" s="49"/>
      <c r="O28" s="49"/>
      <c r="P28" s="49"/>
      <c r="Q28" s="49"/>
      <c r="R28" s="50"/>
      <c r="U28" s="75" t="s">
        <v>50</v>
      </c>
      <c r="V28" s="75">
        <v>70000</v>
      </c>
      <c r="W28" s="75" t="s">
        <v>68</v>
      </c>
      <c r="X28" s="75" t="str">
        <f>CONCATENATE(U28," - ",W28)</f>
        <v>&lt; 20 - baixo</v>
      </c>
      <c r="Y28" s="75">
        <v>60000</v>
      </c>
      <c r="Z28" s="75">
        <v>60000</v>
      </c>
      <c r="AE28" s="75"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19.5" customHeight="1" x14ac:dyDescent="0.25">
      <c r="B29" s="488" t="str">
        <f>IF($O$50&gt;0,$O$50,"-")</f>
        <v xml:space="preserve">Pó de brita Fmx (62) 3924 8565 </v>
      </c>
      <c r="C29" s="488"/>
      <c r="D29" s="73">
        <f>IF(J29&gt;0,J29,"-")</f>
        <v>1.5879085781505742</v>
      </c>
      <c r="E29" s="365" t="str">
        <f>IF(J29&gt;0,"toneladas por hectare ou,","-")</f>
        <v>toneladas por hectare ou,</v>
      </c>
      <c r="F29" s="365"/>
      <c r="G29" s="365"/>
      <c r="H29" s="365"/>
      <c r="I29" s="365"/>
      <c r="J29" s="74">
        <f>Z49</f>
        <v>1.5879085781505742</v>
      </c>
      <c r="M29" s="364" t="s">
        <v>211</v>
      </c>
      <c r="N29" s="453"/>
      <c r="O29" s="489" t="s">
        <v>197</v>
      </c>
      <c r="P29" s="489"/>
      <c r="Q29" s="489"/>
      <c r="R29" s="53"/>
      <c r="U29" s="75" t="s">
        <v>50</v>
      </c>
      <c r="V29" s="75">
        <v>70000</v>
      </c>
      <c r="W29" s="75" t="s">
        <v>69</v>
      </c>
      <c r="X29" s="75" t="str">
        <f t="shared" ref="X29:X42" si="9">CONCATENATE(U29," - ",W29)</f>
        <v>&lt; 20 - medio</v>
      </c>
      <c r="Y29" s="75">
        <v>40000</v>
      </c>
      <c r="Z29" s="75">
        <v>40000</v>
      </c>
      <c r="AB29" s="458" t="s">
        <v>65</v>
      </c>
      <c r="AC29" s="458"/>
      <c r="AE29" s="75" t="s">
        <v>300</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19.5" customHeight="1" x14ac:dyDescent="0.25">
      <c r="B30" s="488"/>
      <c r="C30" s="488"/>
      <c r="D30" s="73">
        <f>IF(J30&gt;0,J30,"-")</f>
        <v>0.15879085781505742</v>
      </c>
      <c r="E30" s="365" t="str">
        <f>IF(J30&gt;0,"quilos por metro quadrado","-")</f>
        <v>quilos por metro quadrado</v>
      </c>
      <c r="F30" s="365"/>
      <c r="G30" s="365"/>
      <c r="H30" s="365"/>
      <c r="I30" s="365"/>
      <c r="J30" s="74">
        <f>J29/10</f>
        <v>0.15879085781505742</v>
      </c>
      <c r="M30" s="364"/>
      <c r="N30" s="453"/>
      <c r="O30" s="32">
        <v>8</v>
      </c>
      <c r="P30" s="77" t="s">
        <v>200</v>
      </c>
      <c r="Q30" s="32">
        <v>5</v>
      </c>
      <c r="R30" s="53"/>
      <c r="U30" s="75" t="s">
        <v>50</v>
      </c>
      <c r="V30" s="75">
        <v>70000</v>
      </c>
      <c r="W30" s="75" t="s">
        <v>70</v>
      </c>
      <c r="X30" s="75" t="str">
        <f t="shared" si="9"/>
        <v>&lt; 20 - adequado</v>
      </c>
      <c r="Y30" s="75">
        <v>0</v>
      </c>
      <c r="Z30" s="75">
        <v>30000</v>
      </c>
      <c r="AB30" s="78" t="s">
        <v>33</v>
      </c>
      <c r="AC30" s="78">
        <f>VLOOKUP($P$39,$U$28:$V$42,2,0)/$E$18</f>
        <v>880</v>
      </c>
      <c r="AE30" s="75"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19.5" customHeight="1" x14ac:dyDescent="0.25">
      <c r="B31" s="524" t="s">
        <v>533</v>
      </c>
      <c r="C31" s="524"/>
      <c r="D31" s="524"/>
      <c r="E31" s="524"/>
      <c r="F31" s="524"/>
      <c r="G31" s="524"/>
      <c r="H31" s="524"/>
      <c r="I31" s="524"/>
      <c r="J31" s="74"/>
      <c r="M31" s="364"/>
      <c r="N31" s="365"/>
      <c r="O31" s="105"/>
      <c r="P31" s="105"/>
      <c r="Q31" s="105"/>
      <c r="R31" s="53"/>
      <c r="U31" s="75" t="s">
        <v>298</v>
      </c>
      <c r="V31" s="75">
        <v>100000</v>
      </c>
      <c r="W31" s="75" t="s">
        <v>68</v>
      </c>
      <c r="X31" s="75" t="str">
        <f t="shared" si="9"/>
        <v>20,1 - 30 - baixo</v>
      </c>
      <c r="Y31" s="75">
        <v>90000</v>
      </c>
      <c r="Z31" s="75">
        <v>80000</v>
      </c>
      <c r="AB31" s="78" t="s">
        <v>66</v>
      </c>
      <c r="AC31" s="78">
        <f>VLOOKUP(AB36,X28:Z42,2,0)/$E$18</f>
        <v>120</v>
      </c>
      <c r="AE31" s="75" t="s">
        <v>50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19.5" customHeight="1" x14ac:dyDescent="0.25">
      <c r="B32" s="524"/>
      <c r="C32" s="524"/>
      <c r="D32" s="524"/>
      <c r="E32" s="524"/>
      <c r="F32" s="524"/>
      <c r="G32" s="524"/>
      <c r="H32" s="524"/>
      <c r="I32" s="524"/>
      <c r="J32" s="74"/>
      <c r="M32" s="364"/>
      <c r="N32" s="365"/>
      <c r="O32" s="80"/>
      <c r="P32" s="80"/>
      <c r="Q32" s="80"/>
      <c r="R32" s="53"/>
      <c r="U32" s="75" t="s">
        <v>298</v>
      </c>
      <c r="V32" s="75">
        <v>100000</v>
      </c>
      <c r="W32" s="75" t="s">
        <v>69</v>
      </c>
      <c r="X32" s="75" t="str">
        <f t="shared" si="9"/>
        <v>20,1 - 30 - medio</v>
      </c>
      <c r="Y32" s="75">
        <v>60000</v>
      </c>
      <c r="Z32" s="75">
        <v>60000</v>
      </c>
      <c r="AB32" s="78" t="s">
        <v>67</v>
      </c>
      <c r="AC32" s="78">
        <f>VLOOKUP($AB$39,X28:Z42,3,0)/$E$18</f>
        <v>400</v>
      </c>
      <c r="AE32" s="75" t="s">
        <v>298</v>
      </c>
      <c r="AI32" s="76">
        <v>0.2</v>
      </c>
      <c r="AK32" s="51" t="s">
        <v>292</v>
      </c>
      <c r="AO32" s="47"/>
      <c r="AP32" s="447"/>
      <c r="AQ32" s="447" t="str">
        <f t="shared" si="8"/>
        <v>EkoSil</v>
      </c>
      <c r="AR32" s="447"/>
      <c r="AS32" s="55">
        <f t="shared" si="4"/>
        <v>1.9724137931034481E-3</v>
      </c>
      <c r="AT32" s="55">
        <f t="shared" si="5"/>
        <v>1.9724137931034481E-3</v>
      </c>
      <c r="AU32" s="55">
        <f t="shared" si="6"/>
        <v>3.7931034482758625E-3</v>
      </c>
      <c r="AV32" s="55">
        <f t="shared" si="7"/>
        <v>4.2482758620689657E-4</v>
      </c>
      <c r="AW32" s="47"/>
      <c r="AX32" s="47"/>
      <c r="AY32" s="47"/>
      <c r="AZ32" s="47"/>
      <c r="BA32" s="47"/>
      <c r="BB32" s="47"/>
    </row>
    <row r="33" spans="2:57" ht="19.5" customHeight="1" thickBot="1" x14ac:dyDescent="0.3">
      <c r="B33" s="525"/>
      <c r="C33" s="525"/>
      <c r="D33" s="525"/>
      <c r="E33" s="525"/>
      <c r="F33" s="525"/>
      <c r="G33" s="525"/>
      <c r="H33" s="525"/>
      <c r="I33" s="525"/>
      <c r="J33" s="74"/>
      <c r="M33" s="364"/>
      <c r="N33" s="453"/>
      <c r="O33" s="489" t="s">
        <v>282</v>
      </c>
      <c r="P33" s="489"/>
      <c r="Q33" s="489"/>
      <c r="R33" s="53"/>
      <c r="U33" s="75" t="s">
        <v>298</v>
      </c>
      <c r="V33" s="75">
        <v>100000</v>
      </c>
      <c r="W33" s="75" t="s">
        <v>70</v>
      </c>
      <c r="X33" s="75" t="str">
        <f t="shared" si="9"/>
        <v>20,1 - 30 - adequado</v>
      </c>
      <c r="Y33" s="75">
        <v>10000</v>
      </c>
      <c r="Z33" s="75">
        <v>50000</v>
      </c>
      <c r="AE33" s="75" t="s">
        <v>318</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19.5" customHeight="1" thickBot="1" x14ac:dyDescent="0.3">
      <c r="B34" s="485" t="s">
        <v>184</v>
      </c>
      <c r="C34" s="486"/>
      <c r="D34" s="486"/>
      <c r="E34" s="486"/>
      <c r="F34" s="486"/>
      <c r="G34" s="486"/>
      <c r="H34" s="486"/>
      <c r="I34" s="487"/>
      <c r="J34" s="81">
        <f>IF(O68="Sim",P21*7.5,0)</f>
        <v>356.25</v>
      </c>
      <c r="M34" s="364"/>
      <c r="N34" s="453"/>
      <c r="O34" s="448"/>
      <c r="P34" s="448"/>
      <c r="Q34" s="448"/>
      <c r="R34" s="53"/>
      <c r="U34" s="75" t="s">
        <v>318</v>
      </c>
      <c r="V34" s="75">
        <v>140000</v>
      </c>
      <c r="W34" s="75" t="s">
        <v>68</v>
      </c>
      <c r="X34" s="75" t="str">
        <f t="shared" si="9"/>
        <v>30,1 - 40 - baixo</v>
      </c>
      <c r="Y34" s="75">
        <v>125000</v>
      </c>
      <c r="Z34" s="75">
        <v>120000</v>
      </c>
      <c r="AE34" s="75" t="s">
        <v>320</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19.5" customHeight="1" thickBot="1" x14ac:dyDescent="0.3">
      <c r="B35" s="488" t="str">
        <f>IF($O$55&gt;0,$O$55,"-")</f>
        <v>Gesso Agronelli</v>
      </c>
      <c r="C35" s="488"/>
      <c r="D35" s="73">
        <f>IF(J34&gt;0,J34,"-")</f>
        <v>356.25</v>
      </c>
      <c r="E35" s="365" t="str">
        <f>IF(J34&gt;0,"quilos por hectare ou,","-")</f>
        <v>quilos por hectare ou,</v>
      </c>
      <c r="F35" s="365"/>
      <c r="G35" s="365"/>
      <c r="H35" s="365"/>
      <c r="I35" s="365"/>
      <c r="J35" s="81">
        <f>J34/10</f>
        <v>35.625</v>
      </c>
      <c r="M35" s="69"/>
      <c r="N35" s="70"/>
      <c r="O35" s="70"/>
      <c r="P35" s="83">
        <f>10000/($O$30*$Q$30)</f>
        <v>250</v>
      </c>
      <c r="Q35" s="83" t="e">
        <f>10000/((($O$32/2)+($P$32/2))*$Q$32)</f>
        <v>#DIV/0!</v>
      </c>
      <c r="R35" s="71"/>
      <c r="U35" s="75" t="s">
        <v>318</v>
      </c>
      <c r="V35" s="75">
        <v>140000</v>
      </c>
      <c r="W35" s="75" t="s">
        <v>69</v>
      </c>
      <c r="X35" s="75" t="str">
        <f t="shared" si="9"/>
        <v>30,1 - 40 - medio</v>
      </c>
      <c r="Y35" s="75">
        <v>80000</v>
      </c>
      <c r="Z35" s="75">
        <v>80000</v>
      </c>
      <c r="AB35" s="457" t="s">
        <v>72</v>
      </c>
      <c r="AC35" s="457"/>
      <c r="AE35" s="75" t="s">
        <v>321</v>
      </c>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19.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t="s">
        <v>318</v>
      </c>
      <c r="V36" s="75">
        <v>140000</v>
      </c>
      <c r="W36" s="75" t="s">
        <v>70</v>
      </c>
      <c r="X36" s="75" t="str">
        <f t="shared" si="9"/>
        <v>30,1 - 40 - adequado</v>
      </c>
      <c r="Y36" s="75">
        <v>15000</v>
      </c>
      <c r="Z36" s="75">
        <v>70000</v>
      </c>
      <c r="AB36" s="457" t="str">
        <f>CONCATENATE($P$39," - ",$AD$8)</f>
        <v>&gt; 50,1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19.5" customHeight="1" x14ac:dyDescent="0.25">
      <c r="B37" s="523" t="s">
        <v>534</v>
      </c>
      <c r="C37" s="523"/>
      <c r="D37" s="523"/>
      <c r="E37" s="523"/>
      <c r="F37" s="523"/>
      <c r="G37" s="523"/>
      <c r="H37" s="523"/>
      <c r="I37" s="523"/>
      <c r="J37" s="81"/>
      <c r="M37" s="48"/>
      <c r="N37" s="49"/>
      <c r="O37" s="49"/>
      <c r="P37" s="49"/>
      <c r="Q37" s="49"/>
      <c r="R37" s="50"/>
      <c r="U37" s="75" t="s">
        <v>320</v>
      </c>
      <c r="V37" s="75">
        <v>180000</v>
      </c>
      <c r="W37" s="75" t="s">
        <v>68</v>
      </c>
      <c r="X37" s="75" t="str">
        <f t="shared" si="9"/>
        <v>40,1 - 50 - baixo</v>
      </c>
      <c r="Y37" s="75">
        <v>160000</v>
      </c>
      <c r="Z37" s="75">
        <v>150000</v>
      </c>
      <c r="AI37" s="76">
        <v>0.7</v>
      </c>
      <c r="AK37" s="51" t="s">
        <v>290</v>
      </c>
      <c r="AO37" s="85"/>
      <c r="AP37" s="85"/>
      <c r="AQ37" s="85"/>
      <c r="AR37" s="85"/>
      <c r="AS37" s="59">
        <f>IF(AS24&gt;0,AS24,0)</f>
        <v>3.9980275862068964</v>
      </c>
      <c r="AT37" s="59">
        <f>IF(AT24&gt;0,AT24,0)</f>
        <v>0</v>
      </c>
      <c r="AU37" s="59">
        <f>IF(AU24&gt;0,AU24,0)</f>
        <v>0</v>
      </c>
      <c r="AV37" s="59">
        <f>IF(AV24&gt;0,AV24,0)</f>
        <v>0</v>
      </c>
      <c r="AW37" s="47"/>
      <c r="AX37" s="47"/>
      <c r="AY37" s="47"/>
      <c r="AZ37" s="47"/>
      <c r="BA37" s="47"/>
      <c r="BB37" s="47"/>
    </row>
    <row r="38" spans="2:57" ht="19.5" customHeight="1" thickBot="1" x14ac:dyDescent="0.3">
      <c r="B38" s="523"/>
      <c r="C38" s="523"/>
      <c r="D38" s="523"/>
      <c r="E38" s="523"/>
      <c r="F38" s="523"/>
      <c r="G38" s="523"/>
      <c r="H38" s="523"/>
      <c r="I38" s="523"/>
      <c r="J38" s="81"/>
      <c r="M38" s="364" t="s">
        <v>212</v>
      </c>
      <c r="N38" s="365"/>
      <c r="O38" s="489" t="s">
        <v>301</v>
      </c>
      <c r="P38" s="489"/>
      <c r="Q38" s="489"/>
      <c r="R38" s="53"/>
      <c r="U38" s="75" t="s">
        <v>320</v>
      </c>
      <c r="V38" s="75">
        <v>180000</v>
      </c>
      <c r="W38" s="75" t="s">
        <v>69</v>
      </c>
      <c r="X38" s="75" t="str">
        <f t="shared" si="9"/>
        <v>40,1 - 50 - medio</v>
      </c>
      <c r="Y38" s="75">
        <v>110000</v>
      </c>
      <c r="Z38" s="75">
        <v>110000</v>
      </c>
      <c r="AB38" s="457" t="s">
        <v>73</v>
      </c>
      <c r="AC38" s="457"/>
      <c r="AI38" s="76">
        <v>0.8</v>
      </c>
      <c r="AK38" s="51"/>
      <c r="AO38" s="47"/>
      <c r="AP38" s="47"/>
      <c r="AQ38" s="47"/>
      <c r="AR38" s="47"/>
      <c r="AS38" s="47"/>
      <c r="AT38" s="47"/>
      <c r="AU38" s="47"/>
      <c r="AV38" s="47"/>
      <c r="AW38" s="47"/>
      <c r="AX38" s="47"/>
      <c r="AY38" s="47"/>
      <c r="AZ38" s="47"/>
      <c r="BA38" s="47"/>
      <c r="BB38" s="47"/>
    </row>
    <row r="39" spans="2:57" ht="19.5" customHeight="1" thickBot="1" x14ac:dyDescent="0.3">
      <c r="B39" s="355" t="s">
        <v>267</v>
      </c>
      <c r="C39" s="356"/>
      <c r="D39" s="356"/>
      <c r="E39" s="356"/>
      <c r="F39" s="356"/>
      <c r="G39" s="356"/>
      <c r="H39" s="356"/>
      <c r="I39" s="357"/>
      <c r="J39" s="81">
        <f>AV6</f>
        <v>342.85714285714289</v>
      </c>
      <c r="M39" s="364"/>
      <c r="N39" s="365"/>
      <c r="O39" s="51" t="s">
        <v>303</v>
      </c>
      <c r="P39" s="448" t="s">
        <v>321</v>
      </c>
      <c r="Q39" s="448"/>
      <c r="R39" s="53"/>
      <c r="U39" s="75" t="s">
        <v>320</v>
      </c>
      <c r="V39" s="75">
        <v>180000</v>
      </c>
      <c r="W39" s="75" t="s">
        <v>70</v>
      </c>
      <c r="X39" s="75" t="str">
        <f t="shared" si="9"/>
        <v>40,1 - 50 - adequado</v>
      </c>
      <c r="Y39" s="75">
        <v>20000</v>
      </c>
      <c r="Z39" s="75">
        <v>85000</v>
      </c>
      <c r="AB39" s="457" t="str">
        <f>CONCATENATE($P$39," - ",$AD$22)</f>
        <v>&gt; 50,1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19.5" customHeight="1" x14ac:dyDescent="0.25">
      <c r="B40" s="449" t="str">
        <f>IF(O42&gt;0,O42,"-")</f>
        <v>Esterco Bovino curtido</v>
      </c>
      <c r="C40" s="449"/>
      <c r="D40" s="86">
        <f>IF(AQ58&gt;0,AQ58,"-")</f>
        <v>12</v>
      </c>
      <c r="E40" s="362" t="str">
        <f>IF(AQ58&gt;0,"quilos por cova ou planta","-")</f>
        <v>quilos por cova ou planta</v>
      </c>
      <c r="F40" s="362"/>
      <c r="G40" s="362"/>
      <c r="H40" s="362"/>
      <c r="I40" s="362"/>
      <c r="J40" s="81">
        <f>AV7</f>
        <v>333.33333333333337</v>
      </c>
      <c r="M40" s="364"/>
      <c r="N40" s="365"/>
      <c r="O40" s="25"/>
      <c r="P40" s="25"/>
      <c r="Q40" s="25"/>
      <c r="R40" s="53"/>
      <c r="U40" s="75" t="s">
        <v>321</v>
      </c>
      <c r="V40" s="75">
        <v>220000</v>
      </c>
      <c r="W40" s="75" t="s">
        <v>68</v>
      </c>
      <c r="X40" s="75" t="str">
        <f t="shared" si="9"/>
        <v>&gt; 50,1  - baixo</v>
      </c>
      <c r="Y40" s="75">
        <v>200000</v>
      </c>
      <c r="Z40" s="75">
        <v>185000</v>
      </c>
      <c r="AI40" s="76">
        <v>1</v>
      </c>
      <c r="AO40" s="47"/>
      <c r="AP40" s="447" t="str">
        <f>O105</f>
        <v>Ácido Bórico</v>
      </c>
      <c r="AQ40" s="447"/>
      <c r="AR40" s="55">
        <f>IFERROR($AS$37/((VLOOKUP(AP40,$V$100:$AO$179,11,0)*0.01)),0)</f>
        <v>22.845871921182262</v>
      </c>
      <c r="AS40" s="55">
        <f>IFERROR($AT$37/((VLOOKUP(AP40,$V$100:$AO$179,14,0)*0.01)),0)</f>
        <v>0</v>
      </c>
      <c r="AT40" s="55">
        <f>IFERROR($AU$37/((VLOOKUP(AP40,$V$100:$AO$179,12,0)*0.01)),0)</f>
        <v>0</v>
      </c>
      <c r="AU40" s="55">
        <f>IFERROR($AV$37/((VLOOKUP(AP40,$V$100:$AO$179,13,0)*0.01)),0)</f>
        <v>0</v>
      </c>
      <c r="AV40" s="55">
        <f>MAX(AR40:AU40)</f>
        <v>22.845871921182262</v>
      </c>
      <c r="AW40" s="55">
        <f>IFERROR(AV40*(VLOOKUP(AP40,$V$100:$AO$179,11,0)*0.01),0)</f>
        <v>3.9980275862068964</v>
      </c>
      <c r="AX40" s="55">
        <f>IFERROR(AV40*(VLOOKUP(AP40,$V$100:$AO$179,14,0)*0.01),0)</f>
        <v>0</v>
      </c>
      <c r="AY40" s="55">
        <f>IFERROR(AV40*(VLOOKUP(AP40,$V$100:$AO$179,12,0)*0.01),0)</f>
        <v>0</v>
      </c>
      <c r="AZ40" s="55">
        <f>IFERROR(AV40*(VLOOKUP(AP40,$V$100:$AO$179,13,0)*0.01),0)</f>
        <v>0</v>
      </c>
      <c r="BA40" s="47"/>
      <c r="BB40" s="47"/>
    </row>
    <row r="41" spans="2:57" ht="19.5" customHeight="1" x14ac:dyDescent="0.25">
      <c r="B41" s="449" t="str">
        <f>IF(AQ6&gt;0,AQ6,"-")</f>
        <v>Termofosfato YOORIN</v>
      </c>
      <c r="C41" s="449"/>
      <c r="D41" s="87">
        <f>IF(J39&gt;0,J39,"-")</f>
        <v>342.85714285714289</v>
      </c>
      <c r="E41" s="365" t="str">
        <f>IF(J39&gt;0,"gramas por cova ou planta","-")</f>
        <v>gramas por cova ou planta</v>
      </c>
      <c r="F41" s="365"/>
      <c r="G41" s="365"/>
      <c r="H41" s="365"/>
      <c r="I41" s="365"/>
      <c r="J41" s="81">
        <f>AV8</f>
        <v>0</v>
      </c>
      <c r="M41" s="364"/>
      <c r="N41" s="365"/>
      <c r="O41" s="489" t="s">
        <v>308</v>
      </c>
      <c r="P41" s="489"/>
      <c r="Q41" s="489"/>
      <c r="R41" s="53"/>
      <c r="U41" s="75" t="s">
        <v>321</v>
      </c>
      <c r="V41" s="75">
        <v>220000</v>
      </c>
      <c r="W41" s="75" t="s">
        <v>69</v>
      </c>
      <c r="X41" s="75" t="str">
        <f t="shared" si="9"/>
        <v>&gt; 50,1  - medio</v>
      </c>
      <c r="Y41" s="75">
        <v>130000</v>
      </c>
      <c r="Z41" s="75">
        <v>130000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0">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19.5" customHeight="1" x14ac:dyDescent="0.25">
      <c r="B42" s="449" t="str">
        <f>IF(AQ7&gt;0,AQ7,"-")</f>
        <v>Superfosfato simples</v>
      </c>
      <c r="C42" s="449"/>
      <c r="D42" s="87">
        <f t="shared" ref="D42:D49" si="11">IF(J40&gt;0,J40,"-")</f>
        <v>333.33333333333337</v>
      </c>
      <c r="E42" s="365" t="str">
        <f t="shared" ref="E42:E49" si="12">IF(J40&gt;0,"gramas por planta","-")</f>
        <v>gramas por planta</v>
      </c>
      <c r="F42" s="365"/>
      <c r="G42" s="365"/>
      <c r="H42" s="365"/>
      <c r="I42" s="365"/>
      <c r="J42" s="81">
        <f>AV12</f>
        <v>333.33333333333337</v>
      </c>
      <c r="M42" s="364"/>
      <c r="N42" s="365"/>
      <c r="O42" s="483" t="s">
        <v>292</v>
      </c>
      <c r="P42" s="513"/>
      <c r="Q42" s="484"/>
      <c r="R42" s="53"/>
      <c r="U42" s="75" t="s">
        <v>321</v>
      </c>
      <c r="V42" s="75">
        <v>220000</v>
      </c>
      <c r="W42" s="75" t="s">
        <v>70</v>
      </c>
      <c r="X42" s="75" t="str">
        <f t="shared" si="9"/>
        <v>&gt; 50,1  - adequado</v>
      </c>
      <c r="Y42" s="75">
        <v>30000</v>
      </c>
      <c r="Z42" s="75">
        <v>100000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0"/>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19.5" customHeight="1" thickBot="1" x14ac:dyDescent="0.3">
      <c r="B43" s="449" t="str">
        <f>IF(AQ8&gt;0,AQ8,"-")</f>
        <v>-</v>
      </c>
      <c r="C43" s="449"/>
      <c r="D43" s="87" t="str">
        <f t="shared" si="11"/>
        <v>-</v>
      </c>
      <c r="E43" s="365" t="str">
        <f t="shared" si="12"/>
        <v>-</v>
      </c>
      <c r="F43" s="365"/>
      <c r="G43" s="365"/>
      <c r="H43" s="365"/>
      <c r="I43" s="365"/>
      <c r="J43" s="81">
        <f>AV13</f>
        <v>2500</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0"/>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19.5" customHeight="1" thickBot="1" x14ac:dyDescent="0.3">
      <c r="B44" s="449" t="str">
        <f>IF(AQ12&gt;0,AQ12,"-")</f>
        <v>Cloreto de potássio</v>
      </c>
      <c r="C44" s="449"/>
      <c r="D44" s="87">
        <f t="shared" si="11"/>
        <v>333.33333333333337</v>
      </c>
      <c r="E44" s="365" t="str">
        <f t="shared" si="12"/>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19.5" customHeight="1" x14ac:dyDescent="0.25">
      <c r="B45" s="449" t="str">
        <f>IF(AQ13&gt;0,AQ13,"-")</f>
        <v>EkoSil</v>
      </c>
      <c r="C45" s="449"/>
      <c r="D45" s="87">
        <f t="shared" si="11"/>
        <v>2500</v>
      </c>
      <c r="E45" s="365" t="str">
        <f t="shared" si="12"/>
        <v>gramas por planta</v>
      </c>
      <c r="F45" s="365"/>
      <c r="G45" s="365"/>
      <c r="H45" s="365"/>
      <c r="I45" s="365"/>
      <c r="J45" s="81">
        <f>AV18</f>
        <v>3034.4827586206898</v>
      </c>
      <c r="M45" s="48"/>
      <c r="N45" s="49"/>
      <c r="O45" s="500" t="s">
        <v>305</v>
      </c>
      <c r="P45" s="500"/>
      <c r="Q45" s="500"/>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19.5" customHeight="1" x14ac:dyDescent="0.25">
      <c r="B46" s="449" t="str">
        <f>IF(AQ14&gt;0,AQ14,"-")</f>
        <v>-</v>
      </c>
      <c r="C46" s="449"/>
      <c r="D46" s="87" t="str">
        <f t="shared" si="11"/>
        <v>-</v>
      </c>
      <c r="E46" s="365" t="str">
        <f t="shared" si="12"/>
        <v>-</v>
      </c>
      <c r="F46" s="365"/>
      <c r="G46" s="365"/>
      <c r="H46" s="365"/>
      <c r="I46" s="365"/>
      <c r="J46" s="81">
        <f>AV19</f>
        <v>0</v>
      </c>
      <c r="M46" s="364" t="s">
        <v>213</v>
      </c>
      <c r="N46" s="365"/>
      <c r="O46" s="503"/>
      <c r="P46" s="503"/>
      <c r="Q46" s="503"/>
      <c r="R46" s="53"/>
      <c r="U46" s="75" t="s">
        <v>109</v>
      </c>
      <c r="V46" s="89">
        <v>70</v>
      </c>
      <c r="X46" s="455" t="s">
        <v>268</v>
      </c>
      <c r="Y46" s="455"/>
      <c r="Z46" s="63">
        <f>IFERROR(VLOOKUP(O50,$V$87:$AE$95,10,0),0)</f>
        <v>9.1197279464721319</v>
      </c>
      <c r="AO46" s="47"/>
      <c r="AP46" s="47"/>
      <c r="AQ46" s="47"/>
      <c r="AR46" s="47"/>
      <c r="AS46" s="47"/>
      <c r="AT46" s="47"/>
      <c r="AU46" s="47"/>
      <c r="AV46" s="47"/>
      <c r="AW46" s="47"/>
      <c r="AX46" s="47"/>
      <c r="AY46" s="47"/>
      <c r="AZ46" s="47"/>
      <c r="BA46" s="47"/>
      <c r="BB46" s="47"/>
    </row>
    <row r="47" spans="2:57" ht="19.5" customHeight="1" x14ac:dyDescent="0.25">
      <c r="B47" s="449" t="str">
        <f>IF(AQ18&gt;0,AQ18,"-")</f>
        <v>Nitrato de Amônio</v>
      </c>
      <c r="C47" s="449"/>
      <c r="D47" s="87">
        <f t="shared" si="11"/>
        <v>3034.4827586206898</v>
      </c>
      <c r="E47" s="365" t="str">
        <f t="shared" si="12"/>
        <v>gramas por planta</v>
      </c>
      <c r="F47" s="365"/>
      <c r="G47" s="365"/>
      <c r="H47" s="365"/>
      <c r="I47" s="365"/>
      <c r="J47" s="81">
        <f>AV20</f>
        <v>0</v>
      </c>
      <c r="M47" s="364"/>
      <c r="N47" s="365"/>
      <c r="O47" s="483" t="s">
        <v>138</v>
      </c>
      <c r="P47" s="484"/>
      <c r="Q47" s="92">
        <v>0.5</v>
      </c>
      <c r="R47" s="53"/>
      <c r="U47" s="51" t="s">
        <v>111</v>
      </c>
      <c r="V47" s="63">
        <f>IFERROR((((V46-P24)*P25)/V49),0)</f>
        <v>0.62689585439838169</v>
      </c>
      <c r="X47" s="455" t="s">
        <v>203</v>
      </c>
      <c r="Y47" s="455"/>
      <c r="Z47" s="63">
        <f>IFERROR((($V$50/$Z$46)*$V$47),0)</f>
        <v>3.1758171563011484</v>
      </c>
      <c r="AO47" s="47"/>
      <c r="BA47" s="47"/>
      <c r="BB47" s="47"/>
    </row>
    <row r="48" spans="2:57" ht="19.5" customHeight="1" x14ac:dyDescent="0.25">
      <c r="B48" s="449" t="str">
        <f>IF(AQ19&gt;0,AQ19,"-")</f>
        <v>-</v>
      </c>
      <c r="C48" s="449"/>
      <c r="D48" s="87" t="str">
        <f t="shared" si="11"/>
        <v>-</v>
      </c>
      <c r="E48" s="365" t="str">
        <f t="shared" si="12"/>
        <v>-</v>
      </c>
      <c r="F48" s="365"/>
      <c r="G48" s="365"/>
      <c r="H48" s="365"/>
      <c r="I48" s="365"/>
      <c r="J48" s="91"/>
      <c r="M48" s="364"/>
      <c r="N48" s="365"/>
      <c r="O48" s="506" t="s">
        <v>306</v>
      </c>
      <c r="P48" s="506"/>
      <c r="Q48" s="506"/>
      <c r="R48" s="53"/>
      <c r="U48" s="51" t="s">
        <v>201</v>
      </c>
      <c r="V48" s="63">
        <f>IF(V47&lt;0,(0),IF(V47&gt;=0,(V47)))</f>
        <v>0.62689585439838169</v>
      </c>
      <c r="X48" s="455" t="s">
        <v>201</v>
      </c>
      <c r="Y48" s="455"/>
      <c r="Z48" s="63">
        <f>IFERROR(IF(Z47&lt;0,(0),IF(Z47&gt;=0,(Z47))),0)</f>
        <v>3.1758171563011484</v>
      </c>
    </row>
    <row r="49" spans="2:50" ht="19.5" customHeight="1" x14ac:dyDescent="0.25">
      <c r="B49" s="449" t="str">
        <f>IF(AQ20&gt;0,AQ20,"-")</f>
        <v>-</v>
      </c>
      <c r="C49" s="449"/>
      <c r="D49" s="87" t="str">
        <f t="shared" si="11"/>
        <v>-</v>
      </c>
      <c r="E49" s="365" t="str">
        <f t="shared" si="12"/>
        <v>-</v>
      </c>
      <c r="F49" s="365"/>
      <c r="G49" s="365"/>
      <c r="H49" s="365"/>
      <c r="I49" s="365"/>
      <c r="M49" s="364"/>
      <c r="N49" s="365"/>
      <c r="O49" s="503"/>
      <c r="P49" s="503"/>
      <c r="Q49" s="503"/>
      <c r="R49" s="53"/>
      <c r="U49" s="51" t="s">
        <v>110</v>
      </c>
      <c r="V49" s="63">
        <f>IFERROR(VLOOKUP($O$47,$V$56:$AA$68,5,0),0)</f>
        <v>89.01</v>
      </c>
      <c r="X49" s="455" t="s">
        <v>273</v>
      </c>
      <c r="Y49" s="455"/>
      <c r="Z49" s="63">
        <f>Z48*$Q$50</f>
        <v>1.5879085781505742</v>
      </c>
    </row>
    <row r="50" spans="2:50" ht="19.5" customHeight="1" x14ac:dyDescent="0.25">
      <c r="B50" s="476" t="s">
        <v>535</v>
      </c>
      <c r="C50" s="476"/>
      <c r="D50" s="476"/>
      <c r="E50" s="476"/>
      <c r="F50" s="476"/>
      <c r="G50" s="476"/>
      <c r="H50" s="476"/>
      <c r="I50" s="476"/>
      <c r="M50" s="364"/>
      <c r="N50" s="365"/>
      <c r="O50" s="483" t="s">
        <v>157</v>
      </c>
      <c r="P50" s="484"/>
      <c r="Q50" s="92">
        <v>0.5</v>
      </c>
      <c r="R50" s="53"/>
      <c r="U50" s="51" t="s">
        <v>193</v>
      </c>
      <c r="V50" s="63">
        <f>IFERROR(VLOOKUP($O$47,$V$56:$AA$68,6,0),0)</f>
        <v>46.2</v>
      </c>
      <c r="AT50" s="457" t="s">
        <v>280</v>
      </c>
      <c r="AU50" s="457"/>
      <c r="AV50" s="457"/>
    </row>
    <row r="51" spans="2:50" ht="19.5" customHeight="1" thickBot="1" x14ac:dyDescent="0.3">
      <c r="B51" s="476"/>
      <c r="C51" s="476"/>
      <c r="D51" s="476"/>
      <c r="E51" s="476"/>
      <c r="F51" s="476"/>
      <c r="G51" s="476"/>
      <c r="H51" s="476"/>
      <c r="I51" s="476"/>
      <c r="M51" s="69"/>
      <c r="N51" s="70"/>
      <c r="O51" s="70"/>
      <c r="P51" s="70"/>
      <c r="Q51" s="70"/>
      <c r="R51" s="71"/>
      <c r="U51" s="51" t="s">
        <v>273</v>
      </c>
      <c r="V51" s="63">
        <f>V48*$Q$47</f>
        <v>0.31344792719919085</v>
      </c>
      <c r="AT51" s="110" t="s">
        <v>291</v>
      </c>
      <c r="AU51" s="111" t="s">
        <v>286</v>
      </c>
      <c r="AV51" s="110">
        <v>15</v>
      </c>
    </row>
    <row r="52" spans="2:50" ht="19.5" customHeight="1" thickBot="1" x14ac:dyDescent="0.3">
      <c r="B52" s="476"/>
      <c r="C52" s="476"/>
      <c r="D52" s="476"/>
      <c r="E52" s="476"/>
      <c r="F52" s="476"/>
      <c r="G52" s="476"/>
      <c r="H52" s="476"/>
      <c r="I52" s="476"/>
      <c r="AT52" s="110" t="s">
        <v>291</v>
      </c>
      <c r="AU52" s="111" t="s">
        <v>293</v>
      </c>
      <c r="AV52" s="110">
        <v>4</v>
      </c>
    </row>
    <row r="53" spans="2:50" ht="19.5" customHeight="1" thickBot="1" x14ac:dyDescent="0.3">
      <c r="B53" s="477"/>
      <c r="C53" s="477"/>
      <c r="D53" s="477"/>
      <c r="E53" s="477"/>
      <c r="F53" s="477"/>
      <c r="G53" s="477"/>
      <c r="H53" s="477"/>
      <c r="I53" s="477"/>
      <c r="M53" s="48"/>
      <c r="N53" s="49"/>
      <c r="O53" s="49"/>
      <c r="P53" s="49"/>
      <c r="Q53" s="49"/>
      <c r="R53" s="50"/>
      <c r="AP53" s="108"/>
      <c r="AQ53" s="108"/>
      <c r="AS53" s="108"/>
      <c r="AT53" s="110" t="s">
        <v>291</v>
      </c>
      <c r="AU53" s="111" t="s">
        <v>158</v>
      </c>
      <c r="AV53" s="110">
        <v>6</v>
      </c>
    </row>
    <row r="54" spans="2:50" ht="19.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110" t="s">
        <v>291</v>
      </c>
      <c r="AU54" s="111" t="s">
        <v>292</v>
      </c>
      <c r="AV54" s="110">
        <v>12</v>
      </c>
    </row>
    <row r="55" spans="2:50" ht="19.5" customHeight="1" x14ac:dyDescent="0.25">
      <c r="B55" s="449" t="str">
        <f>IF(AP40&gt;0,AP40,"-")</f>
        <v>Ácido Bórico</v>
      </c>
      <c r="C55" s="449"/>
      <c r="D55" s="87">
        <f>IF(AV40&gt;0,AV40,"-")</f>
        <v>22.845871921182262</v>
      </c>
      <c r="E55" s="365" t="str">
        <f>IF(AV40&gt;0,"gramas por planta","-")</f>
        <v>gramas por planta</v>
      </c>
      <c r="F55" s="365"/>
      <c r="G55" s="365"/>
      <c r="H55" s="365"/>
      <c r="I55" s="365"/>
      <c r="M55" s="364"/>
      <c r="N55" s="365"/>
      <c r="O55" s="448" t="s">
        <v>188</v>
      </c>
      <c r="P55" s="448"/>
      <c r="Q55" s="448"/>
      <c r="R55" s="53"/>
      <c r="U55" s="344"/>
      <c r="V55" s="344"/>
      <c r="W55" s="344"/>
      <c r="X55" s="95" t="s">
        <v>105</v>
      </c>
      <c r="Y55" s="95" t="s">
        <v>106</v>
      </c>
      <c r="Z55" s="95" t="s">
        <v>107</v>
      </c>
      <c r="AA55" s="95" t="s">
        <v>195</v>
      </c>
      <c r="AP55" s="465"/>
      <c r="AQ55" s="465"/>
      <c r="AS55" s="465"/>
      <c r="AT55" s="110" t="s">
        <v>291</v>
      </c>
      <c r="AU55" s="111" t="s">
        <v>285</v>
      </c>
      <c r="AV55" s="110">
        <v>14</v>
      </c>
    </row>
    <row r="56" spans="2:50" ht="19.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110" t="s">
        <v>291</v>
      </c>
      <c r="AU56" s="111" t="s">
        <v>287</v>
      </c>
      <c r="AV56" s="110">
        <v>10</v>
      </c>
    </row>
    <row r="57" spans="2:50" ht="19.5" customHeight="1" x14ac:dyDescent="0.25">
      <c r="B57" s="449" t="str">
        <f>IF(AP42&gt;0,AP42,"-")</f>
        <v>Sulfato de zinco</v>
      </c>
      <c r="C57" s="449"/>
      <c r="D57" s="87" t="str">
        <f>IF(AV42&gt;0,AV42,"-")</f>
        <v>-</v>
      </c>
      <c r="E57" s="365" t="str">
        <f t="shared" ref="E57:E59" si="13">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302</v>
      </c>
      <c r="AR57" s="463"/>
      <c r="AS57" s="25"/>
      <c r="AT57" s="110" t="s">
        <v>291</v>
      </c>
      <c r="AU57" s="111" t="s">
        <v>288</v>
      </c>
      <c r="AV57" s="110">
        <v>14</v>
      </c>
    </row>
    <row r="58" spans="2:50" ht="19.5" customHeight="1" x14ac:dyDescent="0.25">
      <c r="B58" s="449" t="str">
        <f>IF(AP43&gt;0,AP43,"-")</f>
        <v>Sulfato de manganês</v>
      </c>
      <c r="C58" s="449"/>
      <c r="D58" s="87" t="str">
        <f>IF(AV43&gt;0,AV43,"-")</f>
        <v>-</v>
      </c>
      <c r="E58" s="365" t="str">
        <f t="shared" si="13"/>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f>IFERROR(VLOOKUP($O$42,AU51:AV59,2,0),0)</f>
        <v>12</v>
      </c>
      <c r="AR58" s="463"/>
      <c r="AS58" s="25"/>
      <c r="AT58" s="110" t="s">
        <v>291</v>
      </c>
      <c r="AU58" s="111" t="s">
        <v>289</v>
      </c>
      <c r="AV58" s="110">
        <v>15</v>
      </c>
    </row>
    <row r="59" spans="2:50" ht="19.5" customHeight="1" x14ac:dyDescent="0.25">
      <c r="B59" s="449" t="str">
        <f>IF(AP44&gt;0,AP44,"-")</f>
        <v>-</v>
      </c>
      <c r="C59" s="449"/>
      <c r="D59" s="87" t="str">
        <f>IF(AV44&gt;0,AV44,"-")</f>
        <v>-</v>
      </c>
      <c r="E59" s="365" t="str">
        <f t="shared" si="13"/>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S59" s="25"/>
      <c r="AT59" s="110" t="s">
        <v>291</v>
      </c>
      <c r="AU59" s="111" t="s">
        <v>290</v>
      </c>
      <c r="AV59" s="110">
        <v>6</v>
      </c>
    </row>
    <row r="60" spans="2:50" ht="19.5" customHeight="1" x14ac:dyDescent="0.25">
      <c r="B60" s="521" t="s">
        <v>536</v>
      </c>
      <c r="C60" s="521"/>
      <c r="D60" s="521"/>
      <c r="E60" s="521"/>
      <c r="F60" s="521"/>
      <c r="G60" s="521"/>
      <c r="H60" s="521"/>
      <c r="I60" s="521"/>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25"/>
      <c r="AU60" s="25"/>
      <c r="AV60" s="25"/>
      <c r="AW60" s="25"/>
      <c r="AX60" s="25"/>
    </row>
    <row r="61" spans="2:50" ht="19.5" customHeight="1" x14ac:dyDescent="0.25">
      <c r="B61" s="521"/>
      <c r="C61" s="521"/>
      <c r="D61" s="521"/>
      <c r="E61" s="521"/>
      <c r="F61" s="521"/>
      <c r="G61" s="521"/>
      <c r="H61" s="521"/>
      <c r="I61" s="521"/>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25"/>
      <c r="AU61" s="25"/>
      <c r="AV61" s="25"/>
      <c r="AW61" s="25"/>
      <c r="AX61" s="25"/>
    </row>
    <row r="62" spans="2:50" ht="19.5" customHeight="1" x14ac:dyDescent="0.25">
      <c r="B62" s="521"/>
      <c r="C62" s="521"/>
      <c r="D62" s="521"/>
      <c r="E62" s="521"/>
      <c r="F62" s="521"/>
      <c r="G62" s="521"/>
      <c r="H62" s="521"/>
      <c r="I62" s="521"/>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S62" s="25"/>
      <c r="AT62" s="25"/>
      <c r="AU62" s="25"/>
      <c r="AV62" s="25"/>
      <c r="AW62" s="25"/>
      <c r="AX62" s="25"/>
    </row>
    <row r="63" spans="2:50" ht="19.5" customHeight="1" thickBot="1" x14ac:dyDescent="0.3">
      <c r="B63" s="522"/>
      <c r="C63" s="522"/>
      <c r="D63" s="522"/>
      <c r="E63" s="522"/>
      <c r="F63" s="522"/>
      <c r="G63" s="522"/>
      <c r="H63" s="522"/>
      <c r="I63" s="522"/>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S63" s="25"/>
      <c r="AT63" s="25"/>
      <c r="AU63" s="25"/>
      <c r="AV63" s="25"/>
      <c r="AW63" s="25"/>
      <c r="AX63" s="25"/>
    </row>
    <row r="64" spans="2:50" ht="19.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S64" s="25"/>
      <c r="AT64" s="25"/>
      <c r="AU64" s="25"/>
      <c r="AV64" s="25"/>
      <c r="AW64" s="25"/>
      <c r="AX64" s="25"/>
    </row>
    <row r="65" spans="2:50" ht="19.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S65" s="25"/>
      <c r="AT65" s="25"/>
      <c r="AU65" s="25"/>
      <c r="AV65" s="25"/>
      <c r="AW65" s="25"/>
      <c r="AX65" s="25"/>
    </row>
    <row r="66" spans="2:50" ht="19.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S66" s="25"/>
      <c r="AT66" s="25"/>
      <c r="AU66" s="25"/>
      <c r="AV66" s="25"/>
      <c r="AW66" s="25"/>
      <c r="AX66" s="25"/>
    </row>
    <row r="67" spans="2:50" ht="19.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S67" s="25"/>
      <c r="AT67" s="25"/>
      <c r="AU67" s="25"/>
      <c r="AV67" s="25"/>
      <c r="AW67" s="25"/>
      <c r="AX67" s="25"/>
    </row>
    <row r="68" spans="2:50" ht="19.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S68" s="25"/>
      <c r="AT68" s="25"/>
      <c r="AU68" s="25"/>
      <c r="AV68" s="25"/>
      <c r="AW68" s="25"/>
      <c r="AX68" s="25"/>
    </row>
    <row r="69" spans="2:50" ht="19.5" customHeight="1" thickBot="1" x14ac:dyDescent="0.3">
      <c r="M69" s="69"/>
      <c r="N69" s="70"/>
      <c r="O69" s="70"/>
      <c r="P69" s="70"/>
      <c r="Q69" s="70"/>
      <c r="R69" s="71"/>
      <c r="AS69" s="25"/>
      <c r="AT69" s="25"/>
      <c r="AU69" s="25"/>
      <c r="AV69" s="25"/>
      <c r="AW69" s="25"/>
      <c r="AX69" s="25"/>
    </row>
    <row r="70" spans="2:50" ht="19.5" customHeight="1" thickBot="1" x14ac:dyDescent="0.3">
      <c r="AS70" s="25"/>
      <c r="AT70" s="25"/>
      <c r="AU70" s="25"/>
      <c r="AV70" s="25"/>
      <c r="AW70" s="25"/>
      <c r="AX70" s="25"/>
    </row>
    <row r="71" spans="2:50" ht="19.5" customHeight="1" x14ac:dyDescent="0.25">
      <c r="M71" s="48"/>
      <c r="N71" s="49"/>
      <c r="O71" s="49"/>
      <c r="P71" s="49"/>
      <c r="Q71" s="49"/>
      <c r="R71" s="50"/>
      <c r="U71" s="347" t="s">
        <v>136</v>
      </c>
      <c r="V71" s="347" t="s">
        <v>76</v>
      </c>
      <c r="W71" s="347" t="s">
        <v>77</v>
      </c>
      <c r="X71" s="347" t="s">
        <v>284</v>
      </c>
      <c r="Y71" s="347"/>
      <c r="Z71" s="347"/>
      <c r="AS71" s="25"/>
      <c r="AT71" s="25"/>
      <c r="AU71" s="25"/>
      <c r="AV71" s="25"/>
      <c r="AW71" s="25"/>
      <c r="AX71" s="25"/>
    </row>
    <row r="72" spans="2:50" ht="19.5" customHeight="1" x14ac:dyDescent="0.25">
      <c r="M72" s="364" t="s">
        <v>215</v>
      </c>
      <c r="N72" s="365"/>
      <c r="O72" s="450" t="s">
        <v>252</v>
      </c>
      <c r="P72" s="451"/>
      <c r="Q72" s="452"/>
      <c r="R72" s="53"/>
      <c r="U72" s="347"/>
      <c r="V72" s="347"/>
      <c r="W72" s="347"/>
      <c r="X72" s="13" t="s">
        <v>81</v>
      </c>
      <c r="Y72" s="13" t="s">
        <v>82</v>
      </c>
      <c r="Z72" s="13" t="s">
        <v>83</v>
      </c>
      <c r="AS72" s="25"/>
      <c r="AT72" s="25"/>
      <c r="AU72" s="25"/>
      <c r="AV72" s="25"/>
      <c r="AW72" s="25"/>
      <c r="AX72" s="25"/>
    </row>
    <row r="73" spans="2:50" ht="19.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S73" s="25"/>
      <c r="AT73" s="25"/>
      <c r="AU73" s="25"/>
      <c r="AV73" s="25"/>
      <c r="AW73" s="25"/>
      <c r="AX73" s="25"/>
    </row>
    <row r="74" spans="2:50" ht="19.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S74" s="25"/>
      <c r="AT74" s="25"/>
      <c r="AU74" s="25"/>
      <c r="AV74" s="25"/>
      <c r="AW74" s="25"/>
      <c r="AX74" s="25"/>
    </row>
    <row r="75" spans="2:50" ht="19.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S75" s="25"/>
      <c r="AT75" s="25"/>
      <c r="AU75" s="25"/>
      <c r="AV75" s="25"/>
      <c r="AW75" s="25"/>
      <c r="AX75" s="25"/>
    </row>
    <row r="76" spans="2:50" ht="19.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S76" s="25"/>
      <c r="AT76" s="25"/>
      <c r="AU76" s="25"/>
      <c r="AV76" s="25"/>
      <c r="AW76" s="25"/>
      <c r="AX76" s="25"/>
    </row>
    <row r="77" spans="2:50" ht="19.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S77" s="25"/>
      <c r="AT77" s="25"/>
      <c r="AU77" s="25"/>
      <c r="AV77" s="25"/>
      <c r="AW77" s="25"/>
      <c r="AX77" s="25"/>
    </row>
    <row r="78" spans="2:50" ht="19.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S78" s="25"/>
      <c r="AT78" s="25"/>
      <c r="AU78" s="25"/>
      <c r="AV78" s="25"/>
      <c r="AW78" s="25"/>
      <c r="AX78" s="25"/>
    </row>
    <row r="79" spans="2:50" ht="19.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S79" s="25"/>
      <c r="AT79" s="25"/>
      <c r="AU79" s="25"/>
      <c r="AV79" s="25"/>
      <c r="AW79" s="25"/>
      <c r="AX79" s="25"/>
    </row>
    <row r="80" spans="2:50" ht="19.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S80" s="25"/>
      <c r="AT80" s="25"/>
      <c r="AU80" s="25"/>
      <c r="AV80" s="25"/>
      <c r="AW80" s="25"/>
      <c r="AX80" s="25"/>
    </row>
    <row r="81" spans="13:50" ht="19.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S81" s="25"/>
      <c r="AT81" s="25"/>
      <c r="AU81" s="25"/>
      <c r="AV81" s="25"/>
      <c r="AW81" s="25"/>
      <c r="AX81" s="25"/>
    </row>
    <row r="82" spans="13:50" ht="19.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S82" s="25"/>
      <c r="AT82" s="25"/>
      <c r="AU82" s="25"/>
      <c r="AV82" s="25"/>
      <c r="AW82" s="25"/>
      <c r="AX82" s="25"/>
    </row>
    <row r="83" spans="13:50" ht="19.5" customHeight="1" x14ac:dyDescent="0.25">
      <c r="M83" s="364"/>
      <c r="N83" s="365"/>
      <c r="O83" s="448" t="s">
        <v>116</v>
      </c>
      <c r="P83" s="448"/>
      <c r="Q83" s="92">
        <v>0.5</v>
      </c>
      <c r="R83" s="53"/>
      <c r="AS83" s="25"/>
      <c r="AT83" s="25"/>
      <c r="AU83" s="25"/>
      <c r="AV83" s="25"/>
      <c r="AW83" s="25"/>
      <c r="AX83" s="25"/>
    </row>
    <row r="84" spans="13:50" ht="19.5" customHeight="1" x14ac:dyDescent="0.25">
      <c r="M84" s="364"/>
      <c r="N84" s="365"/>
      <c r="O84" s="448"/>
      <c r="P84" s="448"/>
      <c r="Q84" s="92"/>
      <c r="R84" s="53"/>
      <c r="AS84" s="25"/>
      <c r="AT84" s="25"/>
      <c r="AU84" s="25"/>
      <c r="AV84" s="25"/>
      <c r="AW84" s="25"/>
      <c r="AX84" s="25"/>
    </row>
    <row r="85" spans="13:50" ht="19.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S85" s="25"/>
      <c r="AT85" s="25"/>
      <c r="AU85" s="25"/>
      <c r="AV85" s="25"/>
      <c r="AW85" s="25"/>
      <c r="AX85" s="25"/>
    </row>
    <row r="86" spans="13:50" ht="19.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S86" s="25"/>
      <c r="AT86" s="25"/>
      <c r="AU86" s="25"/>
      <c r="AV86" s="25"/>
      <c r="AW86" s="25"/>
      <c r="AX86" s="25"/>
    </row>
    <row r="87" spans="13:50" ht="19.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4">Y160</f>
        <v>8.7999999999999995E-2</v>
      </c>
      <c r="Z87" s="99">
        <f t="shared" si="14"/>
        <v>0.2</v>
      </c>
      <c r="AA87" s="99">
        <f t="shared" si="14"/>
        <v>2.83</v>
      </c>
      <c r="AB87" s="99">
        <f t="shared" si="14"/>
        <v>3.4</v>
      </c>
      <c r="AC87" s="100">
        <f>AC160*0.602</f>
        <v>1.5155244755244754</v>
      </c>
      <c r="AD87" s="100">
        <f>AD160*0.715</f>
        <v>5.4634551495016606</v>
      </c>
      <c r="AE87" s="100">
        <f t="shared" ref="AE87:AE95" si="15">AB87+AC87+AD87</f>
        <v>10.378979625026137</v>
      </c>
      <c r="AS87" s="25"/>
      <c r="AT87" s="25"/>
      <c r="AU87" s="25"/>
      <c r="AV87" s="25"/>
      <c r="AW87" s="25"/>
      <c r="AX87" s="25"/>
    </row>
    <row r="88" spans="13:50" ht="19.5" customHeight="1" x14ac:dyDescent="0.25">
      <c r="M88" s="364"/>
      <c r="N88" s="365"/>
      <c r="O88" s="450" t="s">
        <v>254</v>
      </c>
      <c r="P88" s="451"/>
      <c r="Q88" s="452"/>
      <c r="R88" s="53"/>
      <c r="U88" s="466"/>
      <c r="V88" s="99" t="str">
        <f t="shared" ref="V88:W95" si="16">V161</f>
        <v>Kamafugito</v>
      </c>
      <c r="W88" s="99">
        <f t="shared" si="16"/>
        <v>0</v>
      </c>
      <c r="X88" s="99">
        <f t="shared" ref="X88:X95" si="17">AL161</f>
        <v>0</v>
      </c>
      <c r="Y88" s="99">
        <f t="shared" si="14"/>
        <v>1.5069999999999999</v>
      </c>
      <c r="Z88" s="99">
        <f t="shared" si="14"/>
        <v>3.5</v>
      </c>
      <c r="AA88" s="99">
        <f t="shared" si="14"/>
        <v>3.3250000000000002</v>
      </c>
      <c r="AB88" s="99">
        <f t="shared" si="14"/>
        <v>4</v>
      </c>
      <c r="AC88" s="100">
        <f t="shared" ref="AC88:AC95" si="18">AC161*0.602</f>
        <v>1.7217199999999999</v>
      </c>
      <c r="AD88" s="100">
        <f t="shared" ref="AD88:AD95" si="19">AD161*0.715</f>
        <v>0</v>
      </c>
      <c r="AE88" s="100">
        <f t="shared" si="15"/>
        <v>5.7217199999999995</v>
      </c>
      <c r="AS88" s="25"/>
      <c r="AT88" s="25"/>
      <c r="AU88" s="25"/>
      <c r="AV88" s="25"/>
      <c r="AW88" s="25"/>
      <c r="AX88" s="25"/>
    </row>
    <row r="89" spans="13:50" ht="19.5" customHeight="1" x14ac:dyDescent="0.25">
      <c r="M89" s="364"/>
      <c r="N89" s="365"/>
      <c r="O89" s="450" t="s">
        <v>251</v>
      </c>
      <c r="P89" s="451"/>
      <c r="Q89" s="452"/>
      <c r="R89" s="53"/>
      <c r="U89" s="466"/>
      <c r="V89" s="99" t="str">
        <f t="shared" si="16"/>
        <v>Micaxisto (61) 3233-9368</v>
      </c>
      <c r="W89" s="99">
        <f t="shared" si="16"/>
        <v>0</v>
      </c>
      <c r="X89" s="99">
        <f t="shared" si="17"/>
        <v>0</v>
      </c>
      <c r="Y89" s="99">
        <f t="shared" si="14"/>
        <v>4.4999999999999998E-2</v>
      </c>
      <c r="Z89" s="99">
        <f t="shared" si="14"/>
        <v>0.1</v>
      </c>
      <c r="AA89" s="99">
        <f t="shared" si="14"/>
        <v>4.32</v>
      </c>
      <c r="AB89" s="99">
        <f t="shared" si="14"/>
        <v>5.2</v>
      </c>
      <c r="AC89" s="100">
        <f t="shared" si="18"/>
        <v>0.75776223776223772</v>
      </c>
      <c r="AD89" s="100">
        <f t="shared" si="19"/>
        <v>0.83139534883720934</v>
      </c>
      <c r="AE89" s="100">
        <f t="shared" si="15"/>
        <v>6.7891575865994476</v>
      </c>
      <c r="AS89" s="25"/>
      <c r="AT89" s="25"/>
      <c r="AU89" s="25"/>
      <c r="AV89" s="25"/>
      <c r="AW89" s="25"/>
      <c r="AX89" s="25"/>
    </row>
    <row r="90" spans="13:50" ht="19.5" customHeight="1" x14ac:dyDescent="0.25">
      <c r="M90" s="364"/>
      <c r="N90" s="365"/>
      <c r="O90" s="448" t="s">
        <v>93</v>
      </c>
      <c r="P90" s="448"/>
      <c r="Q90" s="92">
        <v>1</v>
      </c>
      <c r="R90" s="53"/>
      <c r="U90" s="466"/>
      <c r="V90" s="99" t="str">
        <f t="shared" si="16"/>
        <v xml:space="preserve">Pó de brita Fmx (62) 3924 8565 </v>
      </c>
      <c r="W90" s="99">
        <f t="shared" si="16"/>
        <v>0</v>
      </c>
      <c r="X90" s="99">
        <f t="shared" si="17"/>
        <v>0</v>
      </c>
      <c r="Y90" s="99">
        <f t="shared" si="14"/>
        <v>0</v>
      </c>
      <c r="Z90" s="99">
        <f t="shared" si="14"/>
        <v>0</v>
      </c>
      <c r="AA90" s="99">
        <f t="shared" si="14"/>
        <v>4.99</v>
      </c>
      <c r="AB90" s="99">
        <f t="shared" si="14"/>
        <v>6</v>
      </c>
      <c r="AC90" s="100">
        <f t="shared" si="18"/>
        <v>2.5258741258741257</v>
      </c>
      <c r="AD90" s="100">
        <f t="shared" si="19"/>
        <v>0.59385382059800662</v>
      </c>
      <c r="AE90" s="100">
        <f t="shared" si="15"/>
        <v>9.1197279464721319</v>
      </c>
      <c r="AS90" s="25"/>
      <c r="AT90" s="25"/>
      <c r="AU90" s="25"/>
      <c r="AV90" s="25"/>
      <c r="AW90" s="25"/>
      <c r="AX90" s="25"/>
    </row>
    <row r="91" spans="13:50" ht="19.5" customHeight="1" x14ac:dyDescent="0.25">
      <c r="M91" s="364"/>
      <c r="N91" s="365"/>
      <c r="O91" s="448"/>
      <c r="P91" s="448"/>
      <c r="Q91" s="92"/>
      <c r="R91" s="53"/>
      <c r="U91" s="466"/>
      <c r="V91" s="99" t="str">
        <f t="shared" si="16"/>
        <v>Remax Mistel (61) 99414-1975</v>
      </c>
      <c r="W91" s="99">
        <f t="shared" si="16"/>
        <v>0</v>
      </c>
      <c r="X91" s="99">
        <f t="shared" si="17"/>
        <v>43.8</v>
      </c>
      <c r="Y91" s="99">
        <f t="shared" si="14"/>
        <v>4.4999999999999998E-2</v>
      </c>
      <c r="Z91" s="99">
        <f t="shared" si="14"/>
        <v>0.1</v>
      </c>
      <c r="AA91" s="99">
        <f t="shared" si="14"/>
        <v>2.1949999999999998</v>
      </c>
      <c r="AB91" s="99">
        <f t="shared" si="14"/>
        <v>2.6</v>
      </c>
      <c r="AC91" s="100">
        <f t="shared" si="18"/>
        <v>11.282237762237763</v>
      </c>
      <c r="AD91" s="100">
        <f t="shared" si="19"/>
        <v>8.8959302325581397</v>
      </c>
      <c r="AE91" s="100">
        <f t="shared" si="15"/>
        <v>22.778167994795901</v>
      </c>
      <c r="AS91" s="25"/>
      <c r="AT91" s="25"/>
      <c r="AU91" s="25"/>
      <c r="AV91" s="25"/>
      <c r="AW91" s="25"/>
      <c r="AX91" s="25"/>
    </row>
    <row r="92" spans="13:50" ht="19.5" customHeight="1" x14ac:dyDescent="0.25">
      <c r="M92" s="364"/>
      <c r="N92" s="365"/>
      <c r="O92" s="448"/>
      <c r="P92" s="448"/>
      <c r="Q92" s="92"/>
      <c r="R92" s="53"/>
      <c r="U92" s="466"/>
      <c r="V92" s="99">
        <f t="shared" si="16"/>
        <v>0</v>
      </c>
      <c r="W92" s="99">
        <f t="shared" si="16"/>
        <v>0</v>
      </c>
      <c r="X92" s="99">
        <f t="shared" si="17"/>
        <v>0</v>
      </c>
      <c r="Y92" s="99">
        <f t="shared" si="14"/>
        <v>0</v>
      </c>
      <c r="Z92" s="99">
        <f t="shared" si="14"/>
        <v>0</v>
      </c>
      <c r="AA92" s="99">
        <f t="shared" si="14"/>
        <v>0</v>
      </c>
      <c r="AB92" s="99">
        <f t="shared" si="14"/>
        <v>0</v>
      </c>
      <c r="AC92" s="100">
        <f t="shared" si="18"/>
        <v>0</v>
      </c>
      <c r="AD92" s="100">
        <f t="shared" si="19"/>
        <v>0</v>
      </c>
      <c r="AE92" s="100">
        <f t="shared" si="15"/>
        <v>0</v>
      </c>
      <c r="AS92" s="25"/>
      <c r="AT92" s="25"/>
      <c r="AU92" s="25"/>
      <c r="AV92" s="25"/>
      <c r="AW92" s="25"/>
      <c r="AX92" s="25"/>
    </row>
    <row r="93" spans="13:50" ht="19.5" customHeight="1" x14ac:dyDescent="0.25">
      <c r="M93" s="101"/>
      <c r="N93" s="25"/>
      <c r="O93" s="25"/>
      <c r="P93" s="25"/>
      <c r="Q93" s="25"/>
      <c r="R93" s="53"/>
      <c r="U93" s="466"/>
      <c r="V93" s="99">
        <f t="shared" si="16"/>
        <v>0</v>
      </c>
      <c r="W93" s="99">
        <f t="shared" si="16"/>
        <v>0</v>
      </c>
      <c r="X93" s="99">
        <f t="shared" si="17"/>
        <v>0</v>
      </c>
      <c r="Y93" s="99">
        <f t="shared" si="14"/>
        <v>0</v>
      </c>
      <c r="Z93" s="99">
        <f t="shared" si="14"/>
        <v>0</v>
      </c>
      <c r="AA93" s="99">
        <f t="shared" si="14"/>
        <v>0</v>
      </c>
      <c r="AB93" s="99">
        <f t="shared" si="14"/>
        <v>0</v>
      </c>
      <c r="AC93" s="100">
        <f t="shared" si="18"/>
        <v>0</v>
      </c>
      <c r="AD93" s="100">
        <f t="shared" si="19"/>
        <v>0</v>
      </c>
      <c r="AE93" s="100">
        <f t="shared" si="15"/>
        <v>0</v>
      </c>
      <c r="AS93" s="25"/>
      <c r="AT93" s="25"/>
      <c r="AU93" s="25"/>
      <c r="AV93" s="25"/>
      <c r="AW93" s="25"/>
      <c r="AX93" s="25"/>
    </row>
    <row r="94" spans="13:50" ht="19.5" customHeight="1" x14ac:dyDescent="0.25">
      <c r="M94" s="101"/>
      <c r="N94" s="25"/>
      <c r="O94" s="365" t="s">
        <v>264</v>
      </c>
      <c r="P94" s="365"/>
      <c r="Q94" s="365"/>
      <c r="R94" s="53"/>
      <c r="U94" s="466"/>
      <c r="V94" s="99">
        <f t="shared" si="16"/>
        <v>0</v>
      </c>
      <c r="W94" s="99">
        <f t="shared" si="16"/>
        <v>0</v>
      </c>
      <c r="X94" s="99">
        <f t="shared" si="17"/>
        <v>0</v>
      </c>
      <c r="Y94" s="99">
        <f t="shared" si="14"/>
        <v>0</v>
      </c>
      <c r="Z94" s="99">
        <f t="shared" si="14"/>
        <v>0</v>
      </c>
      <c r="AA94" s="99">
        <f t="shared" si="14"/>
        <v>0</v>
      </c>
      <c r="AB94" s="99">
        <f t="shared" si="14"/>
        <v>0</v>
      </c>
      <c r="AC94" s="100">
        <f t="shared" si="18"/>
        <v>0</v>
      </c>
      <c r="AD94" s="100">
        <f t="shared" si="19"/>
        <v>0</v>
      </c>
      <c r="AE94" s="100">
        <f t="shared" si="15"/>
        <v>0</v>
      </c>
      <c r="AS94" s="25"/>
      <c r="AT94" s="25"/>
      <c r="AU94" s="25"/>
      <c r="AV94" s="25"/>
      <c r="AW94" s="25"/>
      <c r="AX94" s="25"/>
    </row>
    <row r="95" spans="13:50" ht="19.5" customHeight="1" thickBot="1" x14ac:dyDescent="0.3">
      <c r="M95" s="69"/>
      <c r="N95" s="70"/>
      <c r="O95" s="70"/>
      <c r="P95" s="70"/>
      <c r="Q95" s="70"/>
      <c r="R95" s="71"/>
      <c r="U95" s="466"/>
      <c r="V95" s="99">
        <f t="shared" si="16"/>
        <v>0</v>
      </c>
      <c r="W95" s="99">
        <f t="shared" si="16"/>
        <v>0</v>
      </c>
      <c r="X95" s="99">
        <f t="shared" si="17"/>
        <v>0</v>
      </c>
      <c r="Y95" s="99">
        <f t="shared" si="14"/>
        <v>0</v>
      </c>
      <c r="Z95" s="99">
        <f t="shared" si="14"/>
        <v>0</v>
      </c>
      <c r="AA95" s="99">
        <f t="shared" si="14"/>
        <v>0</v>
      </c>
      <c r="AB95" s="99">
        <f t="shared" si="14"/>
        <v>0</v>
      </c>
      <c r="AC95" s="100">
        <f t="shared" si="18"/>
        <v>0</v>
      </c>
      <c r="AD95" s="100">
        <f t="shared" si="19"/>
        <v>0</v>
      </c>
      <c r="AE95" s="100">
        <f t="shared" si="15"/>
        <v>0</v>
      </c>
      <c r="AS95" s="25"/>
      <c r="AT95" s="25"/>
      <c r="AU95" s="25"/>
      <c r="AV95" s="25"/>
      <c r="AW95" s="25"/>
      <c r="AX95" s="25"/>
    </row>
    <row r="96" spans="13:50" ht="19.5" customHeight="1" thickBot="1" x14ac:dyDescent="0.3">
      <c r="AS96" s="25"/>
      <c r="AT96" s="25"/>
      <c r="AU96" s="25"/>
      <c r="AV96" s="25"/>
      <c r="AW96" s="25"/>
      <c r="AX96" s="25"/>
    </row>
    <row r="97" spans="1:50" ht="19.5" customHeight="1" x14ac:dyDescent="0.25">
      <c r="A97" s="26"/>
      <c r="M97" s="48"/>
      <c r="N97" s="49"/>
      <c r="O97" s="49"/>
      <c r="P97" s="49"/>
      <c r="Q97" s="49"/>
      <c r="R97" s="50"/>
      <c r="AS97" s="25"/>
      <c r="AT97" s="25"/>
      <c r="AU97" s="25"/>
      <c r="AV97" s="25"/>
      <c r="AW97" s="25"/>
      <c r="AX97" s="25"/>
    </row>
    <row r="98" spans="1:50" ht="19.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c r="AS98" s="25"/>
      <c r="AT98" s="25"/>
      <c r="AU98" s="25"/>
      <c r="AV98" s="25"/>
      <c r="AW98" s="25"/>
      <c r="AX98" s="25"/>
    </row>
    <row r="99" spans="1:50" ht="19.5" customHeight="1" x14ac:dyDescent="0.25">
      <c r="A99" s="94"/>
      <c r="M99" s="364" t="s">
        <v>262</v>
      </c>
      <c r="N99" s="453"/>
      <c r="O99" s="103">
        <f>$AC$30</f>
        <v>880</v>
      </c>
      <c r="P99" s="103">
        <f>$AC$31</f>
        <v>120</v>
      </c>
      <c r="Q99" s="103">
        <f>$AC$32</f>
        <v>400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c r="AS99" s="25"/>
      <c r="AT99" s="25"/>
      <c r="AU99" s="25"/>
      <c r="AV99" s="25"/>
      <c r="AW99" s="25"/>
      <c r="AX99" s="25"/>
    </row>
    <row r="100" spans="1:50" ht="19.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c r="AS100" s="25"/>
      <c r="AT100" s="25"/>
      <c r="AU100" s="25"/>
      <c r="AV100" s="25"/>
      <c r="AW100" s="25"/>
      <c r="AX100" s="25"/>
    </row>
    <row r="101" spans="1:50" ht="19.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c r="AS101" s="25"/>
      <c r="AT101" s="25"/>
      <c r="AU101" s="25"/>
      <c r="AV101" s="25"/>
      <c r="AW101" s="25"/>
      <c r="AX101" s="25"/>
    </row>
    <row r="102" spans="1:50" ht="19.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c r="AS102" s="25"/>
      <c r="AT102" s="25"/>
      <c r="AU102" s="25"/>
      <c r="AV102" s="25"/>
      <c r="AW102" s="25"/>
      <c r="AX102" s="25"/>
    </row>
    <row r="103" spans="1:50" ht="19.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c r="AS103" s="25"/>
      <c r="AT103" s="25"/>
      <c r="AU103" s="25"/>
      <c r="AV103" s="25"/>
      <c r="AW103" s="25"/>
      <c r="AX103" s="25"/>
    </row>
    <row r="104" spans="1:50" ht="19.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c r="AS104" s="25"/>
      <c r="AT104" s="25"/>
      <c r="AU104" s="25"/>
      <c r="AV104" s="25"/>
      <c r="AW104" s="25"/>
      <c r="AX104" s="25"/>
    </row>
    <row r="105" spans="1:50" ht="19.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c r="AS105" s="25"/>
      <c r="AT105" s="25"/>
      <c r="AU105" s="25"/>
      <c r="AV105" s="25"/>
      <c r="AW105" s="25"/>
      <c r="AX105" s="25"/>
    </row>
    <row r="106" spans="1:50" ht="19.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50" ht="19.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50" ht="19.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50" ht="19.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50" ht="19.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50" ht="19.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50" ht="19.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19.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19.5" customHeight="1" x14ac:dyDescent="0.25">
      <c r="M114" s="101" t="s">
        <v>262</v>
      </c>
      <c r="N114" s="103">
        <f>AS26</f>
        <v>4</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19.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19.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19.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19.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19.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19.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19.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19.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19.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19.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19.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19.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19.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19.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19.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19.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19.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19.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19.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19.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19.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19.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19.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19.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19.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19.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19.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19.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19.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19.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19.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19.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19.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19.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19.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19.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19.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19.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19.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19.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19.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19.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19.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19.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19.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19.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19.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19.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19.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19.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19.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19.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19.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19.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19.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19.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19.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19.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19.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19.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19.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19.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19.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19.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19.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0">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dataValidations count="5">
    <dataValidation type="list" allowBlank="1" showInputMessage="1" showErrorMessage="1" sqref="O105:Q109">
      <formula1>$V$170:$V$179</formula1>
    </dataValidation>
    <dataValidation type="list" allowBlank="1" showInputMessage="1" showErrorMessage="1" sqref="O68 O176 N159 O174">
      <formula1>$AG$29:$AG$30</formula1>
    </dataValidation>
    <dataValidation type="list" allowBlank="1" showInputMessage="1" showErrorMessage="1" sqref="P39:Q39">
      <formula1>$AE$31:$AE$35</formula1>
    </dataValidation>
    <dataValidation type="list" allowBlank="1" showInputMessage="1" showErrorMessage="1" sqref="Q82:Q84 Q90:Q92 Q74:Q76 Q47 Q50">
      <formula1>$AI$29:$AI$40</formula1>
    </dataValidation>
    <dataValidation type="list" allowBlank="1" showInputMessage="1" showErrorMessage="1" sqref="O42:Q42">
      <formula1>$AK$29:$AK$38</formula1>
    </dataValidation>
  </dataValidations>
  <hyperlinks>
    <hyperlink ref="M4" location="Apresentação!A1" display="Voltar"/>
    <hyperlink ref="M4:N4" location="Painel!A1" display="Voltar"/>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corretivos'!$C$3:$C$62</xm:f>
          </x14:formula1>
          <xm:sqref>O74:P76 O82:P84 O90:P92</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corretivos'!$C$104:$C$113</xm:f>
          </x14:formula1>
          <xm:sqref>O55:Q55</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E42" sqref="E42:I42"/>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18.7109375" style="11" customWidth="1"/>
    <col min="17" max="17" width="49.28515625" style="11" customWidth="1"/>
    <col min="18" max="18" width="8.7109375"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0.28515625" style="11" hidden="1" customWidth="1" outlineLevel="1"/>
    <col min="25" max="25" width="22.42578125" style="11" hidden="1" customWidth="1" outlineLevel="1"/>
    <col min="26" max="26" width="18.85546875"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25.42578125" style="11" hidden="1" customWidth="1" outlineLevel="1"/>
    <col min="32" max="32" width="25.5703125" style="11" hidden="1" customWidth="1" outlineLevel="1"/>
    <col min="33" max="33" width="21.42578125" style="11" hidden="1" customWidth="1" outlineLevel="1"/>
    <col min="34" max="34" width="21.5703125" style="11" hidden="1" customWidth="1" outlineLevel="1"/>
    <col min="35" max="36" width="14.28515625" style="11" hidden="1" customWidth="1" outlineLevel="1"/>
    <col min="37" max="37" width="31.42578125" style="11" hidden="1" customWidth="1" outlineLevel="1"/>
    <col min="38" max="38" width="11.425781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29.28515625" style="11" hidden="1" customWidth="1" outlineLevel="1"/>
    <col min="47" max="48" width="23.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300</v>
      </c>
      <c r="AT5" s="55">
        <f>$AC$31</f>
        <v>100</v>
      </c>
      <c r="AU5" s="55">
        <f>$AC$32</f>
        <v>70</v>
      </c>
      <c r="AV5" s="509"/>
      <c r="AW5" s="47"/>
      <c r="AX5" s="47"/>
      <c r="AY5" s="47"/>
      <c r="AZ5" s="47"/>
      <c r="BA5" s="47"/>
      <c r="BB5" s="47"/>
    </row>
    <row r="6" spans="1:54" ht="20.25" customHeight="1" x14ac:dyDescent="0.25">
      <c r="M6" s="364"/>
      <c r="N6" s="453"/>
      <c r="O6" s="51" t="s">
        <v>3</v>
      </c>
      <c r="P6" s="56">
        <v>2</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50.000000000000007</v>
      </c>
      <c r="AU6" s="55">
        <f>IFERROR((VLOOKUP(AQ6,$V$100:$AB$179,7,0)*0.01)*AV6,0)</f>
        <v>0</v>
      </c>
      <c r="AV6" s="55">
        <f>IFERROR($AT$5*Q74/(VLOOKUP(AQ6,$V$100:$AB$179,5,0)/100),0)</f>
        <v>285.71428571428572</v>
      </c>
      <c r="AW6" s="47"/>
      <c r="AX6" s="47"/>
      <c r="AY6" s="47"/>
      <c r="AZ6" s="47"/>
      <c r="BA6" s="47"/>
      <c r="BB6" s="47"/>
    </row>
    <row r="7" spans="1:54" ht="20.25" customHeight="1" x14ac:dyDescent="0.25">
      <c r="M7" s="364"/>
      <c r="N7" s="453"/>
      <c r="O7" s="51" t="s">
        <v>4</v>
      </c>
      <c r="P7" s="32">
        <v>1</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50</v>
      </c>
      <c r="AU7" s="55">
        <f>IFERROR((VLOOKUP(AQ7,$V$100:$AB$179,7,0)*0.01)*AV7,0)</f>
        <v>0</v>
      </c>
      <c r="AV7" s="55">
        <f>IFERROR($AT$5*Q75/(VLOOKUP(AQ7,$V$100:$AB$179,5,0)/100),0)</f>
        <v>277.77777777777777</v>
      </c>
      <c r="AW7" s="47"/>
      <c r="AX7" s="47"/>
      <c r="AY7" s="47"/>
      <c r="AZ7" s="47"/>
      <c r="BA7" s="47"/>
      <c r="BB7" s="47"/>
    </row>
    <row r="8" spans="1:54" ht="20.25" customHeight="1" thickBot="1" x14ac:dyDescent="0.3">
      <c r="M8" s="364"/>
      <c r="N8" s="453"/>
      <c r="O8" s="51" t="s">
        <v>5</v>
      </c>
      <c r="P8" s="56">
        <v>0.5</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7.2</v>
      </c>
      <c r="AL9" s="457">
        <f>(AM9*1000)/$E$18</f>
        <v>7.2</v>
      </c>
      <c r="AM9" s="456">
        <v>2</v>
      </c>
      <c r="AO9" s="47"/>
      <c r="AP9" s="47"/>
      <c r="AQ9" s="47"/>
      <c r="AR9" s="47"/>
      <c r="AS9" s="59">
        <f>AS5-(SUM(AS6:AS8))</f>
        <v>300</v>
      </c>
      <c r="AT9" s="59">
        <f>AT5-(SUM(AT6:AT8))</f>
        <v>0</v>
      </c>
      <c r="AU9" s="59">
        <f>AU5-(SUM(AU6:AU8))</f>
        <v>70</v>
      </c>
      <c r="AV9" s="59"/>
      <c r="AW9" s="47"/>
      <c r="AX9" s="47"/>
      <c r="AY9" s="47"/>
      <c r="AZ9" s="47"/>
      <c r="BA9" s="47"/>
      <c r="BB9" s="47"/>
    </row>
    <row r="10" spans="1:54" ht="20.2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300</v>
      </c>
      <c r="AT11" s="55">
        <f t="shared" ref="AT11:AU11" si="0">AT9</f>
        <v>0</v>
      </c>
      <c r="AU11" s="55">
        <f t="shared" si="0"/>
        <v>70</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7.2</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35</v>
      </c>
      <c r="AV12" s="55">
        <f>IFERROR($AU$11*Q82/(VLOOKUP(AQ12,$V$100:$AB$179,7,0)/100),0)</f>
        <v>58.333333333333336</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35</v>
      </c>
      <c r="AV13" s="55">
        <f>IFERROR($AU$11*Q83/(VLOOKUP(AQ13,$V$100:$AB$179,7,0)/100),0)</f>
        <v>437.5</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21.6</v>
      </c>
      <c r="AM15" s="456">
        <v>6</v>
      </c>
      <c r="AO15" s="47"/>
      <c r="AP15" s="47"/>
      <c r="AQ15" s="47"/>
      <c r="AR15" s="47"/>
      <c r="AS15" s="59">
        <f>AS11-(SUM(AS12:AS14))</f>
        <v>300</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300</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277.77777777777777</v>
      </c>
      <c r="F18" s="457" t="s">
        <v>125</v>
      </c>
      <c r="G18" s="457"/>
      <c r="H18" s="457"/>
      <c r="I18" s="51">
        <f>O34</f>
        <v>1</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21.6</v>
      </c>
      <c r="AM18" s="456">
        <v>6</v>
      </c>
      <c r="AO18" s="47"/>
      <c r="AP18" s="54">
        <v>13</v>
      </c>
      <c r="AQ18" s="447" t="str">
        <f>O90</f>
        <v>Nitrato de Amônio</v>
      </c>
      <c r="AR18" s="447"/>
      <c r="AS18" s="55">
        <f>IFERROR((VLOOKUP(AQ18,$V$100:$AB$179,3,0)*0.01)*AV18,0)</f>
        <v>300</v>
      </c>
      <c r="AT18" s="55">
        <f>IFERROR((VLOOKUP(AQ18,$V$100:$AB$179,5,0)*0.01)*AV18,0)</f>
        <v>0</v>
      </c>
      <c r="AU18" s="55">
        <f>IFERROR((VLOOKUP(AQ18,$V$100:$AB$179,7,0)*0.01)*AV18,0)</f>
        <v>0</v>
      </c>
      <c r="AV18" s="55">
        <f>IFERROR($AS$17*Q90/(VLOOKUP(AQ18,$V$100:$AB$179,3,0)/100),0)</f>
        <v>1034.4827586206898</v>
      </c>
      <c r="AW18" s="47"/>
      <c r="AX18" s="47"/>
      <c r="AY18" s="47"/>
      <c r="AZ18" s="47"/>
      <c r="BA18" s="47"/>
      <c r="BB18" s="47"/>
    </row>
    <row r="19" spans="2:54" ht="20.2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59.337349397590359</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2</v>
      </c>
      <c r="D22" s="63" t="s">
        <v>79</v>
      </c>
      <c r="E22" s="63">
        <f>P13</f>
        <v>38.299999999999997</v>
      </c>
      <c r="F22" s="63" t="s">
        <v>84</v>
      </c>
      <c r="G22" s="63">
        <f>P14</f>
        <v>0.04</v>
      </c>
      <c r="H22" s="63" t="s">
        <v>86</v>
      </c>
      <c r="I22" s="63">
        <f>P19</f>
        <v>20.100000000000001</v>
      </c>
      <c r="M22" s="364"/>
      <c r="N22" s="453"/>
      <c r="O22" s="51" t="s">
        <v>20</v>
      </c>
      <c r="P22" s="56">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20.25" customHeight="1" x14ac:dyDescent="0.25">
      <c r="B23" s="64" t="s">
        <v>82</v>
      </c>
      <c r="C23" s="65">
        <f>P7</f>
        <v>1</v>
      </c>
      <c r="D23" s="63" t="s">
        <v>129</v>
      </c>
      <c r="E23" s="63">
        <f>P11</f>
        <v>2.7</v>
      </c>
      <c r="F23" s="63" t="s">
        <v>87</v>
      </c>
      <c r="G23" s="63">
        <f>P16</f>
        <v>4</v>
      </c>
      <c r="H23" s="63" t="s">
        <v>83</v>
      </c>
      <c r="I23" s="63">
        <f>P15</f>
        <v>20</v>
      </c>
      <c r="J23" s="66"/>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20.25" customHeight="1" x14ac:dyDescent="0.25">
      <c r="B24" s="64" t="s">
        <v>80</v>
      </c>
      <c r="C24" s="65">
        <f>P8</f>
        <v>0.5</v>
      </c>
      <c r="D24" s="63" t="s">
        <v>130</v>
      </c>
      <c r="E24" s="63">
        <f>P10</f>
        <v>0.1</v>
      </c>
      <c r="F24" s="63" t="s">
        <v>89</v>
      </c>
      <c r="G24" s="63">
        <f>P17</f>
        <v>58.4</v>
      </c>
      <c r="H24" s="63" t="s">
        <v>131</v>
      </c>
      <c r="I24" s="63">
        <f>P25</f>
        <v>6.6400000000000006</v>
      </c>
      <c r="J24" s="66"/>
      <c r="M24" s="364"/>
      <c r="N24" s="453"/>
      <c r="O24" s="51" t="s">
        <v>22</v>
      </c>
      <c r="P24" s="63">
        <f>100*(P6+P7+P8+P9)/P25</f>
        <v>59.337349397590359</v>
      </c>
      <c r="Q24" s="51" t="s">
        <v>23</v>
      </c>
      <c r="R24" s="53"/>
      <c r="AO24" s="47"/>
      <c r="AP24" s="47"/>
      <c r="AQ24" s="47"/>
      <c r="AR24" s="47"/>
      <c r="AS24" s="59">
        <f>AS26-(SUM(AS27:AS36))</f>
        <v>7.1993275862068966</v>
      </c>
      <c r="AT24" s="59">
        <f t="shared" ref="AT24:AV24" si="3">AT26-(SUM(AT27:AT36))</f>
        <v>-6.7241379310344822E-4</v>
      </c>
      <c r="AU24" s="59">
        <f t="shared" si="3"/>
        <v>-1.2931034482758623E-3</v>
      </c>
      <c r="AV24" s="59">
        <f t="shared" si="3"/>
        <v>-1.4482758620689657E-4</v>
      </c>
      <c r="AW24" s="47"/>
      <c r="AX24" s="47"/>
      <c r="AY24" s="47"/>
      <c r="AZ24" s="47"/>
      <c r="BA24" s="47"/>
      <c r="BB24" s="47"/>
    </row>
    <row r="25" spans="2:54" ht="20.25" customHeight="1" thickBot="1" x14ac:dyDescent="0.3">
      <c r="J25" s="66"/>
      <c r="M25" s="364"/>
      <c r="N25" s="453"/>
      <c r="O25" s="51" t="s">
        <v>24</v>
      </c>
      <c r="P25" s="67">
        <f>(P6+P7+P8+P9+P11)</f>
        <v>6.6400000000000006</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459" t="s">
        <v>312</v>
      </c>
      <c r="V26" s="512"/>
      <c r="W26" s="512"/>
      <c r="X26" s="512"/>
      <c r="Y26" s="512"/>
      <c r="Z26" s="460"/>
      <c r="AO26" s="47"/>
      <c r="AP26" s="461"/>
      <c r="AQ26" s="461"/>
      <c r="AR26" s="461"/>
      <c r="AS26" s="72">
        <f>AK9</f>
        <v>7.2</v>
      </c>
      <c r="AT26" s="72">
        <f>AK12</f>
        <v>0</v>
      </c>
      <c r="AU26" s="72">
        <f>AK15</f>
        <v>0</v>
      </c>
      <c r="AV26" s="72">
        <f>AK18</f>
        <v>0</v>
      </c>
      <c r="AW26" s="47"/>
      <c r="AX26" s="47"/>
      <c r="AY26" s="47"/>
      <c r="AZ26" s="47"/>
      <c r="BA26" s="47"/>
      <c r="BB26" s="47"/>
    </row>
    <row r="27" spans="2:54" ht="20.25" customHeight="1" thickBot="1" x14ac:dyDescent="0.3">
      <c r="B27" s="488" t="str">
        <f>IF($O$47&gt;0,$O$47,"-")</f>
        <v>ARAGUAIA Dolomítico</v>
      </c>
      <c r="C27" s="488"/>
      <c r="D27" s="73">
        <f>IF(J27&gt;0,J27,"-")</f>
        <v>0.39770812268284472</v>
      </c>
      <c r="E27" s="365" t="str">
        <f>IF(J27&gt;0,"toneladas por hectare ou,","-")</f>
        <v>toneladas por hectare ou,</v>
      </c>
      <c r="F27" s="365"/>
      <c r="G27" s="365"/>
      <c r="H27" s="365"/>
      <c r="I27" s="365"/>
      <c r="J27" s="74">
        <f>V51</f>
        <v>0.39770812268284472</v>
      </c>
      <c r="U27" s="51" t="s">
        <v>32</v>
      </c>
      <c r="V27" s="51" t="s">
        <v>64</v>
      </c>
      <c r="W27" s="51" t="s">
        <v>75</v>
      </c>
      <c r="X27" s="51" t="s">
        <v>71</v>
      </c>
      <c r="Y27" s="51" t="s">
        <v>36</v>
      </c>
      <c r="Z27" s="51" t="s">
        <v>35</v>
      </c>
      <c r="AO27" s="47"/>
      <c r="AP27" s="447" t="s">
        <v>261</v>
      </c>
      <c r="AQ27" s="447" t="str">
        <f>B29</f>
        <v xml:space="preserve">Pó de brita Fmx (62) 3924 8565 </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20.25" customHeight="1" x14ac:dyDescent="0.25">
      <c r="B28" s="488"/>
      <c r="C28" s="488"/>
      <c r="D28" s="73">
        <f>IF(J28&gt;0,J28,"-")</f>
        <v>3.9770812268284474E-2</v>
      </c>
      <c r="E28" s="365" t="str">
        <f>IF(J28&gt;0,"quilos por metro quadrado","-")</f>
        <v>quilos por metro quadrado</v>
      </c>
      <c r="F28" s="365"/>
      <c r="G28" s="365"/>
      <c r="H28" s="365"/>
      <c r="I28" s="365"/>
      <c r="J28" s="74">
        <f>J27/10</f>
        <v>3.9770812268284474E-2</v>
      </c>
      <c r="M28" s="48"/>
      <c r="N28" s="49"/>
      <c r="O28" s="49"/>
      <c r="P28" s="49"/>
      <c r="Q28" s="49"/>
      <c r="R28" s="50"/>
      <c r="U28" s="75">
        <v>0</v>
      </c>
      <c r="V28" s="75">
        <v>50</v>
      </c>
      <c r="W28" s="75" t="s">
        <v>68</v>
      </c>
      <c r="X28" s="75" t="str">
        <f>CONCATENATE(U28," - ",W28)</f>
        <v>0 - baixo</v>
      </c>
      <c r="Y28" s="75">
        <v>10</v>
      </c>
      <c r="Z28" s="75">
        <v>10</v>
      </c>
      <c r="AE28" s="51"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20.25" customHeight="1" x14ac:dyDescent="0.25">
      <c r="B29" s="488" t="str">
        <f>IF($O$50&gt;0,$O$50,"-")</f>
        <v xml:space="preserve">Pó de brita Fmx (62) 3924 8565 </v>
      </c>
      <c r="C29" s="488"/>
      <c r="D29" s="73">
        <f>IF(J29&gt;0,J29,"-")</f>
        <v>2.0147657228147091</v>
      </c>
      <c r="E29" s="365" t="str">
        <f>IF(J29&gt;0,"toneladas por hectare ou,","-")</f>
        <v>toneladas por hectare ou,</v>
      </c>
      <c r="F29" s="365"/>
      <c r="G29" s="365"/>
      <c r="H29" s="365"/>
      <c r="I29" s="365"/>
      <c r="J29" s="74">
        <f>Z49</f>
        <v>2.0147657228147091</v>
      </c>
      <c r="M29" s="364" t="s">
        <v>211</v>
      </c>
      <c r="N29" s="453"/>
      <c r="O29" s="489" t="s">
        <v>197</v>
      </c>
      <c r="P29" s="489"/>
      <c r="Q29" s="489"/>
      <c r="R29" s="53"/>
      <c r="U29" s="75">
        <v>0</v>
      </c>
      <c r="V29" s="75">
        <v>50</v>
      </c>
      <c r="W29" s="75" t="s">
        <v>69</v>
      </c>
      <c r="X29" s="75" t="str">
        <f t="shared" ref="X29:X42" si="9">CONCATENATE(U29," - ",W29)</f>
        <v>0 - medio</v>
      </c>
      <c r="Y29" s="75">
        <v>10</v>
      </c>
      <c r="Z29" s="75">
        <v>10</v>
      </c>
      <c r="AB29" s="458" t="s">
        <v>65</v>
      </c>
      <c r="AC29" s="458"/>
      <c r="AE29" s="51" t="s">
        <v>32</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20.25" customHeight="1" x14ac:dyDescent="0.25">
      <c r="B30" s="488"/>
      <c r="C30" s="488"/>
      <c r="D30" s="73">
        <f>IF(J30&gt;0,J30,"-")</f>
        <v>0.20147657228147092</v>
      </c>
      <c r="E30" s="365" t="str">
        <f>IF(J30&gt;0,"quilos por metro quadrado","-")</f>
        <v>quilos por metro quadrado</v>
      </c>
      <c r="F30" s="365"/>
      <c r="G30" s="365"/>
      <c r="H30" s="365"/>
      <c r="I30" s="365"/>
      <c r="J30" s="74">
        <f>J29/10</f>
        <v>0.20147657228147092</v>
      </c>
      <c r="M30" s="364"/>
      <c r="N30" s="453"/>
      <c r="O30" s="32">
        <v>6</v>
      </c>
      <c r="P30" s="77" t="s">
        <v>200</v>
      </c>
      <c r="Q30" s="32">
        <v>6</v>
      </c>
      <c r="R30" s="53"/>
      <c r="U30" s="75">
        <v>0</v>
      </c>
      <c r="V30" s="75">
        <v>50</v>
      </c>
      <c r="W30" s="75" t="s">
        <v>70</v>
      </c>
      <c r="X30" s="75" t="str">
        <f t="shared" si="9"/>
        <v>0 - adequado</v>
      </c>
      <c r="Y30" s="75">
        <v>10</v>
      </c>
      <c r="Z30" s="75">
        <v>10</v>
      </c>
      <c r="AB30" s="78" t="s">
        <v>33</v>
      </c>
      <c r="AC30" s="78">
        <f>VLOOKUP($P$39,$U$28:$V$42,2,0)</f>
        <v>300</v>
      </c>
      <c r="AE30" s="51"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20.25" customHeight="1" x14ac:dyDescent="0.25">
      <c r="B31" s="514" t="s">
        <v>533</v>
      </c>
      <c r="C31" s="514"/>
      <c r="D31" s="514"/>
      <c r="E31" s="514"/>
      <c r="F31" s="514"/>
      <c r="G31" s="514"/>
      <c r="H31" s="514"/>
      <c r="I31" s="514"/>
      <c r="J31" s="74"/>
      <c r="M31" s="364"/>
      <c r="N31" s="365"/>
      <c r="O31" s="105"/>
      <c r="P31" s="105"/>
      <c r="Q31" s="105"/>
      <c r="R31" s="53"/>
      <c r="U31" s="75">
        <v>1</v>
      </c>
      <c r="V31" s="75">
        <v>60</v>
      </c>
      <c r="W31" s="75" t="s">
        <v>68</v>
      </c>
      <c r="X31" s="75" t="str">
        <f t="shared" si="9"/>
        <v>1 - baixo</v>
      </c>
      <c r="Y31" s="75">
        <v>120</v>
      </c>
      <c r="Z31" s="75">
        <v>80</v>
      </c>
      <c r="AB31" s="78" t="s">
        <v>66</v>
      </c>
      <c r="AC31" s="78">
        <f>VLOOKUP(AB36,X28:Z42,2,0)</f>
        <v>100</v>
      </c>
      <c r="AE31" s="51">
        <v>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20.25" customHeight="1" x14ac:dyDescent="0.25">
      <c r="B32" s="514"/>
      <c r="C32" s="514"/>
      <c r="D32" s="514"/>
      <c r="E32" s="514"/>
      <c r="F32" s="514"/>
      <c r="G32" s="514"/>
      <c r="H32" s="514"/>
      <c r="I32" s="514"/>
      <c r="J32" s="74"/>
      <c r="M32" s="364"/>
      <c r="N32" s="365"/>
      <c r="O32" s="80"/>
      <c r="P32" s="80"/>
      <c r="Q32" s="80"/>
      <c r="R32" s="53"/>
      <c r="U32" s="75">
        <v>1</v>
      </c>
      <c r="V32" s="75">
        <v>60</v>
      </c>
      <c r="W32" s="75" t="s">
        <v>69</v>
      </c>
      <c r="X32" s="75" t="str">
        <f t="shared" si="9"/>
        <v>1 - medio</v>
      </c>
      <c r="Y32" s="75">
        <v>80</v>
      </c>
      <c r="Z32" s="75">
        <v>50</v>
      </c>
      <c r="AB32" s="78" t="s">
        <v>67</v>
      </c>
      <c r="AC32" s="78">
        <f>VLOOKUP($AB$39,X28:Z42,3,0)</f>
        <v>70</v>
      </c>
      <c r="AE32" s="51">
        <v>1</v>
      </c>
      <c r="AI32" s="76">
        <v>0.2</v>
      </c>
      <c r="AK32" s="51" t="s">
        <v>292</v>
      </c>
      <c r="AO32" s="47"/>
      <c r="AP32" s="447"/>
      <c r="AQ32" s="447" t="str">
        <f t="shared" si="8"/>
        <v>EkoSil</v>
      </c>
      <c r="AR32" s="447"/>
      <c r="AS32" s="55">
        <f t="shared" si="4"/>
        <v>6.7241379310344822E-4</v>
      </c>
      <c r="AT32" s="55">
        <f t="shared" si="5"/>
        <v>6.7241379310344822E-4</v>
      </c>
      <c r="AU32" s="55">
        <f t="shared" si="6"/>
        <v>1.2931034482758623E-3</v>
      </c>
      <c r="AV32" s="55">
        <f t="shared" si="7"/>
        <v>1.4482758620689657E-4</v>
      </c>
      <c r="AW32" s="47"/>
      <c r="AX32" s="47"/>
      <c r="AY32" s="47"/>
      <c r="AZ32" s="47"/>
      <c r="BA32" s="47"/>
      <c r="BB32" s="47"/>
    </row>
    <row r="33" spans="2:57" ht="20.25" customHeight="1" thickBot="1" x14ac:dyDescent="0.3">
      <c r="B33" s="515"/>
      <c r="C33" s="515"/>
      <c r="D33" s="515"/>
      <c r="E33" s="515"/>
      <c r="F33" s="515"/>
      <c r="G33" s="515"/>
      <c r="H33" s="515"/>
      <c r="I33" s="515"/>
      <c r="J33" s="74"/>
      <c r="M33" s="364"/>
      <c r="N33" s="453"/>
      <c r="O33" s="489" t="s">
        <v>282</v>
      </c>
      <c r="P33" s="489"/>
      <c r="Q33" s="489"/>
      <c r="R33" s="53"/>
      <c r="U33" s="75">
        <v>1</v>
      </c>
      <c r="V33" s="75">
        <v>60</v>
      </c>
      <c r="W33" s="75" t="s">
        <v>70</v>
      </c>
      <c r="X33" s="75" t="str">
        <f t="shared" si="9"/>
        <v>1 - adequado</v>
      </c>
      <c r="Y33" s="75">
        <v>40</v>
      </c>
      <c r="Z33" s="75">
        <v>30</v>
      </c>
      <c r="AE33" s="51">
        <v>2</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364"/>
      <c r="N34" s="453"/>
      <c r="O34" s="448">
        <v>1</v>
      </c>
      <c r="P34" s="448"/>
      <c r="Q34" s="448"/>
      <c r="R34" s="53"/>
      <c r="U34" s="75">
        <v>2</v>
      </c>
      <c r="V34" s="75">
        <v>120</v>
      </c>
      <c r="W34" s="75" t="s">
        <v>68</v>
      </c>
      <c r="X34" s="75" t="str">
        <f t="shared" si="9"/>
        <v>2 - baixo</v>
      </c>
      <c r="Y34" s="75">
        <v>180</v>
      </c>
      <c r="Z34" s="75">
        <v>120</v>
      </c>
      <c r="AE34" s="51">
        <v>3</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20.25" customHeight="1" thickBot="1" x14ac:dyDescent="0.3">
      <c r="B35" s="488" t="str">
        <f>IF($O$55&gt;0,$O$55,"-")</f>
        <v>Gesso Agronelli</v>
      </c>
      <c r="C35" s="488"/>
      <c r="D35" s="73">
        <f>IF(J34&gt;0,J34,"-")</f>
        <v>356.25</v>
      </c>
      <c r="E35" s="365" t="str">
        <f>IF(J34&gt;0,"quilos por hectare ou,","-")</f>
        <v>quilos por hectare ou,</v>
      </c>
      <c r="F35" s="365"/>
      <c r="G35" s="365"/>
      <c r="H35" s="365"/>
      <c r="I35" s="365"/>
      <c r="J35" s="81">
        <f>J34/10</f>
        <v>35.625</v>
      </c>
      <c r="M35" s="69"/>
      <c r="N35" s="70"/>
      <c r="O35" s="70"/>
      <c r="P35" s="83">
        <f>10000/($O$30*$Q$30)</f>
        <v>277.77777777777777</v>
      </c>
      <c r="Q35" s="83" t="e">
        <f>10000/((($O$32/2)+($P$32/2))*$Q$32)</f>
        <v>#DIV/0!</v>
      </c>
      <c r="R35" s="71"/>
      <c r="U35" s="75">
        <v>2</v>
      </c>
      <c r="V35" s="75">
        <v>120</v>
      </c>
      <c r="W35" s="75" t="s">
        <v>69</v>
      </c>
      <c r="X35" s="75" t="str">
        <f t="shared" si="9"/>
        <v>2 - medio</v>
      </c>
      <c r="Y35" s="75">
        <v>120</v>
      </c>
      <c r="Z35" s="75">
        <v>80</v>
      </c>
      <c r="AB35" s="457" t="s">
        <v>72</v>
      </c>
      <c r="AC35" s="457"/>
      <c r="AE35" s="51">
        <v>4</v>
      </c>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v>2</v>
      </c>
      <c r="V36" s="75">
        <v>120</v>
      </c>
      <c r="W36" s="75" t="s">
        <v>70</v>
      </c>
      <c r="X36" s="75" t="str">
        <f t="shared" si="9"/>
        <v>2 - adequado</v>
      </c>
      <c r="Y36" s="75">
        <v>60</v>
      </c>
      <c r="Z36" s="75">
        <v>40</v>
      </c>
      <c r="AB36" s="457" t="str">
        <f>CONCATENATE($P$39," - ",$AD$8)</f>
        <v>4 -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U37" s="75">
        <v>3</v>
      </c>
      <c r="V37" s="75">
        <v>200</v>
      </c>
      <c r="W37" s="75" t="s">
        <v>68</v>
      </c>
      <c r="X37" s="75" t="str">
        <f t="shared" si="9"/>
        <v>3 - baixo</v>
      </c>
      <c r="Y37" s="75">
        <v>240</v>
      </c>
      <c r="Z37" s="75">
        <v>160</v>
      </c>
      <c r="AI37" s="76">
        <v>0.7</v>
      </c>
      <c r="AK37" s="51" t="s">
        <v>290</v>
      </c>
      <c r="AO37" s="85"/>
      <c r="AP37" s="85"/>
      <c r="AQ37" s="85"/>
      <c r="AR37" s="85"/>
      <c r="AS37" s="59">
        <f>IF(AS24&gt;0,AS24,0)</f>
        <v>7.1993275862068966</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198</v>
      </c>
      <c r="P38" s="489"/>
      <c r="Q38" s="489"/>
      <c r="R38" s="53"/>
      <c r="U38" s="75">
        <v>3</v>
      </c>
      <c r="V38" s="75">
        <v>200</v>
      </c>
      <c r="W38" s="75" t="s">
        <v>69</v>
      </c>
      <c r="X38" s="75" t="str">
        <f t="shared" si="9"/>
        <v>3 - medio</v>
      </c>
      <c r="Y38" s="75">
        <v>160</v>
      </c>
      <c r="Z38" s="75">
        <v>110</v>
      </c>
      <c r="AB38" s="457" t="s">
        <v>73</v>
      </c>
      <c r="AC38" s="457"/>
      <c r="AI38" s="76">
        <v>0.8</v>
      </c>
      <c r="AK38" s="51"/>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285.71428571428572</v>
      </c>
      <c r="M39" s="364"/>
      <c r="N39" s="365"/>
      <c r="O39" s="51" t="s">
        <v>182</v>
      </c>
      <c r="P39" s="448">
        <v>4</v>
      </c>
      <c r="Q39" s="448"/>
      <c r="R39" s="53"/>
      <c r="U39" s="75">
        <v>3</v>
      </c>
      <c r="V39" s="75">
        <v>200</v>
      </c>
      <c r="W39" s="75" t="s">
        <v>70</v>
      </c>
      <c r="X39" s="75" t="str">
        <f t="shared" si="9"/>
        <v>3 - adequado</v>
      </c>
      <c r="Y39" s="75">
        <v>80</v>
      </c>
      <c r="Z39" s="75">
        <v>50</v>
      </c>
      <c r="AB39" s="457" t="str">
        <f>CONCATENATE($P$39," - ",$AD$22)</f>
        <v>4 -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f>IF(AQ59&gt;0,AQ59,"-")</f>
        <v>5</v>
      </c>
      <c r="E40" s="362" t="str">
        <f>IF(AQ59&gt;0,"quilos por cova ou planta","-")</f>
        <v>quilos por cova ou planta</v>
      </c>
      <c r="F40" s="362"/>
      <c r="G40" s="362"/>
      <c r="H40" s="362"/>
      <c r="I40" s="362"/>
      <c r="J40" s="81">
        <f>AV7</f>
        <v>277.77777777777777</v>
      </c>
      <c r="M40" s="364"/>
      <c r="N40" s="365"/>
      <c r="O40" s="25"/>
      <c r="P40" s="25"/>
      <c r="Q40" s="25"/>
      <c r="R40" s="53"/>
      <c r="U40" s="75">
        <v>4</v>
      </c>
      <c r="V40" s="75">
        <v>300</v>
      </c>
      <c r="W40" s="75" t="s">
        <v>68</v>
      </c>
      <c r="X40" s="75" t="str">
        <f t="shared" si="9"/>
        <v>4 - baixo</v>
      </c>
      <c r="Y40" s="75">
        <v>300</v>
      </c>
      <c r="Z40" s="75">
        <v>200</v>
      </c>
      <c r="AI40" s="76">
        <v>1</v>
      </c>
      <c r="AO40" s="47"/>
      <c r="AP40" s="447" t="str">
        <f>O105</f>
        <v>Ácido Bórico</v>
      </c>
      <c r="AQ40" s="447"/>
      <c r="AR40" s="55">
        <f>IFERROR($AS$37/((VLOOKUP(AP40,$V$100:$AO$179,11,0)*0.01)),0)</f>
        <v>41.139014778325119</v>
      </c>
      <c r="AS40" s="55">
        <f>IFERROR($AT$37/((VLOOKUP(AP40,$V$100:$AO$179,14,0)*0.01)),0)</f>
        <v>0</v>
      </c>
      <c r="AT40" s="55">
        <f>IFERROR($AU$37/((VLOOKUP(AP40,$V$100:$AO$179,12,0)*0.01)),0)</f>
        <v>0</v>
      </c>
      <c r="AU40" s="55">
        <f>IFERROR($AV$37/((VLOOKUP(AP40,$V$100:$AO$179,13,0)*0.01)),0)</f>
        <v>0</v>
      </c>
      <c r="AV40" s="55">
        <f>MAX(AR40:AU40)</f>
        <v>41.139014778325119</v>
      </c>
      <c r="AW40" s="55">
        <f>IFERROR(AV40*(VLOOKUP(AP40,$V$100:$AO$179,11,0)*0.01),0)</f>
        <v>7.1993275862068966</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f t="shared" ref="D41:D49" si="10">IF(J39&gt;0,J39,"-")</f>
        <v>285.71428571428572</v>
      </c>
      <c r="E41" s="365" t="str">
        <f t="shared" ref="E41:E49" si="11">IF(J39&gt;0,"gramas por planta","-")</f>
        <v>gramas por planta</v>
      </c>
      <c r="F41" s="365"/>
      <c r="G41" s="365"/>
      <c r="H41" s="365"/>
      <c r="I41" s="365"/>
      <c r="J41" s="81">
        <f>AV8</f>
        <v>0</v>
      </c>
      <c r="M41" s="364"/>
      <c r="N41" s="365"/>
      <c r="O41" s="489" t="s">
        <v>308</v>
      </c>
      <c r="P41" s="489"/>
      <c r="Q41" s="489"/>
      <c r="R41" s="53"/>
      <c r="U41" s="75">
        <v>4</v>
      </c>
      <c r="V41" s="75">
        <v>300</v>
      </c>
      <c r="W41" s="75" t="s">
        <v>69</v>
      </c>
      <c r="X41" s="75" t="str">
        <f t="shared" si="9"/>
        <v>4 - medio</v>
      </c>
      <c r="Y41" s="75">
        <v>200</v>
      </c>
      <c r="Z41" s="75">
        <v>130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2">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f t="shared" si="10"/>
        <v>277.77777777777777</v>
      </c>
      <c r="E42" s="365" t="str">
        <f t="shared" si="11"/>
        <v>gramas por planta</v>
      </c>
      <c r="F42" s="365"/>
      <c r="G42" s="365"/>
      <c r="H42" s="365"/>
      <c r="I42" s="365"/>
      <c r="J42" s="81">
        <f>AV12</f>
        <v>58.333333333333336</v>
      </c>
      <c r="M42" s="364"/>
      <c r="N42" s="365"/>
      <c r="O42" s="483" t="s">
        <v>292</v>
      </c>
      <c r="P42" s="513"/>
      <c r="Q42" s="484"/>
      <c r="R42" s="53"/>
      <c r="U42" s="75">
        <v>4</v>
      </c>
      <c r="V42" s="75">
        <v>300</v>
      </c>
      <c r="W42" s="75" t="s">
        <v>70</v>
      </c>
      <c r="X42" s="75" t="str">
        <f t="shared" si="9"/>
        <v>4 - adequado</v>
      </c>
      <c r="Y42" s="75">
        <v>100</v>
      </c>
      <c r="Z42" s="75">
        <v>70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2"/>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0"/>
        <v>-</v>
      </c>
      <c r="E43" s="365" t="str">
        <f t="shared" si="11"/>
        <v>-</v>
      </c>
      <c r="F43" s="365"/>
      <c r="G43" s="365"/>
      <c r="H43" s="365"/>
      <c r="I43" s="365"/>
      <c r="J43" s="81">
        <f>AV13</f>
        <v>437.5</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2"/>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0"/>
        <v>58.333333333333336</v>
      </c>
      <c r="E44" s="365" t="str">
        <f t="shared" si="11"/>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0"/>
        <v>437.5</v>
      </c>
      <c r="E45" s="365" t="str">
        <f t="shared" si="11"/>
        <v>gramas por planta</v>
      </c>
      <c r="F45" s="365"/>
      <c r="G45" s="365"/>
      <c r="H45" s="365"/>
      <c r="I45" s="365"/>
      <c r="J45" s="81">
        <f>AV18</f>
        <v>1034.4827586206898</v>
      </c>
      <c r="M45" s="48"/>
      <c r="N45" s="49"/>
      <c r="O45" s="499" t="s">
        <v>305</v>
      </c>
      <c r="P45" s="500"/>
      <c r="Q45" s="501"/>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0"/>
        <v>-</v>
      </c>
      <c r="E46" s="365" t="str">
        <f t="shared" si="11"/>
        <v>-</v>
      </c>
      <c r="F46" s="365"/>
      <c r="G46" s="365"/>
      <c r="H46" s="365"/>
      <c r="I46" s="365"/>
      <c r="J46" s="81">
        <f>AV19</f>
        <v>0</v>
      </c>
      <c r="M46" s="364" t="s">
        <v>213</v>
      </c>
      <c r="N46" s="365"/>
      <c r="O46" s="502"/>
      <c r="P46" s="503"/>
      <c r="Q46" s="504"/>
      <c r="R46" s="53"/>
      <c r="U46" s="75" t="s">
        <v>109</v>
      </c>
      <c r="V46" s="89">
        <v>70</v>
      </c>
      <c r="X46" s="455" t="s">
        <v>268</v>
      </c>
      <c r="Y46" s="455"/>
      <c r="Z46" s="63">
        <f>IFERROR(VLOOKUP(O50,$V$87:$AE$95,10,0),0)</f>
        <v>9.1197279464721319</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0"/>
        <v>1034.4827586206898</v>
      </c>
      <c r="E47" s="365" t="str">
        <f t="shared" si="11"/>
        <v>gramas por planta</v>
      </c>
      <c r="F47" s="365"/>
      <c r="G47" s="365"/>
      <c r="H47" s="365"/>
      <c r="I47" s="365"/>
      <c r="J47" s="81">
        <f>AV20</f>
        <v>0</v>
      </c>
      <c r="M47" s="364"/>
      <c r="N47" s="365"/>
      <c r="O47" s="481" t="s">
        <v>138</v>
      </c>
      <c r="P47" s="482"/>
      <c r="Q47" s="90">
        <v>0.5</v>
      </c>
      <c r="R47" s="53"/>
      <c r="U47" s="51" t="s">
        <v>111</v>
      </c>
      <c r="V47" s="63">
        <f>IFERROR((((V46-P24)*P25)/V49),0)</f>
        <v>0.79541624536568944</v>
      </c>
      <c r="X47" s="455" t="s">
        <v>203</v>
      </c>
      <c r="Y47" s="455"/>
      <c r="Z47" s="63">
        <f>IFERROR((($V$50/$Z$46)*$V$47),0)</f>
        <v>4.0295314456294182</v>
      </c>
      <c r="AO47" s="47"/>
      <c r="BA47" s="47"/>
      <c r="BB47" s="47"/>
    </row>
    <row r="48" spans="2:57" ht="20.25" customHeight="1" x14ac:dyDescent="0.25">
      <c r="B48" s="449" t="str">
        <f>IF(AQ19&gt;0,AQ19,"-")</f>
        <v>-</v>
      </c>
      <c r="C48" s="449"/>
      <c r="D48" s="87" t="str">
        <f t="shared" si="10"/>
        <v>-</v>
      </c>
      <c r="E48" s="365" t="str">
        <f t="shared" si="11"/>
        <v>-</v>
      </c>
      <c r="F48" s="365"/>
      <c r="G48" s="365"/>
      <c r="H48" s="365"/>
      <c r="I48" s="365"/>
      <c r="J48" s="91"/>
      <c r="M48" s="364"/>
      <c r="N48" s="365"/>
      <c r="O48" s="505" t="s">
        <v>306</v>
      </c>
      <c r="P48" s="506"/>
      <c r="Q48" s="507"/>
      <c r="R48" s="53"/>
      <c r="U48" s="51" t="s">
        <v>201</v>
      </c>
      <c r="V48" s="63">
        <f>IF(V47&lt;0,(0),IF(V47&gt;=0,(V47)))</f>
        <v>0.79541624536568944</v>
      </c>
      <c r="X48" s="455" t="s">
        <v>201</v>
      </c>
      <c r="Y48" s="455"/>
      <c r="Z48" s="63">
        <f>IFERROR(IF(Z47&lt;0,(0),IF(Z47&gt;=0,(Z47))),0)</f>
        <v>4.0295314456294182</v>
      </c>
    </row>
    <row r="49" spans="2:50" ht="20.25" customHeight="1" x14ac:dyDescent="0.25">
      <c r="B49" s="449" t="str">
        <f>IF(AQ20&gt;0,AQ20,"-")</f>
        <v>-</v>
      </c>
      <c r="C49" s="449"/>
      <c r="D49" s="87" t="str">
        <f t="shared" si="10"/>
        <v>-</v>
      </c>
      <c r="E49" s="365" t="str">
        <f t="shared" si="11"/>
        <v>-</v>
      </c>
      <c r="F49" s="365"/>
      <c r="G49" s="365"/>
      <c r="H49" s="365"/>
      <c r="I49" s="365"/>
      <c r="M49" s="364"/>
      <c r="N49" s="365"/>
      <c r="O49" s="502"/>
      <c r="P49" s="503"/>
      <c r="Q49" s="504"/>
      <c r="R49" s="53"/>
      <c r="U49" s="51" t="s">
        <v>110</v>
      </c>
      <c r="V49" s="63">
        <f>IFERROR(VLOOKUP($O$47,$V$56:$AA$68,5,0),0)</f>
        <v>89.01</v>
      </c>
      <c r="X49" s="455" t="s">
        <v>273</v>
      </c>
      <c r="Y49" s="455"/>
      <c r="Z49" s="63">
        <f>Z48*$Q$50</f>
        <v>2.0147657228147091</v>
      </c>
    </row>
    <row r="50" spans="2:50" ht="20.25" customHeight="1" x14ac:dyDescent="0.25">
      <c r="B50" s="476" t="s">
        <v>535</v>
      </c>
      <c r="C50" s="476"/>
      <c r="D50" s="476"/>
      <c r="E50" s="476"/>
      <c r="F50" s="476"/>
      <c r="G50" s="476"/>
      <c r="H50" s="476"/>
      <c r="I50" s="476"/>
      <c r="M50" s="364"/>
      <c r="N50" s="365"/>
      <c r="O50" s="483" t="s">
        <v>157</v>
      </c>
      <c r="P50" s="484"/>
      <c r="Q50" s="92">
        <v>0.5</v>
      </c>
      <c r="R50" s="53"/>
      <c r="U50" s="51" t="s">
        <v>193</v>
      </c>
      <c r="V50" s="63">
        <f>IFERROR(VLOOKUP($O$47,$V$56:$AA$68,6,0),0)</f>
        <v>46.2</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0.39770812268284472</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3">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3"/>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3"/>
        <v>3 - Composto de lixo (COL)</v>
      </c>
      <c r="AW54" s="51">
        <v>15</v>
      </c>
    </row>
    <row r="55" spans="2:50" ht="20.25" customHeight="1" x14ac:dyDescent="0.25">
      <c r="B55" s="449" t="str">
        <f>IF(AP40&gt;0,AP40,"-")</f>
        <v>Ácido Bórico</v>
      </c>
      <c r="C55" s="449"/>
      <c r="D55" s="87">
        <f>IF(AV40&gt;0,AV40,"-")</f>
        <v>41.139014778325119</v>
      </c>
      <c r="E55" s="365" t="str">
        <f>IF(AV40&gt;0,"gramas por planta","-")</f>
        <v>gramas por planta</v>
      </c>
      <c r="F55" s="365"/>
      <c r="G55" s="365"/>
      <c r="H55" s="365"/>
      <c r="I55" s="365"/>
      <c r="M55" s="364"/>
      <c r="N55" s="365"/>
      <c r="O55" s="448" t="s">
        <v>188</v>
      </c>
      <c r="P55" s="448"/>
      <c r="Q55" s="448"/>
      <c r="R55" s="53"/>
      <c r="U55" s="344"/>
      <c r="V55" s="344"/>
      <c r="W55" s="344"/>
      <c r="X55" s="95" t="s">
        <v>105</v>
      </c>
      <c r="Y55" s="95" t="s">
        <v>106</v>
      </c>
      <c r="Z55" s="95" t="s">
        <v>107</v>
      </c>
      <c r="AA55" s="95" t="s">
        <v>195</v>
      </c>
      <c r="AP55" s="465"/>
      <c r="AQ55" s="465"/>
      <c r="AS55" s="465"/>
      <c r="AT55" s="51">
        <v>4</v>
      </c>
      <c r="AU55" s="93" t="s">
        <v>286</v>
      </c>
      <c r="AV55" s="93" t="str">
        <f t="shared" si="13"/>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3"/>
        <v>0 - Cama de frango corte</v>
      </c>
      <c r="AW56" s="75">
        <v>4</v>
      </c>
      <c r="AX56" s="25"/>
    </row>
    <row r="57" spans="2:50" ht="20.25" customHeight="1" x14ac:dyDescent="0.25">
      <c r="B57" s="449" t="str">
        <f>IF(AP42&gt;0,AP42,"-")</f>
        <v>Sulfato de zinco</v>
      </c>
      <c r="C57" s="449"/>
      <c r="D57" s="87" t="str">
        <f>IF(AV42&gt;0,AV42,"-")</f>
        <v>-</v>
      </c>
      <c r="E57" s="365" t="str">
        <f t="shared" ref="E57:E59" si="14">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3"/>
        <v>1 - Cama de frango corte</v>
      </c>
      <c r="AW57" s="75">
        <v>1</v>
      </c>
    </row>
    <row r="58" spans="2:50" ht="20.25" customHeight="1" x14ac:dyDescent="0.25">
      <c r="B58" s="449" t="str">
        <f>IF(AP43&gt;0,AP43,"-")</f>
        <v>Sulfato de manganês</v>
      </c>
      <c r="C58" s="449"/>
      <c r="D58" s="87" t="str">
        <f>IF(AV43&gt;0,AV43,"-")</f>
        <v>-</v>
      </c>
      <c r="E58" s="365" t="str">
        <f t="shared" si="14"/>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4 - Esterco Bovino curtido</v>
      </c>
      <c r="AR58" s="463"/>
      <c r="AS58" s="25"/>
      <c r="AT58" s="75">
        <v>2</v>
      </c>
      <c r="AU58" s="97" t="s">
        <v>293</v>
      </c>
      <c r="AV58" s="97" t="str">
        <f t="shared" si="13"/>
        <v>2 - Cama de frango corte</v>
      </c>
      <c r="AW58" s="75">
        <v>3</v>
      </c>
    </row>
    <row r="59" spans="2:50" ht="20.25" customHeight="1" x14ac:dyDescent="0.25">
      <c r="B59" s="449" t="str">
        <f>IF(AP44&gt;0,AP44,"-")</f>
        <v>-</v>
      </c>
      <c r="C59" s="449"/>
      <c r="D59" s="87" t="str">
        <f>IF(AV44&gt;0,AV44,"-")</f>
        <v>-</v>
      </c>
      <c r="E59" s="365" t="str">
        <f t="shared" si="14"/>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5</v>
      </c>
      <c r="AR59" s="456"/>
      <c r="AS59" s="25"/>
      <c r="AT59" s="75">
        <v>3</v>
      </c>
      <c r="AU59" s="97" t="s">
        <v>293</v>
      </c>
      <c r="AV59" s="97" t="str">
        <f t="shared" si="13"/>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3"/>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3"/>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3"/>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3"/>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3"/>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3"/>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3"/>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3"/>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3"/>
        <v>2 - Esterco Bovino curtido</v>
      </c>
      <c r="AW68" s="75">
        <v>7</v>
      </c>
    </row>
    <row r="69" spans="2:49" ht="20.25" customHeight="1" thickBot="1" x14ac:dyDescent="0.3">
      <c r="M69" s="69"/>
      <c r="N69" s="70"/>
      <c r="O69" s="70"/>
      <c r="P69" s="70"/>
      <c r="Q69" s="70"/>
      <c r="R69" s="71"/>
      <c r="AT69" s="75">
        <v>3</v>
      </c>
      <c r="AU69" s="97" t="s">
        <v>292</v>
      </c>
      <c r="AV69" s="97" t="str">
        <f t="shared" si="13"/>
        <v>3 - Esterco Bovino curtido</v>
      </c>
      <c r="AW69" s="75">
        <v>12</v>
      </c>
    </row>
    <row r="70" spans="2:49" ht="20.25" customHeight="1" thickBot="1" x14ac:dyDescent="0.3">
      <c r="AT70" s="75">
        <v>4</v>
      </c>
      <c r="AU70" s="97" t="s">
        <v>292</v>
      </c>
      <c r="AV70" s="97" t="str">
        <f t="shared" si="13"/>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3"/>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3"/>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3"/>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3"/>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3"/>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3"/>
        <v>0 - Esterco de suínos</v>
      </c>
      <c r="AW76" s="75">
        <v>10</v>
      </c>
    </row>
    <row r="77" spans="2:49" ht="20.2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3"/>
        <v>1 - Esterco de suínos</v>
      </c>
      <c r="AW77" s="75">
        <v>4</v>
      </c>
    </row>
    <row r="78" spans="2:49" ht="20.2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3"/>
        <v>2 - Esterco de suínos</v>
      </c>
      <c r="AW78" s="75">
        <v>6</v>
      </c>
    </row>
    <row r="79" spans="2:49" ht="20.2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3"/>
        <v>3 - Esterco de suínos</v>
      </c>
      <c r="AW79" s="75">
        <v>10</v>
      </c>
    </row>
    <row r="80" spans="2:49" ht="20.2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3"/>
        <v>4 - Esterco de suínos</v>
      </c>
      <c r="AW80" s="75">
        <v>4</v>
      </c>
    </row>
    <row r="81" spans="13:49" ht="20.2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3"/>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3"/>
        <v>1 - Esterco de ovinos</v>
      </c>
      <c r="AW82" s="51">
        <v>4</v>
      </c>
    </row>
    <row r="83" spans="13:49" ht="20.25" customHeight="1" x14ac:dyDescent="0.25">
      <c r="M83" s="364"/>
      <c r="N83" s="365"/>
      <c r="O83" s="448" t="s">
        <v>116</v>
      </c>
      <c r="P83" s="448"/>
      <c r="Q83" s="92">
        <v>0.5</v>
      </c>
      <c r="R83" s="53"/>
      <c r="AT83" s="51">
        <v>2</v>
      </c>
      <c r="AU83" s="93" t="s">
        <v>288</v>
      </c>
      <c r="AV83" s="93" t="str">
        <f t="shared" si="13"/>
        <v>2 - Esterco de ovinos</v>
      </c>
      <c r="AW83" s="51">
        <v>6</v>
      </c>
    </row>
    <row r="84" spans="13:49" ht="20.25" customHeight="1" x14ac:dyDescent="0.25">
      <c r="M84" s="364"/>
      <c r="N84" s="365"/>
      <c r="O84" s="448"/>
      <c r="P84" s="448"/>
      <c r="Q84" s="92"/>
      <c r="R84" s="53"/>
      <c r="AT84" s="51">
        <v>3</v>
      </c>
      <c r="AU84" s="93" t="s">
        <v>288</v>
      </c>
      <c r="AV84" s="93" t="str">
        <f t="shared" si="13"/>
        <v>3 - Esterco de ovinos</v>
      </c>
      <c r="AW84" s="51">
        <v>10</v>
      </c>
    </row>
    <row r="85" spans="13:49" ht="20.2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T85" s="51">
        <v>4</v>
      </c>
      <c r="AU85" s="93" t="s">
        <v>288</v>
      </c>
      <c r="AV85" s="93" t="str">
        <f t="shared" si="13"/>
        <v>4 - Esterco de ovinos</v>
      </c>
      <c r="AW85" s="51">
        <v>4</v>
      </c>
    </row>
    <row r="86" spans="13:49" ht="20.2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3"/>
        <v>0 - Lodo de esgosto</v>
      </c>
      <c r="AW86" s="75">
        <v>15</v>
      </c>
    </row>
    <row r="87" spans="13:49" ht="20.2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5">Y160</f>
        <v>8.7999999999999995E-2</v>
      </c>
      <c r="Z87" s="99">
        <f t="shared" si="15"/>
        <v>0.2</v>
      </c>
      <c r="AA87" s="99">
        <f t="shared" si="15"/>
        <v>2.83</v>
      </c>
      <c r="AB87" s="99">
        <f t="shared" si="15"/>
        <v>3.4</v>
      </c>
      <c r="AC87" s="100">
        <f>AC160*0.602</f>
        <v>1.5155244755244754</v>
      </c>
      <c r="AD87" s="100">
        <f>AD160*0.715</f>
        <v>5.4634551495016606</v>
      </c>
      <c r="AE87" s="100">
        <f t="shared" ref="AE87:AE95" si="16">AB87+AC87+AD87</f>
        <v>10.378979625026137</v>
      </c>
      <c r="AT87" s="75">
        <v>1</v>
      </c>
      <c r="AU87" s="97" t="s">
        <v>289</v>
      </c>
      <c r="AV87" s="97" t="str">
        <f t="shared" si="13"/>
        <v>1 - Lodo de esgosto</v>
      </c>
      <c r="AW87" s="75">
        <v>10</v>
      </c>
    </row>
    <row r="88" spans="13:49" ht="20.25" customHeight="1" x14ac:dyDescent="0.25">
      <c r="M88" s="364"/>
      <c r="N88" s="365"/>
      <c r="O88" s="450" t="s">
        <v>254</v>
      </c>
      <c r="P88" s="451"/>
      <c r="Q88" s="452"/>
      <c r="R88" s="53"/>
      <c r="U88" s="466"/>
      <c r="V88" s="99" t="str">
        <f t="shared" ref="V88:W95" si="17">V161</f>
        <v>Kamafugito</v>
      </c>
      <c r="W88" s="99">
        <f t="shared" si="17"/>
        <v>0</v>
      </c>
      <c r="X88" s="99">
        <f t="shared" ref="X88:X95" si="18">AL161</f>
        <v>0</v>
      </c>
      <c r="Y88" s="99">
        <f t="shared" si="15"/>
        <v>1.5069999999999999</v>
      </c>
      <c r="Z88" s="99">
        <f t="shared" si="15"/>
        <v>3.5</v>
      </c>
      <c r="AA88" s="99">
        <f t="shared" si="15"/>
        <v>3.3250000000000002</v>
      </c>
      <c r="AB88" s="99">
        <f t="shared" si="15"/>
        <v>4</v>
      </c>
      <c r="AC88" s="100">
        <f t="shared" ref="AC88:AC95" si="19">AC161*0.602</f>
        <v>1.7217199999999999</v>
      </c>
      <c r="AD88" s="100">
        <f t="shared" ref="AD88:AD95" si="20">AD161*0.715</f>
        <v>0</v>
      </c>
      <c r="AE88" s="100">
        <f t="shared" si="16"/>
        <v>5.7217199999999995</v>
      </c>
      <c r="AT88" s="75">
        <v>2</v>
      </c>
      <c r="AU88" s="97" t="s">
        <v>289</v>
      </c>
      <c r="AV88" s="97" t="str">
        <f t="shared" si="13"/>
        <v>2 - Lodo de esgosto</v>
      </c>
      <c r="AW88" s="75">
        <v>5</v>
      </c>
    </row>
    <row r="89" spans="13:49" ht="20.25" customHeight="1" x14ac:dyDescent="0.25">
      <c r="M89" s="364"/>
      <c r="N89" s="365"/>
      <c r="O89" s="450" t="s">
        <v>251</v>
      </c>
      <c r="P89" s="451"/>
      <c r="Q89" s="452"/>
      <c r="R89" s="53"/>
      <c r="U89" s="466"/>
      <c r="V89" s="99" t="str">
        <f t="shared" si="17"/>
        <v>Micaxisto (61) 3233-9368</v>
      </c>
      <c r="W89" s="99">
        <f t="shared" si="17"/>
        <v>0</v>
      </c>
      <c r="X89" s="99">
        <f t="shared" si="18"/>
        <v>0</v>
      </c>
      <c r="Y89" s="99">
        <f t="shared" si="15"/>
        <v>4.4999999999999998E-2</v>
      </c>
      <c r="Z89" s="99">
        <f t="shared" si="15"/>
        <v>0.1</v>
      </c>
      <c r="AA89" s="99">
        <f t="shared" si="15"/>
        <v>4.32</v>
      </c>
      <c r="AB89" s="99">
        <f t="shared" si="15"/>
        <v>5.2</v>
      </c>
      <c r="AC89" s="100">
        <f t="shared" si="19"/>
        <v>0.75776223776223772</v>
      </c>
      <c r="AD89" s="100">
        <f t="shared" si="20"/>
        <v>0.83139534883720934</v>
      </c>
      <c r="AE89" s="100">
        <f t="shared" si="16"/>
        <v>6.7891575865994476</v>
      </c>
      <c r="AT89" s="75">
        <v>3</v>
      </c>
      <c r="AU89" s="97" t="s">
        <v>289</v>
      </c>
      <c r="AV89" s="97" t="str">
        <f t="shared" si="13"/>
        <v>3 - Lodo de esgosto</v>
      </c>
      <c r="AW89" s="75">
        <v>15</v>
      </c>
    </row>
    <row r="90" spans="13:49" ht="20.25" customHeight="1" x14ac:dyDescent="0.25">
      <c r="M90" s="364"/>
      <c r="N90" s="365"/>
      <c r="O90" s="448" t="s">
        <v>93</v>
      </c>
      <c r="P90" s="448"/>
      <c r="Q90" s="92">
        <v>1</v>
      </c>
      <c r="R90" s="53"/>
      <c r="U90" s="466"/>
      <c r="V90" s="99" t="str">
        <f t="shared" si="17"/>
        <v xml:space="preserve">Pó de brita Fmx (62) 3924 8565 </v>
      </c>
      <c r="W90" s="99">
        <f t="shared" si="17"/>
        <v>0</v>
      </c>
      <c r="X90" s="99">
        <f t="shared" si="18"/>
        <v>0</v>
      </c>
      <c r="Y90" s="99">
        <f t="shared" si="15"/>
        <v>0</v>
      </c>
      <c r="Z90" s="99">
        <f t="shared" si="15"/>
        <v>0</v>
      </c>
      <c r="AA90" s="99">
        <f t="shared" si="15"/>
        <v>4.99</v>
      </c>
      <c r="AB90" s="99">
        <f t="shared" si="15"/>
        <v>6</v>
      </c>
      <c r="AC90" s="100">
        <f t="shared" si="19"/>
        <v>2.5258741258741257</v>
      </c>
      <c r="AD90" s="100">
        <f t="shared" si="20"/>
        <v>0.59385382059800662</v>
      </c>
      <c r="AE90" s="100">
        <f t="shared" si="16"/>
        <v>9.1197279464721319</v>
      </c>
      <c r="AT90" s="75">
        <v>4</v>
      </c>
      <c r="AU90" s="97" t="s">
        <v>289</v>
      </c>
      <c r="AV90" s="97" t="str">
        <f t="shared" si="13"/>
        <v>4 - Lodo de esgosto</v>
      </c>
      <c r="AW90" s="75">
        <v>10</v>
      </c>
    </row>
    <row r="91" spans="13:49" ht="20.25" customHeight="1" x14ac:dyDescent="0.25">
      <c r="M91" s="364"/>
      <c r="N91" s="365"/>
      <c r="O91" s="448"/>
      <c r="P91" s="448"/>
      <c r="Q91" s="92"/>
      <c r="R91" s="53"/>
      <c r="U91" s="466"/>
      <c r="V91" s="99" t="str">
        <f t="shared" si="17"/>
        <v>Remax Mistel (61) 99414-1975</v>
      </c>
      <c r="W91" s="99">
        <f t="shared" si="17"/>
        <v>0</v>
      </c>
      <c r="X91" s="99">
        <f t="shared" si="18"/>
        <v>43.8</v>
      </c>
      <c r="Y91" s="99">
        <f t="shared" si="15"/>
        <v>4.4999999999999998E-2</v>
      </c>
      <c r="Z91" s="99">
        <f t="shared" si="15"/>
        <v>0.1</v>
      </c>
      <c r="AA91" s="99">
        <f t="shared" si="15"/>
        <v>2.1949999999999998</v>
      </c>
      <c r="AB91" s="99">
        <f t="shared" si="15"/>
        <v>2.6</v>
      </c>
      <c r="AC91" s="100">
        <f t="shared" si="19"/>
        <v>11.282237762237763</v>
      </c>
      <c r="AD91" s="100">
        <f t="shared" si="20"/>
        <v>8.8959302325581397</v>
      </c>
      <c r="AE91" s="100">
        <f t="shared" si="16"/>
        <v>22.778167994795901</v>
      </c>
      <c r="AT91" s="51">
        <v>0</v>
      </c>
      <c r="AU91" s="93" t="s">
        <v>290</v>
      </c>
      <c r="AV91" s="93" t="str">
        <f t="shared" si="13"/>
        <v>0 - Compostos orgânicos</v>
      </c>
      <c r="AW91" s="51">
        <v>6</v>
      </c>
    </row>
    <row r="92" spans="13:49" ht="20.25" customHeight="1" x14ac:dyDescent="0.25">
      <c r="M92" s="364"/>
      <c r="N92" s="365"/>
      <c r="O92" s="448"/>
      <c r="P92" s="448"/>
      <c r="Q92" s="92"/>
      <c r="R92" s="53"/>
      <c r="U92" s="466"/>
      <c r="V92" s="99">
        <f t="shared" si="17"/>
        <v>0</v>
      </c>
      <c r="W92" s="99">
        <f t="shared" si="17"/>
        <v>0</v>
      </c>
      <c r="X92" s="99">
        <f t="shared" si="18"/>
        <v>0</v>
      </c>
      <c r="Y92" s="99">
        <f t="shared" si="15"/>
        <v>0</v>
      </c>
      <c r="Z92" s="99">
        <f t="shared" si="15"/>
        <v>0</v>
      </c>
      <c r="AA92" s="99">
        <f t="shared" si="15"/>
        <v>0</v>
      </c>
      <c r="AB92" s="99">
        <f t="shared" si="15"/>
        <v>0</v>
      </c>
      <c r="AC92" s="100">
        <f t="shared" si="19"/>
        <v>0</v>
      </c>
      <c r="AD92" s="100">
        <f t="shared" si="20"/>
        <v>0</v>
      </c>
      <c r="AE92" s="100">
        <f t="shared" si="16"/>
        <v>0</v>
      </c>
      <c r="AT92" s="51">
        <v>1</v>
      </c>
      <c r="AU92" s="93" t="s">
        <v>290</v>
      </c>
      <c r="AV92" s="93" t="str">
        <f t="shared" si="13"/>
        <v>1 - Compostos orgânicos</v>
      </c>
      <c r="AW92" s="51">
        <v>2</v>
      </c>
    </row>
    <row r="93" spans="13:49" ht="20.25" customHeight="1" x14ac:dyDescent="0.25">
      <c r="M93" s="101"/>
      <c r="N93" s="25"/>
      <c r="O93" s="25"/>
      <c r="P93" s="25"/>
      <c r="Q93" s="25"/>
      <c r="R93" s="53"/>
      <c r="U93" s="466"/>
      <c r="V93" s="99">
        <f t="shared" si="17"/>
        <v>0</v>
      </c>
      <c r="W93" s="99">
        <f t="shared" si="17"/>
        <v>0</v>
      </c>
      <c r="X93" s="99">
        <f t="shared" si="18"/>
        <v>0</v>
      </c>
      <c r="Y93" s="99">
        <f t="shared" si="15"/>
        <v>0</v>
      </c>
      <c r="Z93" s="99">
        <f t="shared" si="15"/>
        <v>0</v>
      </c>
      <c r="AA93" s="99">
        <f t="shared" si="15"/>
        <v>0</v>
      </c>
      <c r="AB93" s="99">
        <f t="shared" si="15"/>
        <v>0</v>
      </c>
      <c r="AC93" s="100">
        <f t="shared" si="19"/>
        <v>0</v>
      </c>
      <c r="AD93" s="100">
        <f t="shared" si="20"/>
        <v>0</v>
      </c>
      <c r="AE93" s="100">
        <f t="shared" si="16"/>
        <v>0</v>
      </c>
      <c r="AT93" s="51">
        <v>2</v>
      </c>
      <c r="AU93" s="93" t="s">
        <v>290</v>
      </c>
      <c r="AV93" s="93" t="str">
        <f t="shared" si="13"/>
        <v>2 - Compostos orgânicos</v>
      </c>
      <c r="AW93" s="51">
        <v>4</v>
      </c>
    </row>
    <row r="94" spans="13:49" ht="20.25" customHeight="1" x14ac:dyDescent="0.25">
      <c r="M94" s="101"/>
      <c r="N94" s="25"/>
      <c r="O94" s="365" t="s">
        <v>264</v>
      </c>
      <c r="P94" s="365"/>
      <c r="Q94" s="365"/>
      <c r="R94" s="53"/>
      <c r="U94" s="466"/>
      <c r="V94" s="99">
        <f t="shared" si="17"/>
        <v>0</v>
      </c>
      <c r="W94" s="99">
        <f t="shared" si="17"/>
        <v>0</v>
      </c>
      <c r="X94" s="99">
        <f t="shared" si="18"/>
        <v>0</v>
      </c>
      <c r="Y94" s="99">
        <f t="shared" si="15"/>
        <v>0</v>
      </c>
      <c r="Z94" s="99">
        <f t="shared" si="15"/>
        <v>0</v>
      </c>
      <c r="AA94" s="99">
        <f t="shared" si="15"/>
        <v>0</v>
      </c>
      <c r="AB94" s="99">
        <f t="shared" si="15"/>
        <v>0</v>
      </c>
      <c r="AC94" s="100">
        <f t="shared" si="19"/>
        <v>0</v>
      </c>
      <c r="AD94" s="100">
        <f t="shared" si="20"/>
        <v>0</v>
      </c>
      <c r="AE94" s="100">
        <f t="shared" si="16"/>
        <v>0</v>
      </c>
      <c r="AT94" s="51">
        <v>3</v>
      </c>
      <c r="AU94" s="93" t="s">
        <v>290</v>
      </c>
      <c r="AV94" s="93" t="str">
        <f t="shared" si="13"/>
        <v>3 - Compostos orgânicos</v>
      </c>
      <c r="AW94" s="51">
        <v>6</v>
      </c>
    </row>
    <row r="95" spans="13:49" ht="20.25" customHeight="1" thickBot="1" x14ac:dyDescent="0.3">
      <c r="M95" s="69"/>
      <c r="N95" s="70"/>
      <c r="O95" s="70"/>
      <c r="P95" s="70"/>
      <c r="Q95" s="70"/>
      <c r="R95" s="71"/>
      <c r="U95" s="466"/>
      <c r="V95" s="99">
        <f t="shared" si="17"/>
        <v>0</v>
      </c>
      <c r="W95" s="99">
        <f t="shared" si="17"/>
        <v>0</v>
      </c>
      <c r="X95" s="99">
        <f t="shared" si="18"/>
        <v>0</v>
      </c>
      <c r="Y95" s="99">
        <f t="shared" si="15"/>
        <v>0</v>
      </c>
      <c r="Z95" s="99">
        <f t="shared" si="15"/>
        <v>0</v>
      </c>
      <c r="AA95" s="99">
        <f t="shared" si="15"/>
        <v>0</v>
      </c>
      <c r="AB95" s="99">
        <f t="shared" si="15"/>
        <v>0</v>
      </c>
      <c r="AC95" s="100">
        <f t="shared" si="19"/>
        <v>0</v>
      </c>
      <c r="AD95" s="100">
        <f t="shared" si="20"/>
        <v>0</v>
      </c>
      <c r="AE95" s="100">
        <f t="shared" si="16"/>
        <v>0</v>
      </c>
      <c r="AT95" s="51">
        <v>4</v>
      </c>
      <c r="AU95" s="93" t="s">
        <v>290</v>
      </c>
      <c r="AV95" s="93" t="str">
        <f t="shared" si="13"/>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$AC$30</f>
        <v>300</v>
      </c>
      <c r="P99" s="103">
        <f>$AC$31</f>
        <v>100</v>
      </c>
      <c r="Q99" s="103">
        <f>$AC$32</f>
        <v>70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7.2</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AQ59:AR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dataValidations count="5">
    <dataValidation type="list" allowBlank="1" showInputMessage="1" showErrorMessage="1" sqref="O105:Q109">
      <formula1>$V$170:$V$179</formula1>
    </dataValidation>
    <dataValidation type="list" allowBlank="1" showInputMessage="1" showErrorMessage="1" sqref="O42:Q42">
      <formula1>$AK$29:$AK$38</formula1>
    </dataValidation>
    <dataValidation type="list" allowBlank="1" showInputMessage="1" showErrorMessage="1" sqref="Q82:Q84 Q90:Q92 Q74:Q76 Q47 Q50">
      <formula1>$AI$29:$AI$40</formula1>
    </dataValidation>
    <dataValidation type="list" allowBlank="1" showInputMessage="1" showErrorMessage="1" sqref="P39:Q39">
      <formula1>$AE$31:$AE$35</formula1>
    </dataValidation>
    <dataValidation type="list" allowBlank="1" showInputMessage="1" showErrorMessage="1" sqref="O68 O176 N159 O174">
      <formula1>$AG$29:$AG$30</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corretivos'!$C$3:$C$62</xm:f>
          </x14:formula1>
          <xm:sqref>O74:P76 O82:P84 O90:P92</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corretivos'!$C$87:$C$99</xm:f>
          </x14:formula1>
          <xm:sqref>O47:P47</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E48" sqref="E48:I48"/>
    </sheetView>
  </sheetViews>
  <sheetFormatPr defaultRowHeight="19.5" customHeight="1" outlineLevelCol="1" x14ac:dyDescent="0.25"/>
  <cols>
    <col min="1" max="1" width="5.7109375" style="11" customWidth="1"/>
    <col min="2" max="2" width="37.28515625" style="11" customWidth="1"/>
    <col min="3" max="3" width="29.5703125" style="11" customWidth="1"/>
    <col min="4" max="9" width="16.7109375" style="11" customWidth="1"/>
    <col min="10" max="10" width="5.85546875" style="66" customWidth="1"/>
    <col min="11" max="12" width="0" style="11" hidden="1" customWidth="1"/>
    <col min="13" max="13" width="36.5703125" style="11" customWidth="1"/>
    <col min="14" max="14" width="13.140625" style="11" bestFit="1" customWidth="1"/>
    <col min="15" max="15" width="29.7109375" style="11" customWidth="1"/>
    <col min="16" max="16" width="18.42578125" style="11" customWidth="1"/>
    <col min="17" max="17" width="49.140625" style="11" customWidth="1"/>
    <col min="18" max="18" width="8"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7.42578125" style="11" hidden="1" customWidth="1" outlineLevel="1"/>
    <col min="25" max="25" width="22.42578125" style="11" hidden="1" customWidth="1" outlineLevel="1"/>
    <col min="26" max="26" width="22"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36.140625" style="11" hidden="1" customWidth="1" outlineLevel="1"/>
    <col min="32" max="32" width="25.5703125" style="11" hidden="1" customWidth="1" outlineLevel="1"/>
    <col min="33" max="33" width="22" style="11" hidden="1" customWidth="1" outlineLevel="1"/>
    <col min="34" max="34" width="21.5703125" style="11" hidden="1" customWidth="1" outlineLevel="1"/>
    <col min="35" max="35" width="24.7109375" style="11" hidden="1" customWidth="1" outlineLevel="1"/>
    <col min="36" max="36" width="14.28515625" style="11" hidden="1" customWidth="1" outlineLevel="1"/>
    <col min="37" max="37" width="32.42578125" style="11" hidden="1" customWidth="1" outlineLevel="1"/>
    <col min="38" max="38" width="13.1406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13.7109375" style="11" hidden="1" customWidth="1" outlineLevel="1"/>
    <col min="47" max="47" width="31.42578125" style="11" hidden="1" customWidth="1" outlineLevel="1"/>
    <col min="48" max="48" width="9.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19.5" customHeight="1" thickBot="1" x14ac:dyDescent="0.3">
      <c r="A1" s="23"/>
    </row>
    <row r="2" spans="1:54" ht="19.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19.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19.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19.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1000</v>
      </c>
      <c r="AT5" s="55">
        <f>$AC$31</f>
        <v>200</v>
      </c>
      <c r="AU5" s="55">
        <f>$AC$32</f>
        <v>560</v>
      </c>
      <c r="AV5" s="509"/>
      <c r="AW5" s="47"/>
      <c r="AX5" s="47"/>
      <c r="AY5" s="47"/>
      <c r="AZ5" s="47"/>
      <c r="BA5" s="47"/>
      <c r="BB5" s="47"/>
    </row>
    <row r="6" spans="1:54" ht="19.5" customHeight="1" x14ac:dyDescent="0.25">
      <c r="M6" s="364"/>
      <c r="N6" s="453"/>
      <c r="O6" s="51" t="s">
        <v>3</v>
      </c>
      <c r="P6" s="56">
        <v>2</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100.00000000000001</v>
      </c>
      <c r="AU6" s="55">
        <f>IFERROR((VLOOKUP(AQ6,$V$100:$AB$179,7,0)*0.01)*AV6,0)</f>
        <v>0</v>
      </c>
      <c r="AV6" s="55">
        <f>IFERROR($AT$5*Q74/(VLOOKUP(AQ6,$V$100:$AB$179,5,0)/100),0)</f>
        <v>571.42857142857144</v>
      </c>
      <c r="AW6" s="47"/>
      <c r="AX6" s="47"/>
      <c r="AY6" s="47"/>
      <c r="AZ6" s="47"/>
      <c r="BA6" s="47"/>
      <c r="BB6" s="47"/>
    </row>
    <row r="7" spans="1:54" ht="19.5" customHeight="1" x14ac:dyDescent="0.25">
      <c r="M7" s="364"/>
      <c r="N7" s="453"/>
      <c r="O7" s="51" t="s">
        <v>4</v>
      </c>
      <c r="P7" s="32">
        <v>1</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100</v>
      </c>
      <c r="AU7" s="55">
        <f>IFERROR((VLOOKUP(AQ7,$V$100:$AB$179,7,0)*0.01)*AV7,0)</f>
        <v>0</v>
      </c>
      <c r="AV7" s="55">
        <f>IFERROR($AT$5*Q75/(VLOOKUP(AQ7,$V$100:$AB$179,5,0)/100),0)</f>
        <v>555.55555555555554</v>
      </c>
      <c r="AW7" s="47"/>
      <c r="AX7" s="47"/>
      <c r="AY7" s="47"/>
      <c r="AZ7" s="47"/>
      <c r="BA7" s="47"/>
      <c r="BB7" s="47"/>
    </row>
    <row r="8" spans="1:54" ht="19.5" customHeight="1" thickBot="1" x14ac:dyDescent="0.3">
      <c r="M8" s="364"/>
      <c r="N8" s="453"/>
      <c r="O8" s="51" t="s">
        <v>5</v>
      </c>
      <c r="P8" s="56">
        <v>1</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19.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4</v>
      </c>
      <c r="AL9" s="457">
        <f>(AM9*1000)/$E$18</f>
        <v>4</v>
      </c>
      <c r="AM9" s="456">
        <v>1</v>
      </c>
      <c r="AO9" s="47"/>
      <c r="AP9" s="47"/>
      <c r="AQ9" s="47"/>
      <c r="AR9" s="47"/>
      <c r="AS9" s="59">
        <f>AS5-(SUM(AS6:AS8))</f>
        <v>1000</v>
      </c>
      <c r="AT9" s="59">
        <f>AT5-(SUM(AT6:AT8))</f>
        <v>0</v>
      </c>
      <c r="AU9" s="59">
        <f>AU5-(SUM(AU6:AU8))</f>
        <v>560</v>
      </c>
      <c r="AV9" s="59"/>
      <c r="AW9" s="47"/>
      <c r="AX9" s="47"/>
      <c r="AY9" s="47"/>
      <c r="AZ9" s="47"/>
      <c r="BA9" s="47"/>
      <c r="BB9" s="47"/>
    </row>
    <row r="10" spans="1:54" ht="19.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c r="AX10" s="47"/>
      <c r="AY10" s="47"/>
      <c r="AZ10" s="47"/>
      <c r="BA10" s="47"/>
      <c r="BB10" s="47"/>
    </row>
    <row r="11" spans="1:54" ht="19.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1000</v>
      </c>
      <c r="AT11" s="55">
        <f t="shared" ref="AT11:AU11" si="0">AT9</f>
        <v>0</v>
      </c>
      <c r="AU11" s="55">
        <f t="shared" si="0"/>
        <v>560</v>
      </c>
      <c r="AV11" s="509"/>
      <c r="AW11" s="47"/>
      <c r="AX11" s="47"/>
      <c r="AY11" s="47"/>
      <c r="AZ11" s="47"/>
      <c r="BA11" s="47"/>
      <c r="BB11" s="47"/>
    </row>
    <row r="12" spans="1:54" ht="19.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2</v>
      </c>
      <c r="AM12" s="456">
        <v>0.5</v>
      </c>
      <c r="AO12" s="47"/>
      <c r="AP12" s="54">
        <v>7</v>
      </c>
      <c r="AQ12" s="447" t="str">
        <f>O82</f>
        <v>Cloreto de potássio</v>
      </c>
      <c r="AR12" s="447"/>
      <c r="AS12" s="55">
        <f>IFERROR((VLOOKUP(AQ12,$V$100:$AB$179,3,0)*0.01)*AV12,0)</f>
        <v>0</v>
      </c>
      <c r="AT12" s="55">
        <f>IFERROR((VLOOKUP(AQ12,$V$100:$AB$179,5,0)*0.01)*AV12,0)</f>
        <v>0</v>
      </c>
      <c r="AU12" s="55">
        <f>IFERROR((VLOOKUP(AQ12,$V$100:$AB$179,7,0)*0.01)*AV12,0)</f>
        <v>280</v>
      </c>
      <c r="AV12" s="55">
        <f>IFERROR($AU$11*Q82/(VLOOKUP(AQ12,$V$100:$AB$179,7,0)/100),0)</f>
        <v>466.66666666666669</v>
      </c>
      <c r="AW12" s="47"/>
      <c r="AX12" s="47"/>
      <c r="AY12" s="47"/>
      <c r="AZ12" s="47"/>
      <c r="BA12" s="47"/>
      <c r="BB12" s="47"/>
    </row>
    <row r="13" spans="1:54" ht="19.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280</v>
      </c>
      <c r="AV13" s="55">
        <f>IFERROR($AU$11*Q83/(VLOOKUP(AQ13,$V$100:$AB$179,7,0)/100),0)</f>
        <v>3500</v>
      </c>
      <c r="AW13" s="47"/>
      <c r="AX13" s="47"/>
      <c r="AY13" s="47"/>
      <c r="AZ13" s="47"/>
      <c r="BA13" s="47"/>
      <c r="BB13" s="47"/>
    </row>
    <row r="14" spans="1:54" ht="19.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19.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4</v>
      </c>
      <c r="AM15" s="456">
        <v>1</v>
      </c>
      <c r="AO15" s="47"/>
      <c r="AP15" s="47"/>
      <c r="AQ15" s="47"/>
      <c r="AR15" s="47"/>
      <c r="AS15" s="59">
        <f>AS11-(SUM(AS12:AS14))</f>
        <v>1000</v>
      </c>
      <c r="AT15" s="59">
        <f>AT11-(SUM(AT12:AT14))</f>
        <v>0</v>
      </c>
      <c r="AU15" s="59">
        <f>AU11-(SUM(AU12:AU14))</f>
        <v>0</v>
      </c>
      <c r="AV15" s="47"/>
      <c r="AW15" s="47"/>
      <c r="AX15" s="47"/>
      <c r="AY15" s="47"/>
      <c r="AZ15" s="47"/>
      <c r="BA15" s="47"/>
      <c r="BB15" s="47"/>
    </row>
    <row r="16" spans="1:54" ht="19.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19.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1000</v>
      </c>
      <c r="AT17" s="55">
        <f t="shared" ref="AT17:AU17" si="1">AT15</f>
        <v>0</v>
      </c>
      <c r="AU17" s="55">
        <f t="shared" si="1"/>
        <v>0</v>
      </c>
      <c r="AV17" s="509"/>
      <c r="AW17" s="47"/>
      <c r="AX17" s="47"/>
      <c r="AY17" s="47"/>
      <c r="AZ17" s="47"/>
      <c r="BA17" s="47"/>
      <c r="BB17" s="47"/>
    </row>
    <row r="18" spans="2:54" ht="19.5" customHeight="1" x14ac:dyDescent="0.25">
      <c r="B18" s="457" t="s">
        <v>134</v>
      </c>
      <c r="C18" s="457"/>
      <c r="D18" s="457"/>
      <c r="E18" s="60">
        <f>IFERROR(IF(ISERR(P35),Q35,IF(ISERR(Q35),P35)),"-")</f>
        <v>250</v>
      </c>
      <c r="F18" s="457" t="s">
        <v>125</v>
      </c>
      <c r="G18" s="457"/>
      <c r="H18" s="457"/>
      <c r="I18" s="51">
        <f>O34</f>
        <v>0</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20</v>
      </c>
      <c r="AM18" s="456">
        <v>5</v>
      </c>
      <c r="AO18" s="47"/>
      <c r="AP18" s="54">
        <v>13</v>
      </c>
      <c r="AQ18" s="447" t="str">
        <f>O90</f>
        <v>Nitrato de Amônio</v>
      </c>
      <c r="AR18" s="447"/>
      <c r="AS18" s="55">
        <f>IFERROR((VLOOKUP(AQ18,$V$100:$AB$179,3,0)*0.01)*AV18,0)</f>
        <v>1000</v>
      </c>
      <c r="AT18" s="55">
        <f>IFERROR((VLOOKUP(AQ18,$V$100:$AB$179,5,0)*0.01)*AV18,0)</f>
        <v>0</v>
      </c>
      <c r="AU18" s="55">
        <f>IFERROR((VLOOKUP(AQ18,$V$100:$AB$179,7,0)*0.01)*AV18,0)</f>
        <v>0</v>
      </c>
      <c r="AV18" s="55">
        <f>IFERROR($AS$17*Q90/(VLOOKUP(AQ18,$V$100:$AB$179,3,0)/100),0)</f>
        <v>3448.2758620689656</v>
      </c>
      <c r="AW18" s="47"/>
      <c r="AX18" s="47"/>
      <c r="AY18" s="47"/>
      <c r="AZ18" s="47"/>
      <c r="BA18" s="47"/>
      <c r="BB18" s="47"/>
    </row>
    <row r="19" spans="2:54" ht="19.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19.5" customHeight="1" x14ac:dyDescent="0.25">
      <c r="B20" s="459" t="s">
        <v>183</v>
      </c>
      <c r="C20" s="512"/>
      <c r="D20" s="512"/>
      <c r="E20" s="460"/>
      <c r="F20" s="63" t="s">
        <v>126</v>
      </c>
      <c r="G20" s="63">
        <f>P24</f>
        <v>62.184873949579838</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19.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19.5" customHeight="1" x14ac:dyDescent="0.25">
      <c r="B22" s="64" t="s">
        <v>81</v>
      </c>
      <c r="C22" s="65">
        <f>P6</f>
        <v>2</v>
      </c>
      <c r="D22" s="63" t="s">
        <v>79</v>
      </c>
      <c r="E22" s="63">
        <f>P13</f>
        <v>38.299999999999997</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19.5" customHeight="1" x14ac:dyDescent="0.25">
      <c r="B23" s="64" t="s">
        <v>82</v>
      </c>
      <c r="C23" s="65">
        <f>P7</f>
        <v>1</v>
      </c>
      <c r="D23" s="63" t="s">
        <v>129</v>
      </c>
      <c r="E23" s="63">
        <f>P11</f>
        <v>2.7</v>
      </c>
      <c r="F23" s="63" t="s">
        <v>87</v>
      </c>
      <c r="G23" s="63">
        <f>P16</f>
        <v>4</v>
      </c>
      <c r="H23" s="63" t="s">
        <v>83</v>
      </c>
      <c r="I23" s="63">
        <f>P15</f>
        <v>20</v>
      </c>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19.5" customHeight="1" x14ac:dyDescent="0.25">
      <c r="B24" s="64" t="s">
        <v>80</v>
      </c>
      <c r="C24" s="65">
        <f>P8</f>
        <v>1</v>
      </c>
      <c r="D24" s="63" t="s">
        <v>130</v>
      </c>
      <c r="E24" s="63">
        <f>P10</f>
        <v>0.1</v>
      </c>
      <c r="F24" s="63" t="s">
        <v>89</v>
      </c>
      <c r="G24" s="63">
        <f>P17</f>
        <v>58.4</v>
      </c>
      <c r="H24" s="63" t="s">
        <v>131</v>
      </c>
      <c r="I24" s="63">
        <f>P25</f>
        <v>7.1400000000000006</v>
      </c>
      <c r="M24" s="364"/>
      <c r="N24" s="453"/>
      <c r="O24" s="51" t="s">
        <v>22</v>
      </c>
      <c r="P24" s="63">
        <f>100*(P6+P7+P8+P9)/P25</f>
        <v>62.184873949579838</v>
      </c>
      <c r="Q24" s="51" t="s">
        <v>23</v>
      </c>
      <c r="R24" s="53"/>
      <c r="AO24" s="47"/>
      <c r="AP24" s="47"/>
      <c r="AQ24" s="47"/>
      <c r="AR24" s="47"/>
      <c r="AS24" s="59">
        <f>AS26-(SUM(AS27:AS36))</f>
        <v>3.9977586206896554</v>
      </c>
      <c r="AT24" s="59">
        <f t="shared" ref="AT24:AV24" si="3">AT26-(SUM(AT27:AT36))</f>
        <v>-2.2413793103448275E-3</v>
      </c>
      <c r="AU24" s="59">
        <f t="shared" si="3"/>
        <v>-4.3103448275862077E-3</v>
      </c>
      <c r="AV24" s="59">
        <f t="shared" si="3"/>
        <v>-4.8275862068965523E-4</v>
      </c>
      <c r="AW24" s="47"/>
      <c r="AX24" s="47"/>
      <c r="AY24" s="47"/>
      <c r="AZ24" s="47"/>
      <c r="BA24" s="47"/>
      <c r="BB24" s="47"/>
    </row>
    <row r="25" spans="2:54" ht="19.5" customHeight="1" thickBot="1" x14ac:dyDescent="0.3">
      <c r="M25" s="364"/>
      <c r="N25" s="453"/>
      <c r="O25" s="51" t="s">
        <v>24</v>
      </c>
      <c r="P25" s="67">
        <f>(P6+P7+P8+P9+P11)</f>
        <v>7.1400000000000006</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19.5" customHeight="1" thickBot="1" x14ac:dyDescent="0.3">
      <c r="B26" s="485" t="s">
        <v>272</v>
      </c>
      <c r="C26" s="486"/>
      <c r="D26" s="486"/>
      <c r="E26" s="486"/>
      <c r="F26" s="486"/>
      <c r="G26" s="486"/>
      <c r="H26" s="486"/>
      <c r="I26" s="487"/>
      <c r="M26" s="69"/>
      <c r="N26" s="70"/>
      <c r="O26" s="70"/>
      <c r="P26" s="70"/>
      <c r="Q26" s="70"/>
      <c r="R26" s="71"/>
      <c r="U26" s="459" t="s">
        <v>312</v>
      </c>
      <c r="V26" s="512"/>
      <c r="W26" s="512"/>
      <c r="X26" s="512"/>
      <c r="Y26" s="512"/>
      <c r="Z26" s="460"/>
      <c r="AO26" s="47"/>
      <c r="AP26" s="461"/>
      <c r="AQ26" s="461"/>
      <c r="AR26" s="461"/>
      <c r="AS26" s="72">
        <f>AK9</f>
        <v>4</v>
      </c>
      <c r="AT26" s="72">
        <f>AK12</f>
        <v>0</v>
      </c>
      <c r="AU26" s="72">
        <f>AK15</f>
        <v>0</v>
      </c>
      <c r="AV26" s="72">
        <f>AK18</f>
        <v>0</v>
      </c>
      <c r="AW26" s="47"/>
      <c r="AX26" s="47"/>
      <c r="AY26" s="47"/>
      <c r="AZ26" s="47"/>
      <c r="BA26" s="47"/>
      <c r="BB26" s="47"/>
    </row>
    <row r="27" spans="2:54" ht="19.5" customHeight="1" thickBot="1" x14ac:dyDescent="0.3">
      <c r="B27" s="488" t="str">
        <f>IF($O$47&gt;0,$O$47,"-")</f>
        <v>ARAGUAIA Dolomítico</v>
      </c>
      <c r="C27" s="488"/>
      <c r="D27" s="73">
        <f>IF(J27&gt;0,J27,"-")</f>
        <v>0.31344792719919085</v>
      </c>
      <c r="E27" s="365" t="str">
        <f>IF(J27&gt;0,"toneladas por hectare ou,","-")</f>
        <v>toneladas por hectare ou,</v>
      </c>
      <c r="F27" s="365"/>
      <c r="G27" s="365"/>
      <c r="H27" s="365"/>
      <c r="I27" s="365"/>
      <c r="J27" s="74">
        <f>V51</f>
        <v>0.31344792719919085</v>
      </c>
      <c r="U27" s="51" t="s">
        <v>300</v>
      </c>
      <c r="V27" s="51" t="s">
        <v>313</v>
      </c>
      <c r="W27" s="51" t="s">
        <v>75</v>
      </c>
      <c r="X27" s="51" t="s">
        <v>71</v>
      </c>
      <c r="Y27" s="51" t="s">
        <v>314</v>
      </c>
      <c r="Z27" s="51" t="s">
        <v>315</v>
      </c>
      <c r="AO27" s="47"/>
      <c r="AP27" s="447" t="s">
        <v>261</v>
      </c>
      <c r="AQ27" s="447" t="str">
        <f>B29</f>
        <v xml:space="preserve">Pó de brita Fmx (62) 3924 8565 </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19.5" customHeight="1" x14ac:dyDescent="0.25">
      <c r="B28" s="488"/>
      <c r="C28" s="488"/>
      <c r="D28" s="73">
        <f>IF(J28&gt;0,J28,"-")</f>
        <v>3.1344792719919086E-2</v>
      </c>
      <c r="E28" s="365" t="str">
        <f>IF(J28&gt;0,"quilos por metro quadrado","-")</f>
        <v>quilos por metro quadrado</v>
      </c>
      <c r="F28" s="365"/>
      <c r="G28" s="365"/>
      <c r="H28" s="365"/>
      <c r="I28" s="365"/>
      <c r="J28" s="74">
        <f>J27/10</f>
        <v>3.1344792719919086E-2</v>
      </c>
      <c r="M28" s="48"/>
      <c r="N28" s="49"/>
      <c r="O28" s="49"/>
      <c r="P28" s="49"/>
      <c r="Q28" s="49"/>
      <c r="R28" s="50"/>
      <c r="U28" s="75" t="s">
        <v>50</v>
      </c>
      <c r="V28" s="75">
        <v>60000</v>
      </c>
      <c r="W28" s="75" t="s">
        <v>68</v>
      </c>
      <c r="X28" s="75" t="str">
        <f>CONCATENATE(U28," - ",W28)</f>
        <v>&lt; 20 - baixo</v>
      </c>
      <c r="Y28" s="75">
        <v>70000</v>
      </c>
      <c r="Z28" s="75">
        <v>70000</v>
      </c>
      <c r="AE28" s="75"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19.5" customHeight="1" x14ac:dyDescent="0.25">
      <c r="B29" s="488" t="str">
        <f>IF($O$50&gt;0,$O$50,"-")</f>
        <v xml:space="preserve">Pó de brita Fmx (62) 3924 8565 </v>
      </c>
      <c r="C29" s="488"/>
      <c r="D29" s="73">
        <f>IF(J29&gt;0,J29,"-")</f>
        <v>1.5879085781505742</v>
      </c>
      <c r="E29" s="365" t="str">
        <f>IF(J29&gt;0,"toneladas por hectare ou,","-")</f>
        <v>toneladas por hectare ou,</v>
      </c>
      <c r="F29" s="365"/>
      <c r="G29" s="365"/>
      <c r="H29" s="365"/>
      <c r="I29" s="365"/>
      <c r="J29" s="74">
        <f>Z49</f>
        <v>1.5879085781505742</v>
      </c>
      <c r="M29" s="364" t="s">
        <v>211</v>
      </c>
      <c r="N29" s="453"/>
      <c r="O29" s="489" t="s">
        <v>197</v>
      </c>
      <c r="P29" s="489"/>
      <c r="Q29" s="489"/>
      <c r="R29" s="53"/>
      <c r="U29" s="75" t="s">
        <v>50</v>
      </c>
      <c r="V29" s="75">
        <v>60000</v>
      </c>
      <c r="W29" s="75" t="s">
        <v>69</v>
      </c>
      <c r="X29" s="75" t="str">
        <f t="shared" ref="X29:X42" si="9">CONCATENATE(U29," - ",W29)</f>
        <v>&lt; 20 - medio</v>
      </c>
      <c r="Y29" s="75">
        <v>50000</v>
      </c>
      <c r="Z29" s="75">
        <v>45000</v>
      </c>
      <c r="AB29" s="458" t="s">
        <v>65</v>
      </c>
      <c r="AC29" s="458"/>
      <c r="AE29" s="75" t="s">
        <v>300</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19.5" customHeight="1" x14ac:dyDescent="0.25">
      <c r="B30" s="488"/>
      <c r="C30" s="488"/>
      <c r="D30" s="73">
        <f>IF(J30&gt;0,J30,"-")</f>
        <v>0.15879085781505742</v>
      </c>
      <c r="E30" s="365" t="str">
        <f>IF(J30&gt;0,"quilos por metro quadrado","-")</f>
        <v>quilos por metro quadrado</v>
      </c>
      <c r="F30" s="365"/>
      <c r="G30" s="365"/>
      <c r="H30" s="365"/>
      <c r="I30" s="365"/>
      <c r="J30" s="74">
        <f>J29/10</f>
        <v>0.15879085781505742</v>
      </c>
      <c r="M30" s="364"/>
      <c r="N30" s="453"/>
      <c r="O30" s="32">
        <v>8</v>
      </c>
      <c r="P30" s="77" t="s">
        <v>200</v>
      </c>
      <c r="Q30" s="32">
        <v>5</v>
      </c>
      <c r="R30" s="53"/>
      <c r="U30" s="75" t="s">
        <v>50</v>
      </c>
      <c r="V30" s="75">
        <v>60000</v>
      </c>
      <c r="W30" s="75" t="s">
        <v>70</v>
      </c>
      <c r="X30" s="75" t="str">
        <f t="shared" si="9"/>
        <v>&lt; 20 - adequado</v>
      </c>
      <c r="Y30" s="75">
        <v>10000</v>
      </c>
      <c r="Z30" s="75">
        <v>30000</v>
      </c>
      <c r="AB30" s="78" t="s">
        <v>33</v>
      </c>
      <c r="AC30" s="78">
        <f>VLOOKUP($P$39,$U$28:$V$42,2,0)/$E$18</f>
        <v>1000</v>
      </c>
      <c r="AE30" s="75"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19.5" customHeight="1" x14ac:dyDescent="0.25">
      <c r="B31" s="524" t="s">
        <v>533</v>
      </c>
      <c r="C31" s="524"/>
      <c r="D31" s="524"/>
      <c r="E31" s="524"/>
      <c r="F31" s="524"/>
      <c r="G31" s="524"/>
      <c r="H31" s="524"/>
      <c r="I31" s="524"/>
      <c r="J31" s="74"/>
      <c r="M31" s="364"/>
      <c r="N31" s="365"/>
      <c r="O31" s="105"/>
      <c r="P31" s="105"/>
      <c r="Q31" s="105"/>
      <c r="R31" s="53"/>
      <c r="U31" s="75" t="s">
        <v>322</v>
      </c>
      <c r="V31" s="75">
        <v>85000</v>
      </c>
      <c r="W31" s="75" t="s">
        <v>68</v>
      </c>
      <c r="X31" s="75" t="str">
        <f t="shared" si="9"/>
        <v>20,1 - 40 - baixo</v>
      </c>
      <c r="Y31" s="75">
        <v>100000</v>
      </c>
      <c r="Z31" s="75">
        <v>100000</v>
      </c>
      <c r="AB31" s="78" t="s">
        <v>66</v>
      </c>
      <c r="AC31" s="78">
        <f>VLOOKUP(AB36,X28:Z42,2,0)/$E$18</f>
        <v>200</v>
      </c>
      <c r="AE31" s="75" t="s">
        <v>50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19.5" customHeight="1" x14ac:dyDescent="0.25">
      <c r="B32" s="524"/>
      <c r="C32" s="524"/>
      <c r="D32" s="524"/>
      <c r="E32" s="524"/>
      <c r="F32" s="524"/>
      <c r="G32" s="524"/>
      <c r="H32" s="524"/>
      <c r="I32" s="524"/>
      <c r="J32" s="74"/>
      <c r="M32" s="364"/>
      <c r="N32" s="365"/>
      <c r="O32" s="80"/>
      <c r="P32" s="80"/>
      <c r="Q32" s="80"/>
      <c r="R32" s="53"/>
      <c r="U32" s="75" t="s">
        <v>322</v>
      </c>
      <c r="V32" s="75">
        <v>85000</v>
      </c>
      <c r="W32" s="75" t="s">
        <v>69</v>
      </c>
      <c r="X32" s="75" t="str">
        <f t="shared" si="9"/>
        <v>20,1 - 40 - medio</v>
      </c>
      <c r="Y32" s="75">
        <v>70000</v>
      </c>
      <c r="Z32" s="75">
        <v>70000</v>
      </c>
      <c r="AB32" s="78" t="s">
        <v>67</v>
      </c>
      <c r="AC32" s="78">
        <f>VLOOKUP($AB$39,X28:Z42,3,0)/$E$18</f>
        <v>560</v>
      </c>
      <c r="AE32" s="75" t="s">
        <v>322</v>
      </c>
      <c r="AI32" s="76">
        <v>0.2</v>
      </c>
      <c r="AK32" s="51" t="s">
        <v>292</v>
      </c>
      <c r="AO32" s="47"/>
      <c r="AP32" s="447"/>
      <c r="AQ32" s="447" t="str">
        <f t="shared" si="8"/>
        <v>EkoSil</v>
      </c>
      <c r="AR32" s="447"/>
      <c r="AS32" s="55">
        <f t="shared" si="4"/>
        <v>2.2413793103448275E-3</v>
      </c>
      <c r="AT32" s="55">
        <f t="shared" si="5"/>
        <v>2.2413793103448275E-3</v>
      </c>
      <c r="AU32" s="55">
        <f t="shared" si="6"/>
        <v>4.3103448275862077E-3</v>
      </c>
      <c r="AV32" s="55">
        <f t="shared" si="7"/>
        <v>4.8275862068965523E-4</v>
      </c>
      <c r="AW32" s="47"/>
      <c r="AX32" s="47"/>
      <c r="AY32" s="47"/>
      <c r="AZ32" s="47"/>
      <c r="BA32" s="47"/>
      <c r="BB32" s="47"/>
    </row>
    <row r="33" spans="2:57" ht="19.5" customHeight="1" thickBot="1" x14ac:dyDescent="0.3">
      <c r="B33" s="525"/>
      <c r="C33" s="525"/>
      <c r="D33" s="525"/>
      <c r="E33" s="525"/>
      <c r="F33" s="525"/>
      <c r="G33" s="525"/>
      <c r="H33" s="525"/>
      <c r="I33" s="525"/>
      <c r="J33" s="74"/>
      <c r="M33" s="364"/>
      <c r="N33" s="453"/>
      <c r="O33" s="489" t="s">
        <v>282</v>
      </c>
      <c r="P33" s="489"/>
      <c r="Q33" s="489"/>
      <c r="R33" s="53"/>
      <c r="U33" s="75" t="s">
        <v>322</v>
      </c>
      <c r="V33" s="75">
        <v>85000</v>
      </c>
      <c r="W33" s="75" t="s">
        <v>70</v>
      </c>
      <c r="X33" s="75" t="str">
        <f t="shared" si="9"/>
        <v>20,1 - 40 - adequado</v>
      </c>
      <c r="Y33" s="75">
        <v>20000</v>
      </c>
      <c r="Z33" s="75">
        <v>50000</v>
      </c>
      <c r="AE33" s="75" t="s">
        <v>323</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19.5" customHeight="1" thickBot="1" x14ac:dyDescent="0.3">
      <c r="B34" s="485" t="s">
        <v>184</v>
      </c>
      <c r="C34" s="486"/>
      <c r="D34" s="486"/>
      <c r="E34" s="486"/>
      <c r="F34" s="486"/>
      <c r="G34" s="486"/>
      <c r="H34" s="486"/>
      <c r="I34" s="487"/>
      <c r="J34" s="81">
        <f>IF(O68="Sim",P21*7.5,0)</f>
        <v>356.25</v>
      </c>
      <c r="M34" s="364"/>
      <c r="N34" s="453"/>
      <c r="O34" s="448"/>
      <c r="P34" s="448"/>
      <c r="Q34" s="448"/>
      <c r="R34" s="53"/>
      <c r="U34" s="75" t="s">
        <v>323</v>
      </c>
      <c r="V34" s="75">
        <v>140000</v>
      </c>
      <c r="W34" s="75" t="s">
        <v>68</v>
      </c>
      <c r="X34" s="75" t="str">
        <f t="shared" si="9"/>
        <v>40,1 - 60 - baixo</v>
      </c>
      <c r="Y34" s="75">
        <v>180000</v>
      </c>
      <c r="Z34" s="75">
        <v>170000</v>
      </c>
      <c r="AE34" s="75" t="s">
        <v>324</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19.5" customHeight="1" thickBot="1" x14ac:dyDescent="0.3">
      <c r="B35" s="488" t="str">
        <f>IF($O$55&gt;0,$O$55,"-")</f>
        <v>Gesso Agronelli</v>
      </c>
      <c r="C35" s="488"/>
      <c r="D35" s="73">
        <f>IF(J34&gt;0,J34,"-")</f>
        <v>356.25</v>
      </c>
      <c r="E35" s="365" t="str">
        <f>IF(J34&gt;0,"quilos por hectare ou,","-")</f>
        <v>quilos por hectare ou,</v>
      </c>
      <c r="F35" s="365"/>
      <c r="G35" s="365"/>
      <c r="H35" s="365"/>
      <c r="I35" s="365"/>
      <c r="J35" s="81">
        <f>J34/10</f>
        <v>35.625</v>
      </c>
      <c r="M35" s="69"/>
      <c r="N35" s="70"/>
      <c r="O35" s="70"/>
      <c r="P35" s="83">
        <f>10000/($O$30*$Q$30)</f>
        <v>250</v>
      </c>
      <c r="Q35" s="83" t="e">
        <f>10000/((($O$32/2)+($P$32/2))*$Q$32)</f>
        <v>#DIV/0!</v>
      </c>
      <c r="R35" s="71"/>
      <c r="U35" s="75" t="s">
        <v>323</v>
      </c>
      <c r="V35" s="75">
        <v>140000</v>
      </c>
      <c r="W35" s="75" t="s">
        <v>69</v>
      </c>
      <c r="X35" s="75" t="str">
        <f t="shared" si="9"/>
        <v>40,1 - 60 - medio</v>
      </c>
      <c r="Y35" s="75">
        <v>120000</v>
      </c>
      <c r="Z35" s="75">
        <v>120000</v>
      </c>
      <c r="AB35" s="457" t="s">
        <v>72</v>
      </c>
      <c r="AC35" s="457"/>
      <c r="AE35" s="75" t="s">
        <v>325</v>
      </c>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19.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t="s">
        <v>323</v>
      </c>
      <c r="V36" s="75">
        <v>140000</v>
      </c>
      <c r="W36" s="75" t="s">
        <v>70</v>
      </c>
      <c r="X36" s="75" t="str">
        <f t="shared" si="9"/>
        <v>40,1 - 60 - adequado</v>
      </c>
      <c r="Y36" s="75">
        <v>30000</v>
      </c>
      <c r="Z36" s="75">
        <v>80000</v>
      </c>
      <c r="AB36" s="457" t="str">
        <f>CONCATENATE($P$39," - ",$AD$8)</f>
        <v>&gt; 80,1 -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19.5" customHeight="1" x14ac:dyDescent="0.25">
      <c r="B37" s="523" t="s">
        <v>534</v>
      </c>
      <c r="C37" s="523"/>
      <c r="D37" s="523"/>
      <c r="E37" s="523"/>
      <c r="F37" s="523"/>
      <c r="G37" s="523"/>
      <c r="H37" s="523"/>
      <c r="I37" s="523"/>
      <c r="J37" s="81"/>
      <c r="M37" s="48"/>
      <c r="N37" s="49"/>
      <c r="O37" s="49"/>
      <c r="P37" s="49"/>
      <c r="Q37" s="49"/>
      <c r="R37" s="50"/>
      <c r="U37" s="75" t="s">
        <v>324</v>
      </c>
      <c r="V37" s="75">
        <v>200000</v>
      </c>
      <c r="W37" s="75" t="s">
        <v>68</v>
      </c>
      <c r="X37" s="75" t="str">
        <f t="shared" si="9"/>
        <v>60,1 - 80 - baixo</v>
      </c>
      <c r="Y37" s="75">
        <v>250000</v>
      </c>
      <c r="Z37" s="75">
        <v>235000</v>
      </c>
      <c r="AI37" s="76">
        <v>0.7</v>
      </c>
      <c r="AK37" s="51" t="s">
        <v>290</v>
      </c>
      <c r="AO37" s="85"/>
      <c r="AP37" s="85"/>
      <c r="AQ37" s="85"/>
      <c r="AR37" s="85"/>
      <c r="AS37" s="59">
        <f>IF(AS24&gt;0,AS24,0)</f>
        <v>3.9977586206896554</v>
      </c>
      <c r="AT37" s="59">
        <f>IF(AT24&gt;0,AT24,0)</f>
        <v>0</v>
      </c>
      <c r="AU37" s="59">
        <f>IF(AU24&gt;0,AU24,0)</f>
        <v>0</v>
      </c>
      <c r="AV37" s="59">
        <f>IF(AV24&gt;0,AV24,0)</f>
        <v>0</v>
      </c>
      <c r="AW37" s="47"/>
      <c r="AX37" s="47"/>
      <c r="AY37" s="47"/>
      <c r="AZ37" s="47"/>
      <c r="BA37" s="47"/>
      <c r="BB37" s="47"/>
    </row>
    <row r="38" spans="2:57" ht="19.5" customHeight="1" thickBot="1" x14ac:dyDescent="0.3">
      <c r="B38" s="523"/>
      <c r="C38" s="523"/>
      <c r="D38" s="523"/>
      <c r="E38" s="523"/>
      <c r="F38" s="523"/>
      <c r="G38" s="523"/>
      <c r="H38" s="523"/>
      <c r="I38" s="523"/>
      <c r="J38" s="81"/>
      <c r="M38" s="364" t="s">
        <v>212</v>
      </c>
      <c r="N38" s="365"/>
      <c r="O38" s="489" t="s">
        <v>301</v>
      </c>
      <c r="P38" s="489"/>
      <c r="Q38" s="489"/>
      <c r="R38" s="53"/>
      <c r="U38" s="75" t="s">
        <v>324</v>
      </c>
      <c r="V38" s="75">
        <v>200000</v>
      </c>
      <c r="W38" s="75" t="s">
        <v>69</v>
      </c>
      <c r="X38" s="75" t="str">
        <f t="shared" si="9"/>
        <v>60,1 - 80 - medio</v>
      </c>
      <c r="Y38" s="75">
        <v>170000</v>
      </c>
      <c r="Z38" s="75">
        <v>160000</v>
      </c>
      <c r="AB38" s="457" t="s">
        <v>73</v>
      </c>
      <c r="AC38" s="457"/>
      <c r="AI38" s="76">
        <v>0.8</v>
      </c>
      <c r="AK38" s="51"/>
      <c r="AO38" s="47"/>
      <c r="AP38" s="47"/>
      <c r="AQ38" s="47"/>
      <c r="AR38" s="47"/>
      <c r="AS38" s="47"/>
      <c r="AT38" s="47"/>
      <c r="AU38" s="47"/>
      <c r="AV38" s="47"/>
      <c r="AW38" s="47"/>
      <c r="AX38" s="47"/>
      <c r="AY38" s="47"/>
      <c r="AZ38" s="47"/>
      <c r="BA38" s="47"/>
      <c r="BB38" s="47"/>
    </row>
    <row r="39" spans="2:57" ht="19.5" customHeight="1" thickBot="1" x14ac:dyDescent="0.3">
      <c r="B39" s="355" t="s">
        <v>267</v>
      </c>
      <c r="C39" s="356"/>
      <c r="D39" s="356"/>
      <c r="E39" s="356"/>
      <c r="F39" s="356"/>
      <c r="G39" s="356"/>
      <c r="H39" s="356"/>
      <c r="I39" s="357"/>
      <c r="J39" s="81">
        <f>AV6</f>
        <v>571.42857142857144</v>
      </c>
      <c r="M39" s="364"/>
      <c r="N39" s="365"/>
      <c r="O39" s="51" t="s">
        <v>303</v>
      </c>
      <c r="P39" s="448" t="s">
        <v>325</v>
      </c>
      <c r="Q39" s="448"/>
      <c r="R39" s="53"/>
      <c r="U39" s="75" t="s">
        <v>324</v>
      </c>
      <c r="V39" s="75">
        <v>200000</v>
      </c>
      <c r="W39" s="75" t="s">
        <v>70</v>
      </c>
      <c r="X39" s="75" t="str">
        <f t="shared" si="9"/>
        <v>60,1 - 80 - adequado</v>
      </c>
      <c r="Y39" s="75">
        <v>40000</v>
      </c>
      <c r="Z39" s="75">
        <v>110000</v>
      </c>
      <c r="AB39" s="457" t="str">
        <f>CONCATENATE($P$39," - ",$AD$22)</f>
        <v>&gt; 80,1 -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19.5" customHeight="1" x14ac:dyDescent="0.25">
      <c r="B40" s="449" t="str">
        <f>IF(O42&gt;0,O42,"-")</f>
        <v>Esterco Bovino curtido</v>
      </c>
      <c r="C40" s="449"/>
      <c r="D40" s="86">
        <f>IF(AQ58&gt;0,AQ58,"-")</f>
        <v>12</v>
      </c>
      <c r="E40" s="362" t="str">
        <f>IF(AQ58&gt;0,"quilos por cova ou planta","-")</f>
        <v>quilos por cova ou planta</v>
      </c>
      <c r="F40" s="362"/>
      <c r="G40" s="362"/>
      <c r="H40" s="362"/>
      <c r="I40" s="362"/>
      <c r="J40" s="81">
        <f>AV7</f>
        <v>555.55555555555554</v>
      </c>
      <c r="M40" s="364"/>
      <c r="N40" s="365"/>
      <c r="O40" s="25"/>
      <c r="P40" s="25"/>
      <c r="Q40" s="25"/>
      <c r="R40" s="53"/>
      <c r="U40" s="75" t="s">
        <v>325</v>
      </c>
      <c r="V40" s="75">
        <v>250000</v>
      </c>
      <c r="W40" s="75" t="s">
        <v>68</v>
      </c>
      <c r="X40" s="75" t="str">
        <f t="shared" si="9"/>
        <v>&gt; 80,1 - baixo</v>
      </c>
      <c r="Y40" s="75">
        <v>320000</v>
      </c>
      <c r="Z40" s="75">
        <v>300000</v>
      </c>
      <c r="AI40" s="76">
        <v>1</v>
      </c>
      <c r="AO40" s="47"/>
      <c r="AP40" s="447" t="str">
        <f>O105</f>
        <v>Ácido Bórico</v>
      </c>
      <c r="AQ40" s="447"/>
      <c r="AR40" s="55">
        <f>IFERROR($AS$37/((VLOOKUP(AP40,$V$100:$AO$179,11,0)*0.01)),0)</f>
        <v>22.844334975369456</v>
      </c>
      <c r="AS40" s="55">
        <f>IFERROR($AT$37/((VLOOKUP(AP40,$V$100:$AO$179,14,0)*0.01)),0)</f>
        <v>0</v>
      </c>
      <c r="AT40" s="55">
        <f>IFERROR($AU$37/((VLOOKUP(AP40,$V$100:$AO$179,12,0)*0.01)),0)</f>
        <v>0</v>
      </c>
      <c r="AU40" s="55">
        <f>IFERROR($AV$37/((VLOOKUP(AP40,$V$100:$AO$179,13,0)*0.01)),0)</f>
        <v>0</v>
      </c>
      <c r="AV40" s="55">
        <f>MAX(AR40:AU40)</f>
        <v>22.844334975369456</v>
      </c>
      <c r="AW40" s="55">
        <f>IFERROR(AV40*(VLOOKUP(AP40,$V$100:$AO$179,11,0)*0.01),0)</f>
        <v>3.9977586206896554</v>
      </c>
      <c r="AX40" s="55">
        <f>IFERROR(AV40*(VLOOKUP(AP40,$V$100:$AO$179,14,0)*0.01),0)</f>
        <v>0</v>
      </c>
      <c r="AY40" s="55">
        <f>IFERROR(AV40*(VLOOKUP(AP40,$V$100:$AO$179,12,0)*0.01),0)</f>
        <v>0</v>
      </c>
      <c r="AZ40" s="55">
        <f>IFERROR(AV40*(VLOOKUP(AP40,$V$100:$AO$179,13,0)*0.01),0)</f>
        <v>0</v>
      </c>
      <c r="BA40" s="47"/>
      <c r="BB40" s="47"/>
    </row>
    <row r="41" spans="2:57" ht="19.5" customHeight="1" x14ac:dyDescent="0.25">
      <c r="B41" s="449" t="str">
        <f>IF(AQ6&gt;0,AQ6,"-")</f>
        <v>Termofosfato YOORIN</v>
      </c>
      <c r="C41" s="449"/>
      <c r="D41" s="87">
        <f>IF(J39&gt;0,J39,"-")</f>
        <v>571.42857142857144</v>
      </c>
      <c r="E41" s="365" t="str">
        <f>IF(J39&gt;0,"gramas por cova ou planta","-")</f>
        <v>gramas por cova ou planta</v>
      </c>
      <c r="F41" s="365"/>
      <c r="G41" s="365"/>
      <c r="H41" s="365"/>
      <c r="I41" s="365"/>
      <c r="J41" s="81">
        <f>AV8</f>
        <v>0</v>
      </c>
      <c r="M41" s="364"/>
      <c r="N41" s="365"/>
      <c r="O41" s="489" t="s">
        <v>308</v>
      </c>
      <c r="P41" s="489"/>
      <c r="Q41" s="489"/>
      <c r="R41" s="53"/>
      <c r="U41" s="75" t="s">
        <v>325</v>
      </c>
      <c r="V41" s="75">
        <v>250000</v>
      </c>
      <c r="W41" s="75" t="s">
        <v>69</v>
      </c>
      <c r="X41" s="75" t="str">
        <f t="shared" si="9"/>
        <v>&gt; 80,1 - medio</v>
      </c>
      <c r="Y41" s="75">
        <v>215000</v>
      </c>
      <c r="Z41" s="75">
        <v>200000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0">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19.5" customHeight="1" x14ac:dyDescent="0.25">
      <c r="B42" s="449" t="str">
        <f>IF(AQ7&gt;0,AQ7,"-")</f>
        <v>Superfosfato simples</v>
      </c>
      <c r="C42" s="449"/>
      <c r="D42" s="87">
        <f t="shared" ref="D42:D49" si="11">IF(J40&gt;0,J40,"-")</f>
        <v>555.55555555555554</v>
      </c>
      <c r="E42" s="365" t="str">
        <f t="shared" ref="E42:E49" si="12">IF(J40&gt;0,"gramas por planta","-")</f>
        <v>gramas por planta</v>
      </c>
      <c r="F42" s="365"/>
      <c r="G42" s="365"/>
      <c r="H42" s="365"/>
      <c r="I42" s="365"/>
      <c r="J42" s="81">
        <f>AV12</f>
        <v>466.66666666666669</v>
      </c>
      <c r="M42" s="364"/>
      <c r="N42" s="365"/>
      <c r="O42" s="483" t="s">
        <v>292</v>
      </c>
      <c r="P42" s="513"/>
      <c r="Q42" s="484"/>
      <c r="R42" s="53"/>
      <c r="U42" s="75" t="s">
        <v>325</v>
      </c>
      <c r="V42" s="75">
        <v>250000</v>
      </c>
      <c r="W42" s="75" t="s">
        <v>70</v>
      </c>
      <c r="X42" s="75" t="str">
        <f t="shared" si="9"/>
        <v>&gt; 80,1 - adequado</v>
      </c>
      <c r="Y42" s="75">
        <v>50000</v>
      </c>
      <c r="Z42" s="75">
        <v>140000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0"/>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19.5" customHeight="1" thickBot="1" x14ac:dyDescent="0.3">
      <c r="B43" s="449" t="str">
        <f>IF(AQ8&gt;0,AQ8,"-")</f>
        <v>-</v>
      </c>
      <c r="C43" s="449"/>
      <c r="D43" s="87" t="str">
        <f t="shared" si="11"/>
        <v>-</v>
      </c>
      <c r="E43" s="365" t="str">
        <f t="shared" si="12"/>
        <v>-</v>
      </c>
      <c r="F43" s="365"/>
      <c r="G43" s="365"/>
      <c r="H43" s="365"/>
      <c r="I43" s="365"/>
      <c r="J43" s="81">
        <f>AV13</f>
        <v>3500</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0"/>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19.5" customHeight="1" thickBot="1" x14ac:dyDescent="0.3">
      <c r="B44" s="449" t="str">
        <f>IF(AQ12&gt;0,AQ12,"-")</f>
        <v>Cloreto de potássio</v>
      </c>
      <c r="C44" s="449"/>
      <c r="D44" s="87">
        <f t="shared" si="11"/>
        <v>466.66666666666669</v>
      </c>
      <c r="E44" s="365" t="str">
        <f t="shared" si="12"/>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19.5" customHeight="1" x14ac:dyDescent="0.25">
      <c r="B45" s="449" t="str">
        <f>IF(AQ13&gt;0,AQ13,"-")</f>
        <v>EkoSil</v>
      </c>
      <c r="C45" s="449"/>
      <c r="D45" s="87">
        <f t="shared" si="11"/>
        <v>3500</v>
      </c>
      <c r="E45" s="365" t="str">
        <f t="shared" si="12"/>
        <v>gramas por planta</v>
      </c>
      <c r="F45" s="365"/>
      <c r="G45" s="365"/>
      <c r="H45" s="365"/>
      <c r="I45" s="365"/>
      <c r="J45" s="81">
        <f>AV18</f>
        <v>3448.2758620689656</v>
      </c>
      <c r="M45" s="48"/>
      <c r="N45" s="49"/>
      <c r="O45" s="500" t="s">
        <v>305</v>
      </c>
      <c r="P45" s="500"/>
      <c r="Q45" s="500"/>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19.5" customHeight="1" x14ac:dyDescent="0.25">
      <c r="B46" s="449" t="str">
        <f>IF(AQ14&gt;0,AQ14,"-")</f>
        <v>-</v>
      </c>
      <c r="C46" s="449"/>
      <c r="D46" s="87" t="str">
        <f t="shared" si="11"/>
        <v>-</v>
      </c>
      <c r="E46" s="365" t="str">
        <f t="shared" si="12"/>
        <v>-</v>
      </c>
      <c r="F46" s="365"/>
      <c r="G46" s="365"/>
      <c r="H46" s="365"/>
      <c r="I46" s="365"/>
      <c r="J46" s="81">
        <f>AV19</f>
        <v>0</v>
      </c>
      <c r="M46" s="364" t="s">
        <v>213</v>
      </c>
      <c r="N46" s="365"/>
      <c r="O46" s="503"/>
      <c r="P46" s="503"/>
      <c r="Q46" s="503"/>
      <c r="R46" s="53"/>
      <c r="U46" s="75" t="s">
        <v>109</v>
      </c>
      <c r="V46" s="89">
        <v>70</v>
      </c>
      <c r="X46" s="455" t="s">
        <v>268</v>
      </c>
      <c r="Y46" s="455"/>
      <c r="Z46" s="63">
        <f>IFERROR(VLOOKUP(O50,$V$87:$AE$95,10,0),0)</f>
        <v>9.1197279464721319</v>
      </c>
      <c r="AO46" s="47"/>
      <c r="AP46" s="47"/>
      <c r="AQ46" s="47"/>
      <c r="AR46" s="47"/>
      <c r="AS46" s="47"/>
      <c r="AT46" s="47"/>
      <c r="AU46" s="47"/>
      <c r="AV46" s="47"/>
      <c r="AW46" s="47"/>
      <c r="AX46" s="47"/>
      <c r="AY46" s="47"/>
      <c r="AZ46" s="47"/>
      <c r="BA46" s="47"/>
      <c r="BB46" s="47"/>
    </row>
    <row r="47" spans="2:57" ht="19.5" customHeight="1" x14ac:dyDescent="0.25">
      <c r="B47" s="449" t="str">
        <f>IF(AQ18&gt;0,AQ18,"-")</f>
        <v>Nitrato de Amônio</v>
      </c>
      <c r="C47" s="449"/>
      <c r="D47" s="87">
        <f t="shared" si="11"/>
        <v>3448.2758620689656</v>
      </c>
      <c r="E47" s="365" t="str">
        <f t="shared" si="12"/>
        <v>gramas por planta</v>
      </c>
      <c r="F47" s="365"/>
      <c r="G47" s="365"/>
      <c r="H47" s="365"/>
      <c r="I47" s="365"/>
      <c r="J47" s="81">
        <f>AV20</f>
        <v>0</v>
      </c>
      <c r="M47" s="364"/>
      <c r="N47" s="365"/>
      <c r="O47" s="483" t="s">
        <v>138</v>
      </c>
      <c r="P47" s="484"/>
      <c r="Q47" s="92">
        <v>0.5</v>
      </c>
      <c r="R47" s="53"/>
      <c r="U47" s="51" t="s">
        <v>111</v>
      </c>
      <c r="V47" s="63">
        <f>IFERROR((((V46-P24)*P25)/V49),0)</f>
        <v>0.62689585439838169</v>
      </c>
      <c r="X47" s="455" t="s">
        <v>203</v>
      </c>
      <c r="Y47" s="455"/>
      <c r="Z47" s="63">
        <f>IFERROR((($V$50/$Z$46)*$V$47),0)</f>
        <v>3.1758171563011484</v>
      </c>
      <c r="AO47" s="47"/>
      <c r="BA47" s="47"/>
      <c r="BB47" s="47"/>
    </row>
    <row r="48" spans="2:57" ht="19.5" customHeight="1" x14ac:dyDescent="0.25">
      <c r="B48" s="449" t="str">
        <f>IF(AQ19&gt;0,AQ19,"-")</f>
        <v>-</v>
      </c>
      <c r="C48" s="449"/>
      <c r="D48" s="87" t="str">
        <f t="shared" si="11"/>
        <v>-</v>
      </c>
      <c r="E48" s="365" t="str">
        <f t="shared" si="12"/>
        <v>-</v>
      </c>
      <c r="F48" s="365"/>
      <c r="G48" s="365"/>
      <c r="H48" s="365"/>
      <c r="I48" s="365"/>
      <c r="J48" s="91"/>
      <c r="M48" s="364"/>
      <c r="N48" s="365"/>
      <c r="O48" s="506" t="s">
        <v>306</v>
      </c>
      <c r="P48" s="506"/>
      <c r="Q48" s="506"/>
      <c r="R48" s="53"/>
      <c r="U48" s="51" t="s">
        <v>201</v>
      </c>
      <c r="V48" s="63">
        <f>IF(V47&lt;0,(0),IF(V47&gt;=0,(V47)))</f>
        <v>0.62689585439838169</v>
      </c>
      <c r="X48" s="455" t="s">
        <v>201</v>
      </c>
      <c r="Y48" s="455"/>
      <c r="Z48" s="63">
        <f>IFERROR(IF(Z47&lt;0,(0),IF(Z47&gt;=0,(Z47))),0)</f>
        <v>3.1758171563011484</v>
      </c>
    </row>
    <row r="49" spans="2:50" ht="19.5" customHeight="1" x14ac:dyDescent="0.25">
      <c r="B49" s="449" t="str">
        <f>IF(AQ20&gt;0,AQ20,"-")</f>
        <v>-</v>
      </c>
      <c r="C49" s="449"/>
      <c r="D49" s="87" t="str">
        <f t="shared" si="11"/>
        <v>-</v>
      </c>
      <c r="E49" s="365" t="str">
        <f t="shared" si="12"/>
        <v>-</v>
      </c>
      <c r="F49" s="365"/>
      <c r="G49" s="365"/>
      <c r="H49" s="365"/>
      <c r="I49" s="365"/>
      <c r="M49" s="364"/>
      <c r="N49" s="365"/>
      <c r="O49" s="503"/>
      <c r="P49" s="503"/>
      <c r="Q49" s="503"/>
      <c r="R49" s="53"/>
      <c r="U49" s="51" t="s">
        <v>110</v>
      </c>
      <c r="V49" s="63">
        <f>IFERROR(VLOOKUP($O$47,$V$56:$AA$68,5,0),0)</f>
        <v>89.01</v>
      </c>
      <c r="X49" s="455" t="s">
        <v>273</v>
      </c>
      <c r="Y49" s="455"/>
      <c r="Z49" s="63">
        <f>Z48*$Q$50</f>
        <v>1.5879085781505742</v>
      </c>
    </row>
    <row r="50" spans="2:50" ht="19.5" customHeight="1" x14ac:dyDescent="0.25">
      <c r="B50" s="476" t="s">
        <v>535</v>
      </c>
      <c r="C50" s="476"/>
      <c r="D50" s="476"/>
      <c r="E50" s="476"/>
      <c r="F50" s="476"/>
      <c r="G50" s="476"/>
      <c r="H50" s="476"/>
      <c r="I50" s="476"/>
      <c r="M50" s="364"/>
      <c r="N50" s="365"/>
      <c r="O50" s="483" t="s">
        <v>157</v>
      </c>
      <c r="P50" s="484"/>
      <c r="Q50" s="92">
        <v>0.5</v>
      </c>
      <c r="R50" s="53"/>
      <c r="U50" s="51" t="s">
        <v>193</v>
      </c>
      <c r="V50" s="63">
        <f>IFERROR(VLOOKUP($O$47,$V$56:$AA$68,6,0),0)</f>
        <v>46.2</v>
      </c>
      <c r="AT50" s="457" t="s">
        <v>280</v>
      </c>
      <c r="AU50" s="457"/>
      <c r="AV50" s="457"/>
    </row>
    <row r="51" spans="2:50" ht="19.5" customHeight="1" thickBot="1" x14ac:dyDescent="0.3">
      <c r="B51" s="476"/>
      <c r="C51" s="476"/>
      <c r="D51" s="476"/>
      <c r="E51" s="476"/>
      <c r="F51" s="476"/>
      <c r="G51" s="476"/>
      <c r="H51" s="476"/>
      <c r="I51" s="476"/>
      <c r="M51" s="69"/>
      <c r="N51" s="70"/>
      <c r="O51" s="70"/>
      <c r="P51" s="70"/>
      <c r="Q51" s="70"/>
      <c r="R51" s="71"/>
      <c r="U51" s="51" t="s">
        <v>273</v>
      </c>
      <c r="V51" s="63">
        <f>V48*$Q$47</f>
        <v>0.31344792719919085</v>
      </c>
      <c r="AT51" s="110" t="s">
        <v>291</v>
      </c>
      <c r="AU51" s="111" t="s">
        <v>286</v>
      </c>
      <c r="AV51" s="110">
        <v>15</v>
      </c>
    </row>
    <row r="52" spans="2:50" ht="19.5" customHeight="1" thickBot="1" x14ac:dyDescent="0.3">
      <c r="B52" s="476"/>
      <c r="C52" s="476"/>
      <c r="D52" s="476"/>
      <c r="E52" s="476"/>
      <c r="F52" s="476"/>
      <c r="G52" s="476"/>
      <c r="H52" s="476"/>
      <c r="I52" s="476"/>
      <c r="AT52" s="110" t="s">
        <v>291</v>
      </c>
      <c r="AU52" s="111" t="s">
        <v>293</v>
      </c>
      <c r="AV52" s="110">
        <v>4</v>
      </c>
    </row>
    <row r="53" spans="2:50" ht="19.5" customHeight="1" thickBot="1" x14ac:dyDescent="0.3">
      <c r="B53" s="477"/>
      <c r="C53" s="477"/>
      <c r="D53" s="477"/>
      <c r="E53" s="477"/>
      <c r="F53" s="477"/>
      <c r="G53" s="477"/>
      <c r="H53" s="477"/>
      <c r="I53" s="477"/>
      <c r="M53" s="48"/>
      <c r="N53" s="49"/>
      <c r="O53" s="49"/>
      <c r="P53" s="49"/>
      <c r="Q53" s="49"/>
      <c r="R53" s="50"/>
      <c r="AP53" s="108"/>
      <c r="AQ53" s="108"/>
      <c r="AS53" s="108"/>
      <c r="AT53" s="110" t="s">
        <v>291</v>
      </c>
      <c r="AU53" s="111" t="s">
        <v>158</v>
      </c>
      <c r="AV53" s="110">
        <v>6</v>
      </c>
    </row>
    <row r="54" spans="2:50" ht="19.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110" t="s">
        <v>291</v>
      </c>
      <c r="AU54" s="111" t="s">
        <v>292</v>
      </c>
      <c r="AV54" s="110">
        <v>12</v>
      </c>
    </row>
    <row r="55" spans="2:50" ht="19.5" customHeight="1" x14ac:dyDescent="0.25">
      <c r="B55" s="449" t="str">
        <f>IF(AP40&gt;0,AP40,"-")</f>
        <v>Ácido Bórico</v>
      </c>
      <c r="C55" s="449"/>
      <c r="D55" s="87">
        <f>IF(AV40&gt;0,AV40,"-")</f>
        <v>22.844334975369456</v>
      </c>
      <c r="E55" s="365" t="str">
        <f>IF(AV40&gt;0,"gramas por planta","-")</f>
        <v>gramas por planta</v>
      </c>
      <c r="F55" s="365"/>
      <c r="G55" s="365"/>
      <c r="H55" s="365"/>
      <c r="I55" s="365"/>
      <c r="M55" s="364"/>
      <c r="N55" s="365"/>
      <c r="O55" s="448" t="s">
        <v>188</v>
      </c>
      <c r="P55" s="448"/>
      <c r="Q55" s="448"/>
      <c r="R55" s="53"/>
      <c r="U55" s="344"/>
      <c r="V55" s="344"/>
      <c r="W55" s="344"/>
      <c r="X55" s="95" t="s">
        <v>105</v>
      </c>
      <c r="Y55" s="95" t="s">
        <v>106</v>
      </c>
      <c r="Z55" s="95" t="s">
        <v>107</v>
      </c>
      <c r="AA55" s="95" t="s">
        <v>195</v>
      </c>
      <c r="AP55" s="465"/>
      <c r="AQ55" s="465"/>
      <c r="AS55" s="465"/>
      <c r="AT55" s="110" t="s">
        <v>291</v>
      </c>
      <c r="AU55" s="111" t="s">
        <v>285</v>
      </c>
      <c r="AV55" s="110">
        <v>14</v>
      </c>
    </row>
    <row r="56" spans="2:50" ht="19.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110" t="s">
        <v>291</v>
      </c>
      <c r="AU56" s="111" t="s">
        <v>287</v>
      </c>
      <c r="AV56" s="110">
        <v>10</v>
      </c>
    </row>
    <row r="57" spans="2:50" ht="19.5" customHeight="1" x14ac:dyDescent="0.25">
      <c r="B57" s="449" t="str">
        <f>IF(AP42&gt;0,AP42,"-")</f>
        <v>Sulfato de zinco</v>
      </c>
      <c r="C57" s="449"/>
      <c r="D57" s="87" t="str">
        <f>IF(AV42&gt;0,AV42,"-")</f>
        <v>-</v>
      </c>
      <c r="E57" s="365" t="str">
        <f t="shared" ref="E57:E59" si="13">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302</v>
      </c>
      <c r="AR57" s="463"/>
      <c r="AS57" s="25"/>
      <c r="AT57" s="110" t="s">
        <v>291</v>
      </c>
      <c r="AU57" s="111" t="s">
        <v>288</v>
      </c>
      <c r="AV57" s="110">
        <v>14</v>
      </c>
    </row>
    <row r="58" spans="2:50" ht="19.5" customHeight="1" x14ac:dyDescent="0.25">
      <c r="B58" s="449" t="str">
        <f>IF(AP43&gt;0,AP43,"-")</f>
        <v>Sulfato de manganês</v>
      </c>
      <c r="C58" s="449"/>
      <c r="D58" s="87" t="str">
        <f>IF(AV43&gt;0,AV43,"-")</f>
        <v>-</v>
      </c>
      <c r="E58" s="365" t="str">
        <f t="shared" si="13"/>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f>IFERROR(VLOOKUP($O$42,AU51:AV59,2,0),0)</f>
        <v>12</v>
      </c>
      <c r="AR58" s="463"/>
      <c r="AS58" s="25"/>
      <c r="AT58" s="110" t="s">
        <v>291</v>
      </c>
      <c r="AU58" s="111" t="s">
        <v>289</v>
      </c>
      <c r="AV58" s="110">
        <v>15</v>
      </c>
    </row>
    <row r="59" spans="2:50" ht="19.5" customHeight="1" x14ac:dyDescent="0.25">
      <c r="B59" s="449" t="str">
        <f>IF(AP44&gt;0,AP44,"-")</f>
        <v>-</v>
      </c>
      <c r="C59" s="449"/>
      <c r="D59" s="87" t="str">
        <f>IF(AV44&gt;0,AV44,"-")</f>
        <v>-</v>
      </c>
      <c r="E59" s="365" t="str">
        <f t="shared" si="13"/>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S59" s="25"/>
      <c r="AT59" s="110" t="s">
        <v>291</v>
      </c>
      <c r="AU59" s="111" t="s">
        <v>290</v>
      </c>
      <c r="AV59" s="110">
        <v>6</v>
      </c>
    </row>
    <row r="60" spans="2:50" ht="19.5" customHeight="1" x14ac:dyDescent="0.25">
      <c r="B60" s="521" t="s">
        <v>536</v>
      </c>
      <c r="C60" s="521"/>
      <c r="D60" s="521"/>
      <c r="E60" s="521"/>
      <c r="F60" s="521"/>
      <c r="G60" s="521"/>
      <c r="H60" s="521"/>
      <c r="I60" s="521"/>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25"/>
      <c r="AU60" s="25"/>
      <c r="AV60" s="25"/>
      <c r="AW60" s="25"/>
      <c r="AX60" s="25"/>
    </row>
    <row r="61" spans="2:50" ht="19.5" customHeight="1" x14ac:dyDescent="0.25">
      <c r="B61" s="521"/>
      <c r="C61" s="521"/>
      <c r="D61" s="521"/>
      <c r="E61" s="521"/>
      <c r="F61" s="521"/>
      <c r="G61" s="521"/>
      <c r="H61" s="521"/>
      <c r="I61" s="521"/>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25"/>
      <c r="AU61" s="25"/>
      <c r="AV61" s="25"/>
      <c r="AW61" s="25"/>
      <c r="AX61" s="25"/>
    </row>
    <row r="62" spans="2:50" ht="19.5" customHeight="1" x14ac:dyDescent="0.25">
      <c r="B62" s="521"/>
      <c r="C62" s="521"/>
      <c r="D62" s="521"/>
      <c r="E62" s="521"/>
      <c r="F62" s="521"/>
      <c r="G62" s="521"/>
      <c r="H62" s="521"/>
      <c r="I62" s="521"/>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S62" s="25"/>
      <c r="AT62" s="25"/>
      <c r="AU62" s="25"/>
      <c r="AV62" s="25"/>
      <c r="AW62" s="25"/>
      <c r="AX62" s="25"/>
    </row>
    <row r="63" spans="2:50" ht="19.5" customHeight="1" thickBot="1" x14ac:dyDescent="0.3">
      <c r="B63" s="522"/>
      <c r="C63" s="522"/>
      <c r="D63" s="522"/>
      <c r="E63" s="522"/>
      <c r="F63" s="522"/>
      <c r="G63" s="522"/>
      <c r="H63" s="522"/>
      <c r="I63" s="522"/>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S63" s="25"/>
      <c r="AT63" s="25"/>
      <c r="AU63" s="25"/>
      <c r="AV63" s="25"/>
      <c r="AW63" s="25"/>
      <c r="AX63" s="25"/>
    </row>
    <row r="64" spans="2:50" ht="19.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S64" s="25"/>
      <c r="AT64" s="25"/>
      <c r="AU64" s="25"/>
      <c r="AV64" s="25"/>
      <c r="AW64" s="25"/>
      <c r="AX64" s="25"/>
    </row>
    <row r="65" spans="2:50" ht="19.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S65" s="25"/>
      <c r="AT65" s="25"/>
      <c r="AU65" s="25"/>
      <c r="AV65" s="25"/>
      <c r="AW65" s="25"/>
      <c r="AX65" s="25"/>
    </row>
    <row r="66" spans="2:50" ht="19.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S66" s="25"/>
      <c r="AT66" s="25"/>
      <c r="AU66" s="25"/>
      <c r="AV66" s="25"/>
      <c r="AW66" s="25"/>
      <c r="AX66" s="25"/>
    </row>
    <row r="67" spans="2:50" ht="19.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S67" s="25"/>
      <c r="AT67" s="25"/>
      <c r="AU67" s="25"/>
      <c r="AV67" s="25"/>
      <c r="AW67" s="25"/>
      <c r="AX67" s="25"/>
    </row>
    <row r="68" spans="2:50" ht="19.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S68" s="25"/>
      <c r="AT68" s="25"/>
      <c r="AU68" s="25"/>
      <c r="AV68" s="25"/>
      <c r="AW68" s="25"/>
      <c r="AX68" s="25"/>
    </row>
    <row r="69" spans="2:50" ht="19.5" customHeight="1" thickBot="1" x14ac:dyDescent="0.3">
      <c r="M69" s="69"/>
      <c r="N69" s="70"/>
      <c r="O69" s="70"/>
      <c r="P69" s="70"/>
      <c r="Q69" s="70"/>
      <c r="R69" s="71"/>
      <c r="AS69" s="25"/>
      <c r="AT69" s="25"/>
      <c r="AU69" s="25"/>
      <c r="AV69" s="25"/>
      <c r="AW69" s="25"/>
      <c r="AX69" s="25"/>
    </row>
    <row r="70" spans="2:50" ht="19.5" customHeight="1" thickBot="1" x14ac:dyDescent="0.3">
      <c r="AS70" s="25"/>
      <c r="AT70" s="25"/>
      <c r="AU70" s="25"/>
      <c r="AV70" s="25"/>
      <c r="AW70" s="25"/>
      <c r="AX70" s="25"/>
    </row>
    <row r="71" spans="2:50" ht="19.5" customHeight="1" x14ac:dyDescent="0.25">
      <c r="M71" s="48"/>
      <c r="N71" s="49"/>
      <c r="O71" s="49"/>
      <c r="P71" s="49"/>
      <c r="Q71" s="49"/>
      <c r="R71" s="50"/>
      <c r="U71" s="347" t="s">
        <v>136</v>
      </c>
      <c r="V71" s="347" t="s">
        <v>76</v>
      </c>
      <c r="W71" s="347" t="s">
        <v>77</v>
      </c>
      <c r="X71" s="347" t="s">
        <v>284</v>
      </c>
      <c r="Y71" s="347"/>
      <c r="Z71" s="347"/>
      <c r="AS71" s="25"/>
      <c r="AT71" s="25"/>
      <c r="AU71" s="25"/>
      <c r="AV71" s="25"/>
      <c r="AW71" s="25"/>
      <c r="AX71" s="25"/>
    </row>
    <row r="72" spans="2:50" ht="19.5" customHeight="1" x14ac:dyDescent="0.25">
      <c r="M72" s="364" t="s">
        <v>215</v>
      </c>
      <c r="N72" s="365"/>
      <c r="O72" s="450" t="s">
        <v>252</v>
      </c>
      <c r="P72" s="451"/>
      <c r="Q72" s="452"/>
      <c r="R72" s="53"/>
      <c r="U72" s="347"/>
      <c r="V72" s="347"/>
      <c r="W72" s="347"/>
      <c r="X72" s="13" t="s">
        <v>81</v>
      </c>
      <c r="Y72" s="13" t="s">
        <v>82</v>
      </c>
      <c r="Z72" s="13" t="s">
        <v>83</v>
      </c>
      <c r="AS72" s="25"/>
      <c r="AT72" s="25"/>
      <c r="AU72" s="25"/>
      <c r="AV72" s="25"/>
      <c r="AW72" s="25"/>
      <c r="AX72" s="25"/>
    </row>
    <row r="73" spans="2:50" ht="19.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S73" s="25"/>
      <c r="AT73" s="25"/>
      <c r="AU73" s="25"/>
      <c r="AV73" s="25"/>
      <c r="AW73" s="25"/>
      <c r="AX73" s="25"/>
    </row>
    <row r="74" spans="2:50" ht="19.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S74" s="25"/>
      <c r="AT74" s="25"/>
      <c r="AU74" s="25"/>
      <c r="AV74" s="25"/>
      <c r="AW74" s="25"/>
      <c r="AX74" s="25"/>
    </row>
    <row r="75" spans="2:50" ht="19.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S75" s="25"/>
      <c r="AT75" s="25"/>
      <c r="AU75" s="25"/>
      <c r="AV75" s="25"/>
      <c r="AW75" s="25"/>
      <c r="AX75" s="25"/>
    </row>
    <row r="76" spans="2:50" ht="19.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S76" s="25"/>
      <c r="AT76" s="25"/>
      <c r="AU76" s="25"/>
      <c r="AV76" s="25"/>
      <c r="AW76" s="25"/>
      <c r="AX76" s="25"/>
    </row>
    <row r="77" spans="2:50" ht="19.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S77" s="25"/>
      <c r="AT77" s="25"/>
      <c r="AU77" s="25"/>
      <c r="AV77" s="25"/>
      <c r="AW77" s="25"/>
      <c r="AX77" s="25"/>
    </row>
    <row r="78" spans="2:50" ht="19.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S78" s="25"/>
      <c r="AT78" s="25"/>
      <c r="AU78" s="25"/>
      <c r="AV78" s="25"/>
      <c r="AW78" s="25"/>
      <c r="AX78" s="25"/>
    </row>
    <row r="79" spans="2:50" ht="19.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S79" s="25"/>
      <c r="AT79" s="25"/>
      <c r="AU79" s="25"/>
      <c r="AV79" s="25"/>
      <c r="AW79" s="25"/>
      <c r="AX79" s="25"/>
    </row>
    <row r="80" spans="2:50" ht="19.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S80" s="25"/>
      <c r="AT80" s="25"/>
      <c r="AU80" s="25"/>
      <c r="AV80" s="25"/>
      <c r="AW80" s="25"/>
      <c r="AX80" s="25"/>
    </row>
    <row r="81" spans="13:50" ht="19.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S81" s="25"/>
      <c r="AT81" s="25"/>
      <c r="AU81" s="25"/>
      <c r="AV81" s="25"/>
      <c r="AW81" s="25"/>
      <c r="AX81" s="25"/>
    </row>
    <row r="82" spans="13:50" ht="19.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S82" s="25"/>
      <c r="AT82" s="25"/>
      <c r="AU82" s="25"/>
      <c r="AV82" s="25"/>
      <c r="AW82" s="25"/>
      <c r="AX82" s="25"/>
    </row>
    <row r="83" spans="13:50" ht="19.5" customHeight="1" x14ac:dyDescent="0.25">
      <c r="M83" s="364"/>
      <c r="N83" s="365"/>
      <c r="O83" s="448" t="s">
        <v>116</v>
      </c>
      <c r="P83" s="448"/>
      <c r="Q83" s="92">
        <v>0.5</v>
      </c>
      <c r="R83" s="53"/>
      <c r="AS83" s="25"/>
      <c r="AT83" s="25"/>
      <c r="AU83" s="25"/>
      <c r="AV83" s="25"/>
      <c r="AW83" s="25"/>
      <c r="AX83" s="25"/>
    </row>
    <row r="84" spans="13:50" ht="19.5" customHeight="1" x14ac:dyDescent="0.25">
      <c r="M84" s="364"/>
      <c r="N84" s="365"/>
      <c r="O84" s="448"/>
      <c r="P84" s="448"/>
      <c r="Q84" s="92"/>
      <c r="R84" s="53"/>
      <c r="AS84" s="25"/>
      <c r="AT84" s="25"/>
      <c r="AU84" s="25"/>
      <c r="AV84" s="25"/>
      <c r="AW84" s="25"/>
      <c r="AX84" s="25"/>
    </row>
    <row r="85" spans="13:50" ht="19.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S85" s="25"/>
      <c r="AT85" s="25"/>
      <c r="AU85" s="25"/>
      <c r="AV85" s="25"/>
      <c r="AW85" s="25"/>
      <c r="AX85" s="25"/>
    </row>
    <row r="86" spans="13:50" ht="19.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S86" s="25"/>
      <c r="AT86" s="25"/>
      <c r="AU86" s="25"/>
      <c r="AV86" s="25"/>
      <c r="AW86" s="25"/>
      <c r="AX86" s="25"/>
    </row>
    <row r="87" spans="13:50" ht="19.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4">Y160</f>
        <v>8.7999999999999995E-2</v>
      </c>
      <c r="Z87" s="99">
        <f t="shared" si="14"/>
        <v>0.2</v>
      </c>
      <c r="AA87" s="99">
        <f t="shared" si="14"/>
        <v>2.83</v>
      </c>
      <c r="AB87" s="99">
        <f t="shared" si="14"/>
        <v>3.4</v>
      </c>
      <c r="AC87" s="100">
        <f>AC160*0.602</f>
        <v>1.5155244755244754</v>
      </c>
      <c r="AD87" s="100">
        <f>AD160*0.715</f>
        <v>5.4634551495016606</v>
      </c>
      <c r="AE87" s="100">
        <f t="shared" ref="AE87:AE95" si="15">AB87+AC87+AD87</f>
        <v>10.378979625026137</v>
      </c>
      <c r="AS87" s="25"/>
      <c r="AT87" s="25"/>
      <c r="AU87" s="25"/>
      <c r="AV87" s="25"/>
      <c r="AW87" s="25"/>
      <c r="AX87" s="25"/>
    </row>
    <row r="88" spans="13:50" ht="19.5" customHeight="1" x14ac:dyDescent="0.25">
      <c r="M88" s="364"/>
      <c r="N88" s="365"/>
      <c r="O88" s="450" t="s">
        <v>254</v>
      </c>
      <c r="P88" s="451"/>
      <c r="Q88" s="452"/>
      <c r="R88" s="53"/>
      <c r="U88" s="466"/>
      <c r="V88" s="99" t="str">
        <f t="shared" ref="V88:W95" si="16">V161</f>
        <v>Kamafugito</v>
      </c>
      <c r="W88" s="99">
        <f t="shared" si="16"/>
        <v>0</v>
      </c>
      <c r="X88" s="99">
        <f t="shared" ref="X88:X95" si="17">AL161</f>
        <v>0</v>
      </c>
      <c r="Y88" s="99">
        <f t="shared" si="14"/>
        <v>1.5069999999999999</v>
      </c>
      <c r="Z88" s="99">
        <f t="shared" si="14"/>
        <v>3.5</v>
      </c>
      <c r="AA88" s="99">
        <f t="shared" si="14"/>
        <v>3.3250000000000002</v>
      </c>
      <c r="AB88" s="99">
        <f t="shared" si="14"/>
        <v>4</v>
      </c>
      <c r="AC88" s="100">
        <f t="shared" ref="AC88:AC95" si="18">AC161*0.602</f>
        <v>1.7217199999999999</v>
      </c>
      <c r="AD88" s="100">
        <f t="shared" ref="AD88:AD95" si="19">AD161*0.715</f>
        <v>0</v>
      </c>
      <c r="AE88" s="100">
        <f t="shared" si="15"/>
        <v>5.7217199999999995</v>
      </c>
      <c r="AS88" s="25"/>
      <c r="AT88" s="25"/>
      <c r="AU88" s="25"/>
      <c r="AV88" s="25"/>
      <c r="AW88" s="25"/>
      <c r="AX88" s="25"/>
    </row>
    <row r="89" spans="13:50" ht="19.5" customHeight="1" x14ac:dyDescent="0.25">
      <c r="M89" s="364"/>
      <c r="N89" s="365"/>
      <c r="O89" s="450" t="s">
        <v>251</v>
      </c>
      <c r="P89" s="451"/>
      <c r="Q89" s="452"/>
      <c r="R89" s="53"/>
      <c r="U89" s="466"/>
      <c r="V89" s="99" t="str">
        <f t="shared" si="16"/>
        <v>Micaxisto (61) 3233-9368</v>
      </c>
      <c r="W89" s="99">
        <f t="shared" si="16"/>
        <v>0</v>
      </c>
      <c r="X89" s="99">
        <f t="shared" si="17"/>
        <v>0</v>
      </c>
      <c r="Y89" s="99">
        <f t="shared" si="14"/>
        <v>4.4999999999999998E-2</v>
      </c>
      <c r="Z89" s="99">
        <f t="shared" si="14"/>
        <v>0.1</v>
      </c>
      <c r="AA89" s="99">
        <f t="shared" si="14"/>
        <v>4.32</v>
      </c>
      <c r="AB89" s="99">
        <f t="shared" si="14"/>
        <v>5.2</v>
      </c>
      <c r="AC89" s="100">
        <f t="shared" si="18"/>
        <v>0.75776223776223772</v>
      </c>
      <c r="AD89" s="100">
        <f t="shared" si="19"/>
        <v>0.83139534883720934</v>
      </c>
      <c r="AE89" s="100">
        <f t="shared" si="15"/>
        <v>6.7891575865994476</v>
      </c>
      <c r="AS89" s="25"/>
      <c r="AT89" s="25"/>
      <c r="AU89" s="25"/>
      <c r="AV89" s="25"/>
      <c r="AW89" s="25"/>
      <c r="AX89" s="25"/>
    </row>
    <row r="90" spans="13:50" ht="19.5" customHeight="1" x14ac:dyDescent="0.25">
      <c r="M90" s="364"/>
      <c r="N90" s="365"/>
      <c r="O90" s="448" t="s">
        <v>93</v>
      </c>
      <c r="P90" s="448"/>
      <c r="Q90" s="92">
        <v>1</v>
      </c>
      <c r="R90" s="53"/>
      <c r="U90" s="466"/>
      <c r="V90" s="99" t="str">
        <f t="shared" si="16"/>
        <v xml:space="preserve">Pó de brita Fmx (62) 3924 8565 </v>
      </c>
      <c r="W90" s="99">
        <f t="shared" si="16"/>
        <v>0</v>
      </c>
      <c r="X90" s="99">
        <f t="shared" si="17"/>
        <v>0</v>
      </c>
      <c r="Y90" s="99">
        <f t="shared" si="14"/>
        <v>0</v>
      </c>
      <c r="Z90" s="99">
        <f t="shared" si="14"/>
        <v>0</v>
      </c>
      <c r="AA90" s="99">
        <f t="shared" si="14"/>
        <v>4.99</v>
      </c>
      <c r="AB90" s="99">
        <f t="shared" si="14"/>
        <v>6</v>
      </c>
      <c r="AC90" s="100">
        <f t="shared" si="18"/>
        <v>2.5258741258741257</v>
      </c>
      <c r="AD90" s="100">
        <f t="shared" si="19"/>
        <v>0.59385382059800662</v>
      </c>
      <c r="AE90" s="100">
        <f t="shared" si="15"/>
        <v>9.1197279464721319</v>
      </c>
      <c r="AS90" s="25"/>
      <c r="AT90" s="25"/>
      <c r="AU90" s="25"/>
      <c r="AV90" s="25"/>
      <c r="AW90" s="25"/>
      <c r="AX90" s="25"/>
    </row>
    <row r="91" spans="13:50" ht="19.5" customHeight="1" x14ac:dyDescent="0.25">
      <c r="M91" s="364"/>
      <c r="N91" s="365"/>
      <c r="O91" s="448"/>
      <c r="P91" s="448"/>
      <c r="Q91" s="92"/>
      <c r="R91" s="53"/>
      <c r="U91" s="466"/>
      <c r="V91" s="99" t="str">
        <f t="shared" si="16"/>
        <v>Remax Mistel (61) 99414-1975</v>
      </c>
      <c r="W91" s="99">
        <f t="shared" si="16"/>
        <v>0</v>
      </c>
      <c r="X91" s="99">
        <f t="shared" si="17"/>
        <v>43.8</v>
      </c>
      <c r="Y91" s="99">
        <f t="shared" si="14"/>
        <v>4.4999999999999998E-2</v>
      </c>
      <c r="Z91" s="99">
        <f t="shared" si="14"/>
        <v>0.1</v>
      </c>
      <c r="AA91" s="99">
        <f t="shared" si="14"/>
        <v>2.1949999999999998</v>
      </c>
      <c r="AB91" s="99">
        <f t="shared" si="14"/>
        <v>2.6</v>
      </c>
      <c r="AC91" s="100">
        <f t="shared" si="18"/>
        <v>11.282237762237763</v>
      </c>
      <c r="AD91" s="100">
        <f t="shared" si="19"/>
        <v>8.8959302325581397</v>
      </c>
      <c r="AE91" s="100">
        <f t="shared" si="15"/>
        <v>22.778167994795901</v>
      </c>
      <c r="AS91" s="25"/>
      <c r="AT91" s="25"/>
      <c r="AU91" s="25"/>
      <c r="AV91" s="25"/>
      <c r="AW91" s="25"/>
      <c r="AX91" s="25"/>
    </row>
    <row r="92" spans="13:50" ht="19.5" customHeight="1" x14ac:dyDescent="0.25">
      <c r="M92" s="364"/>
      <c r="N92" s="365"/>
      <c r="O92" s="448"/>
      <c r="P92" s="448"/>
      <c r="Q92" s="92"/>
      <c r="R92" s="53"/>
      <c r="U92" s="466"/>
      <c r="V92" s="99">
        <f t="shared" si="16"/>
        <v>0</v>
      </c>
      <c r="W92" s="99">
        <f t="shared" si="16"/>
        <v>0</v>
      </c>
      <c r="X92" s="99">
        <f t="shared" si="17"/>
        <v>0</v>
      </c>
      <c r="Y92" s="99">
        <f t="shared" si="14"/>
        <v>0</v>
      </c>
      <c r="Z92" s="99">
        <f t="shared" si="14"/>
        <v>0</v>
      </c>
      <c r="AA92" s="99">
        <f t="shared" si="14"/>
        <v>0</v>
      </c>
      <c r="AB92" s="99">
        <f t="shared" si="14"/>
        <v>0</v>
      </c>
      <c r="AC92" s="100">
        <f t="shared" si="18"/>
        <v>0</v>
      </c>
      <c r="AD92" s="100">
        <f t="shared" si="19"/>
        <v>0</v>
      </c>
      <c r="AE92" s="100">
        <f t="shared" si="15"/>
        <v>0</v>
      </c>
      <c r="AS92" s="25"/>
      <c r="AT92" s="25"/>
      <c r="AU92" s="25"/>
      <c r="AV92" s="25"/>
      <c r="AW92" s="25"/>
      <c r="AX92" s="25"/>
    </row>
    <row r="93" spans="13:50" ht="19.5" customHeight="1" x14ac:dyDescent="0.25">
      <c r="M93" s="101"/>
      <c r="N93" s="25"/>
      <c r="O93" s="25"/>
      <c r="P93" s="25"/>
      <c r="Q93" s="25"/>
      <c r="R93" s="53"/>
      <c r="U93" s="466"/>
      <c r="V93" s="99">
        <f t="shared" si="16"/>
        <v>0</v>
      </c>
      <c r="W93" s="99">
        <f t="shared" si="16"/>
        <v>0</v>
      </c>
      <c r="X93" s="99">
        <f t="shared" si="17"/>
        <v>0</v>
      </c>
      <c r="Y93" s="99">
        <f t="shared" si="14"/>
        <v>0</v>
      </c>
      <c r="Z93" s="99">
        <f t="shared" si="14"/>
        <v>0</v>
      </c>
      <c r="AA93" s="99">
        <f t="shared" si="14"/>
        <v>0</v>
      </c>
      <c r="AB93" s="99">
        <f t="shared" si="14"/>
        <v>0</v>
      </c>
      <c r="AC93" s="100">
        <f t="shared" si="18"/>
        <v>0</v>
      </c>
      <c r="AD93" s="100">
        <f t="shared" si="19"/>
        <v>0</v>
      </c>
      <c r="AE93" s="100">
        <f t="shared" si="15"/>
        <v>0</v>
      </c>
      <c r="AS93" s="25"/>
      <c r="AT93" s="25"/>
      <c r="AU93" s="25"/>
      <c r="AV93" s="25"/>
      <c r="AW93" s="25"/>
      <c r="AX93" s="25"/>
    </row>
    <row r="94" spans="13:50" ht="19.5" customHeight="1" x14ac:dyDescent="0.25">
      <c r="M94" s="101"/>
      <c r="N94" s="25"/>
      <c r="O94" s="365" t="s">
        <v>264</v>
      </c>
      <c r="P94" s="365"/>
      <c r="Q94" s="365"/>
      <c r="R94" s="53"/>
      <c r="U94" s="466"/>
      <c r="V94" s="99">
        <f t="shared" si="16"/>
        <v>0</v>
      </c>
      <c r="W94" s="99">
        <f t="shared" si="16"/>
        <v>0</v>
      </c>
      <c r="X94" s="99">
        <f t="shared" si="17"/>
        <v>0</v>
      </c>
      <c r="Y94" s="99">
        <f t="shared" si="14"/>
        <v>0</v>
      </c>
      <c r="Z94" s="99">
        <f t="shared" si="14"/>
        <v>0</v>
      </c>
      <c r="AA94" s="99">
        <f t="shared" si="14"/>
        <v>0</v>
      </c>
      <c r="AB94" s="99">
        <f t="shared" si="14"/>
        <v>0</v>
      </c>
      <c r="AC94" s="100">
        <f t="shared" si="18"/>
        <v>0</v>
      </c>
      <c r="AD94" s="100">
        <f t="shared" si="19"/>
        <v>0</v>
      </c>
      <c r="AE94" s="100">
        <f t="shared" si="15"/>
        <v>0</v>
      </c>
      <c r="AS94" s="25"/>
      <c r="AT94" s="25"/>
      <c r="AU94" s="25"/>
      <c r="AV94" s="25"/>
      <c r="AW94" s="25"/>
      <c r="AX94" s="25"/>
    </row>
    <row r="95" spans="13:50" ht="19.5" customHeight="1" thickBot="1" x14ac:dyDescent="0.3">
      <c r="M95" s="69"/>
      <c r="N95" s="70"/>
      <c r="O95" s="70"/>
      <c r="P95" s="70"/>
      <c r="Q95" s="70"/>
      <c r="R95" s="71"/>
      <c r="U95" s="466"/>
      <c r="V95" s="99">
        <f t="shared" si="16"/>
        <v>0</v>
      </c>
      <c r="W95" s="99">
        <f t="shared" si="16"/>
        <v>0</v>
      </c>
      <c r="X95" s="99">
        <f t="shared" si="17"/>
        <v>0</v>
      </c>
      <c r="Y95" s="99">
        <f t="shared" si="14"/>
        <v>0</v>
      </c>
      <c r="Z95" s="99">
        <f t="shared" si="14"/>
        <v>0</v>
      </c>
      <c r="AA95" s="99">
        <f t="shared" si="14"/>
        <v>0</v>
      </c>
      <c r="AB95" s="99">
        <f t="shared" si="14"/>
        <v>0</v>
      </c>
      <c r="AC95" s="100">
        <f t="shared" si="18"/>
        <v>0</v>
      </c>
      <c r="AD95" s="100">
        <f t="shared" si="19"/>
        <v>0</v>
      </c>
      <c r="AE95" s="100">
        <f t="shared" si="15"/>
        <v>0</v>
      </c>
      <c r="AS95" s="25"/>
      <c r="AT95" s="25"/>
      <c r="AU95" s="25"/>
      <c r="AV95" s="25"/>
      <c r="AW95" s="25"/>
      <c r="AX95" s="25"/>
    </row>
    <row r="96" spans="13:50" ht="19.5" customHeight="1" thickBot="1" x14ac:dyDescent="0.3">
      <c r="AS96" s="25"/>
      <c r="AT96" s="25"/>
      <c r="AU96" s="25"/>
      <c r="AV96" s="25"/>
      <c r="AW96" s="25"/>
      <c r="AX96" s="25"/>
    </row>
    <row r="97" spans="1:50" ht="19.5" customHeight="1" x14ac:dyDescent="0.25">
      <c r="A97" s="26"/>
      <c r="M97" s="48"/>
      <c r="N97" s="49"/>
      <c r="O97" s="49"/>
      <c r="P97" s="49"/>
      <c r="Q97" s="49"/>
      <c r="R97" s="50"/>
      <c r="AS97" s="25"/>
      <c r="AT97" s="25"/>
      <c r="AU97" s="25"/>
      <c r="AV97" s="25"/>
      <c r="AW97" s="25"/>
      <c r="AX97" s="25"/>
    </row>
    <row r="98" spans="1:50" ht="19.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c r="AS98" s="25"/>
      <c r="AT98" s="25"/>
      <c r="AU98" s="25"/>
      <c r="AV98" s="25"/>
      <c r="AW98" s="25"/>
      <c r="AX98" s="25"/>
    </row>
    <row r="99" spans="1:50" ht="19.5" customHeight="1" x14ac:dyDescent="0.25">
      <c r="A99" s="94"/>
      <c r="M99" s="364" t="s">
        <v>262</v>
      </c>
      <c r="N99" s="453"/>
      <c r="O99" s="103">
        <f>$AC$30</f>
        <v>1000</v>
      </c>
      <c r="P99" s="103">
        <f>$AC$31</f>
        <v>200</v>
      </c>
      <c r="Q99" s="103">
        <f>$AC$32</f>
        <v>560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c r="AS99" s="25"/>
      <c r="AT99" s="25"/>
      <c r="AU99" s="25"/>
      <c r="AV99" s="25"/>
      <c r="AW99" s="25"/>
      <c r="AX99" s="25"/>
    </row>
    <row r="100" spans="1:50" ht="19.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c r="AS100" s="25"/>
      <c r="AT100" s="25"/>
      <c r="AU100" s="25"/>
      <c r="AV100" s="25"/>
      <c r="AW100" s="25"/>
      <c r="AX100" s="25"/>
    </row>
    <row r="101" spans="1:50" ht="19.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c r="AS101" s="25"/>
      <c r="AT101" s="25"/>
      <c r="AU101" s="25"/>
      <c r="AV101" s="25"/>
      <c r="AW101" s="25"/>
      <c r="AX101" s="25"/>
    </row>
    <row r="102" spans="1:50" ht="19.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c r="AS102" s="25"/>
      <c r="AT102" s="25"/>
      <c r="AU102" s="25"/>
      <c r="AV102" s="25"/>
      <c r="AW102" s="25"/>
      <c r="AX102" s="25"/>
    </row>
    <row r="103" spans="1:50" ht="19.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c r="AS103" s="25"/>
      <c r="AT103" s="25"/>
      <c r="AU103" s="25"/>
      <c r="AV103" s="25"/>
      <c r="AW103" s="25"/>
      <c r="AX103" s="25"/>
    </row>
    <row r="104" spans="1:50" ht="19.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c r="AS104" s="25"/>
      <c r="AT104" s="25"/>
      <c r="AU104" s="25"/>
      <c r="AV104" s="25"/>
      <c r="AW104" s="25"/>
      <c r="AX104" s="25"/>
    </row>
    <row r="105" spans="1:50" ht="19.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c r="AS105" s="25"/>
      <c r="AT105" s="25"/>
      <c r="AU105" s="25"/>
      <c r="AV105" s="25"/>
      <c r="AW105" s="25"/>
      <c r="AX105" s="25"/>
    </row>
    <row r="106" spans="1:50" ht="19.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50" ht="19.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50" ht="19.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50" ht="19.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50" ht="19.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50" ht="19.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50" ht="19.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19.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19.5" customHeight="1" x14ac:dyDescent="0.25">
      <c r="M114" s="101" t="s">
        <v>262</v>
      </c>
      <c r="N114" s="103">
        <f>AS26</f>
        <v>4</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19.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19.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19.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19.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19.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19.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19.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19.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19.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19.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19.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19.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19.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19.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19.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19.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19.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19.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19.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19.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19.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19.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19.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19.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19.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19.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19.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19.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19.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19.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19.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19.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19.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19.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19.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19.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19.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19.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19.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19.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19.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19.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19.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19.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19.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19.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19.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19.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19.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19.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19.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19.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19.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19.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19.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19.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19.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19.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19.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19.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19.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19.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19.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19.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19.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0">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dataValidations count="5">
    <dataValidation type="list" allowBlank="1" showInputMessage="1" showErrorMessage="1" sqref="O42:Q42">
      <formula1>$AK$29:$AK$38</formula1>
    </dataValidation>
    <dataValidation type="list" allowBlank="1" showInputMessage="1" showErrorMessage="1" sqref="Q82:Q84 Q90:Q92 Q74:Q76 Q47 Q50">
      <formula1>$AI$29:$AI$40</formula1>
    </dataValidation>
    <dataValidation type="list" allowBlank="1" showInputMessage="1" showErrorMessage="1" sqref="P39:Q39">
      <formula1>$AE$31:$AE$35</formula1>
    </dataValidation>
    <dataValidation type="list" allowBlank="1" showInputMessage="1" showErrorMessage="1" sqref="O68 O176 N159 O174">
      <formula1>$AG$29:$AG$30</formula1>
    </dataValidation>
    <dataValidation type="list" allowBlank="1" showInputMessage="1" showErrorMessage="1" sqref="O105:Q109">
      <formula1>$V$170:$V$179</formula1>
    </dataValidation>
  </dataValidations>
  <hyperlinks>
    <hyperlink ref="M4" location="Apresentação!A1" display="Voltar"/>
    <hyperlink ref="M4:N4" location="Painel!A1" display="Voltar"/>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corretivos'!$C$3:$C$62</xm:f>
          </x14:formula1>
          <xm:sqref>O74:P76 O82:P84 O90:P92</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E45" sqref="E45:I45"/>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18.7109375" style="11" customWidth="1"/>
    <col min="17" max="17" width="49.28515625" style="11" customWidth="1"/>
    <col min="18" max="18" width="8.7109375"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0.28515625" style="11" hidden="1" customWidth="1" outlineLevel="1"/>
    <col min="25" max="25" width="22.42578125" style="11" hidden="1" customWidth="1" outlineLevel="1"/>
    <col min="26" max="26" width="18.85546875"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25.42578125" style="11" hidden="1" customWidth="1" outlineLevel="1"/>
    <col min="32" max="32" width="25.5703125" style="11" hidden="1" customWidth="1" outlineLevel="1"/>
    <col min="33" max="33" width="21.42578125" style="11" hidden="1" customWidth="1" outlineLevel="1"/>
    <col min="34" max="34" width="21.5703125" style="11" hidden="1" customWidth="1" outlineLevel="1"/>
    <col min="35" max="36" width="14.28515625" style="11" hidden="1" customWidth="1" outlineLevel="1"/>
    <col min="37" max="37" width="31.42578125" style="11" hidden="1" customWidth="1" outlineLevel="1"/>
    <col min="38" max="38" width="11.425781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29.28515625" style="11" hidden="1" customWidth="1" outlineLevel="1"/>
    <col min="47" max="48" width="23.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270</v>
      </c>
      <c r="AT5" s="55">
        <f>$AC$31</f>
        <v>80</v>
      </c>
      <c r="AU5" s="55">
        <f>$AC$32</f>
        <v>50</v>
      </c>
      <c r="AV5" s="509"/>
      <c r="AW5" s="47"/>
      <c r="AX5" s="47"/>
      <c r="AY5" s="47"/>
      <c r="AZ5" s="47"/>
      <c r="BA5" s="47"/>
      <c r="BB5" s="47"/>
    </row>
    <row r="6" spans="1:54" ht="20.25" customHeight="1" x14ac:dyDescent="0.25">
      <c r="M6" s="364"/>
      <c r="N6" s="453"/>
      <c r="O6" s="51" t="s">
        <v>3</v>
      </c>
      <c r="P6" s="56">
        <v>6.6</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40.000000000000007</v>
      </c>
      <c r="AU6" s="55">
        <f>IFERROR((VLOOKUP(AQ6,$V$100:$AB$179,7,0)*0.01)*AV6,0)</f>
        <v>0</v>
      </c>
      <c r="AV6" s="55">
        <f>IFERROR($AT$5*Q74/(VLOOKUP(AQ6,$V$100:$AB$179,5,0)/100),0)</f>
        <v>228.57142857142858</v>
      </c>
      <c r="AW6" s="47"/>
      <c r="AX6" s="47"/>
      <c r="AY6" s="47"/>
      <c r="AZ6" s="47"/>
      <c r="BA6" s="47"/>
      <c r="BB6" s="47"/>
    </row>
    <row r="7" spans="1:54" ht="20.25" customHeight="1" x14ac:dyDescent="0.25">
      <c r="M7" s="364"/>
      <c r="N7" s="453"/>
      <c r="O7" s="51" t="s">
        <v>4</v>
      </c>
      <c r="P7" s="32">
        <v>2.2999999999999998</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40</v>
      </c>
      <c r="AU7" s="55">
        <f>IFERROR((VLOOKUP(AQ7,$V$100:$AB$179,7,0)*0.01)*AV7,0)</f>
        <v>0</v>
      </c>
      <c r="AV7" s="55">
        <f>IFERROR($AT$5*Q75/(VLOOKUP(AQ7,$V$100:$AB$179,5,0)/100),0)</f>
        <v>222.22222222222223</v>
      </c>
      <c r="AW7" s="47"/>
      <c r="AX7" s="47"/>
      <c r="AY7" s="47"/>
      <c r="AZ7" s="47"/>
      <c r="BA7" s="47"/>
      <c r="BB7" s="47"/>
    </row>
    <row r="8" spans="1:54" ht="20.25" customHeight="1" thickBot="1" x14ac:dyDescent="0.3">
      <c r="M8" s="364"/>
      <c r="N8" s="453"/>
      <c r="O8" s="51" t="s">
        <v>5</v>
      </c>
      <c r="P8" s="56">
        <v>1.01</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9.6</v>
      </c>
      <c r="AL9" s="457">
        <f>(AM9*1000)/$E$18</f>
        <v>9.6</v>
      </c>
      <c r="AM9" s="456">
        <v>2</v>
      </c>
      <c r="AO9" s="47"/>
      <c r="AP9" s="47"/>
      <c r="AQ9" s="47"/>
      <c r="AR9" s="47"/>
      <c r="AS9" s="59">
        <f>AS5-(SUM(AS6:AS8))</f>
        <v>270</v>
      </c>
      <c r="AT9" s="59">
        <f>AT5-(SUM(AT6:AT8))</f>
        <v>0</v>
      </c>
      <c r="AU9" s="59">
        <f>AU5-(SUM(AU6:AU8))</f>
        <v>50</v>
      </c>
      <c r="AV9" s="59"/>
      <c r="AW9" s="47"/>
      <c r="AX9" s="47"/>
      <c r="AY9" s="47"/>
      <c r="AZ9" s="47"/>
      <c r="BA9" s="47"/>
      <c r="BB9" s="47"/>
    </row>
    <row r="10" spans="1:54" ht="20.2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270</v>
      </c>
      <c r="AT11" s="55">
        <f t="shared" ref="AT11:AU11" si="0">AT9</f>
        <v>0</v>
      </c>
      <c r="AU11" s="55">
        <f t="shared" si="0"/>
        <v>50</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9.6</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25.000000000000004</v>
      </c>
      <c r="AV12" s="55">
        <f>IFERROR($AU$11*Q82/(VLOOKUP(AQ12,$V$100:$AB$179,7,0)/100),0)</f>
        <v>41.666666666666671</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25</v>
      </c>
      <c r="AV13" s="55">
        <f>IFERROR($AU$11*Q83/(VLOOKUP(AQ13,$V$100:$AB$179,7,0)/100),0)</f>
        <v>312.5</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28.799999999999997</v>
      </c>
      <c r="AM15" s="456">
        <v>6</v>
      </c>
      <c r="AO15" s="47"/>
      <c r="AP15" s="47"/>
      <c r="AQ15" s="47"/>
      <c r="AR15" s="47"/>
      <c r="AS15" s="59">
        <f>AS11-(SUM(AS12:AS14))</f>
        <v>270</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270</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208.33333333333334</v>
      </c>
      <c r="F18" s="457" t="s">
        <v>125</v>
      </c>
      <c r="G18" s="457"/>
      <c r="H18" s="457"/>
      <c r="I18" s="51">
        <f>O34</f>
        <v>1</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28.799999999999997</v>
      </c>
      <c r="AM18" s="456">
        <v>6</v>
      </c>
      <c r="AO18" s="47"/>
      <c r="AP18" s="54">
        <v>13</v>
      </c>
      <c r="AQ18" s="447" t="str">
        <f>O90</f>
        <v>Nitrato de Amônio</v>
      </c>
      <c r="AR18" s="447"/>
      <c r="AS18" s="55">
        <f>IFERROR((VLOOKUP(AQ18,$V$100:$AB$179,3,0)*0.01)*AV18,0)</f>
        <v>270</v>
      </c>
      <c r="AT18" s="55">
        <f>IFERROR((VLOOKUP(AQ18,$V$100:$AB$179,5,0)*0.01)*AV18,0)</f>
        <v>0</v>
      </c>
      <c r="AU18" s="55">
        <f>IFERROR((VLOOKUP(AQ18,$V$100:$AB$179,7,0)*0.01)*AV18,0)</f>
        <v>0</v>
      </c>
      <c r="AV18" s="55">
        <f>IFERROR($AS$17*Q90/(VLOOKUP(AQ18,$V$100:$AB$179,3,0)/100),0)</f>
        <v>931.0344827586207</v>
      </c>
      <c r="AW18" s="47"/>
      <c r="AX18" s="47"/>
      <c r="AY18" s="47"/>
      <c r="AZ18" s="47"/>
      <c r="BA18" s="47"/>
      <c r="BB18" s="47"/>
    </row>
    <row r="19" spans="2:54" ht="20.2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79.310344827586206</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6.6</v>
      </c>
      <c r="D22" s="63" t="s">
        <v>79</v>
      </c>
      <c r="E22" s="63">
        <f>P13</f>
        <v>38.299999999999997</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20.25" customHeight="1" x14ac:dyDescent="0.25">
      <c r="B23" s="64" t="s">
        <v>82</v>
      </c>
      <c r="C23" s="65">
        <f>P7</f>
        <v>2.2999999999999998</v>
      </c>
      <c r="D23" s="63" t="s">
        <v>129</v>
      </c>
      <c r="E23" s="63">
        <f>P11</f>
        <v>2.7</v>
      </c>
      <c r="F23" s="63" t="s">
        <v>87</v>
      </c>
      <c r="G23" s="63">
        <f>P16</f>
        <v>4</v>
      </c>
      <c r="H23" s="63" t="s">
        <v>83</v>
      </c>
      <c r="I23" s="63">
        <f>P15</f>
        <v>20</v>
      </c>
      <c r="J23" s="66"/>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20.25" customHeight="1" x14ac:dyDescent="0.25">
      <c r="B24" s="64" t="s">
        <v>80</v>
      </c>
      <c r="C24" s="65">
        <f>P8</f>
        <v>1.01</v>
      </c>
      <c r="D24" s="63" t="s">
        <v>130</v>
      </c>
      <c r="E24" s="63">
        <f>P10</f>
        <v>0.1</v>
      </c>
      <c r="F24" s="63" t="s">
        <v>89</v>
      </c>
      <c r="G24" s="63">
        <f>P17</f>
        <v>58.4</v>
      </c>
      <c r="H24" s="63" t="s">
        <v>131</v>
      </c>
      <c r="I24" s="63">
        <f>P25</f>
        <v>13.049999999999997</v>
      </c>
      <c r="J24" s="66"/>
      <c r="M24" s="364"/>
      <c r="N24" s="453"/>
      <c r="O24" s="51" t="s">
        <v>22</v>
      </c>
      <c r="P24" s="63">
        <f>100*(P6+P7+P8+P9)/P25</f>
        <v>79.310344827586206</v>
      </c>
      <c r="Q24" s="51" t="s">
        <v>23</v>
      </c>
      <c r="R24" s="53"/>
      <c r="AO24" s="47"/>
      <c r="AP24" s="47"/>
      <c r="AQ24" s="47"/>
      <c r="AR24" s="47"/>
      <c r="AS24" s="59">
        <f>AS26-(SUM(AS27:AS36))</f>
        <v>9.599394827586206</v>
      </c>
      <c r="AT24" s="59">
        <f t="shared" ref="AT24:AV24" si="3">AT26-(SUM(AT27:AT36))</f>
        <v>-6.0517241379310336E-4</v>
      </c>
      <c r="AU24" s="59">
        <f t="shared" si="3"/>
        <v>-1.163793103448276E-3</v>
      </c>
      <c r="AV24" s="59">
        <f t="shared" si="3"/>
        <v>-1.303448275862069E-4</v>
      </c>
      <c r="AW24" s="47"/>
      <c r="AX24" s="47"/>
      <c r="AY24" s="47"/>
      <c r="AZ24" s="47"/>
      <c r="BA24" s="47"/>
      <c r="BB24" s="47"/>
    </row>
    <row r="25" spans="2:54" ht="20.25" customHeight="1" thickBot="1" x14ac:dyDescent="0.3">
      <c r="J25" s="66"/>
      <c r="M25" s="364"/>
      <c r="N25" s="453"/>
      <c r="O25" s="51" t="s">
        <v>24</v>
      </c>
      <c r="P25" s="67">
        <f>(P6+P7+P8+P9+P11)</f>
        <v>13.049999999999997</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459" t="s">
        <v>312</v>
      </c>
      <c r="V26" s="512"/>
      <c r="W26" s="512"/>
      <c r="X26" s="512"/>
      <c r="Y26" s="512"/>
      <c r="Z26" s="460"/>
      <c r="AO26" s="47"/>
      <c r="AP26" s="461"/>
      <c r="AQ26" s="461"/>
      <c r="AR26" s="461"/>
      <c r="AS26" s="72">
        <f>AK9</f>
        <v>9.6</v>
      </c>
      <c r="AT26" s="72">
        <f>AK12</f>
        <v>0</v>
      </c>
      <c r="AU26" s="72">
        <f>AK15</f>
        <v>0</v>
      </c>
      <c r="AV26" s="72">
        <f>AK18</f>
        <v>0</v>
      </c>
      <c r="AW26" s="47"/>
      <c r="AX26" s="47"/>
      <c r="AY26" s="47"/>
      <c r="AZ26" s="47"/>
      <c r="BA26" s="47"/>
      <c r="BB26" s="47"/>
    </row>
    <row r="27" spans="2:54" ht="20.25" customHeight="1" thickBot="1" x14ac:dyDescent="0.3">
      <c r="B27" s="488" t="str">
        <f>IF($O$47&gt;0,$O$47,"-")</f>
        <v>BRICCAL Calcítico</v>
      </c>
      <c r="C27" s="488"/>
      <c r="D27" s="73" t="str">
        <f>IF(J27&gt;0,J27,"-")</f>
        <v>-</v>
      </c>
      <c r="E27" s="365" t="str">
        <f>IF(J27&gt;0,"toneladas por hectare ou,","-")</f>
        <v>-</v>
      </c>
      <c r="F27" s="365"/>
      <c r="G27" s="365"/>
      <c r="H27" s="365"/>
      <c r="I27" s="365"/>
      <c r="J27" s="74">
        <f>V51</f>
        <v>0</v>
      </c>
      <c r="U27" s="51" t="s">
        <v>32</v>
      </c>
      <c r="V27" s="51" t="s">
        <v>64</v>
      </c>
      <c r="W27" s="51" t="s">
        <v>75</v>
      </c>
      <c r="X27" s="51" t="s">
        <v>71</v>
      </c>
      <c r="Y27" s="51" t="s">
        <v>36</v>
      </c>
      <c r="Z27" s="51" t="s">
        <v>35</v>
      </c>
      <c r="AO27" s="47"/>
      <c r="AP27" s="447" t="s">
        <v>261</v>
      </c>
      <c r="AQ27" s="447" t="str">
        <f>B29</f>
        <v>Remax Mistel (61) 99414-1975</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20.25" customHeight="1" x14ac:dyDescent="0.25">
      <c r="B28" s="488"/>
      <c r="C28" s="488"/>
      <c r="D28" s="73" t="str">
        <f>IF(J28&gt;0,J28,"-")</f>
        <v>-</v>
      </c>
      <c r="E28" s="365" t="str">
        <f>IF(J28&gt;0,"quilos por metro quadrado","-")</f>
        <v>-</v>
      </c>
      <c r="F28" s="365"/>
      <c r="G28" s="365"/>
      <c r="H28" s="365"/>
      <c r="I28" s="365"/>
      <c r="J28" s="74">
        <f>J27/10</f>
        <v>0</v>
      </c>
      <c r="M28" s="48"/>
      <c r="N28" s="49"/>
      <c r="O28" s="49"/>
      <c r="P28" s="49"/>
      <c r="Q28" s="49"/>
      <c r="R28" s="50"/>
      <c r="U28" s="75">
        <v>0</v>
      </c>
      <c r="V28" s="75">
        <v>50</v>
      </c>
      <c r="W28" s="75" t="s">
        <v>68</v>
      </c>
      <c r="X28" s="75" t="str">
        <f>CONCATENATE(U28," - ",W28)</f>
        <v>0 - baixo</v>
      </c>
      <c r="Y28" s="75">
        <v>10</v>
      </c>
      <c r="Z28" s="75">
        <v>10</v>
      </c>
      <c r="AE28" s="51"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20.25" customHeight="1" x14ac:dyDescent="0.25">
      <c r="B29" s="488" t="str">
        <f>IF($O$50&gt;0,$O$50,"-")</f>
        <v>Remax Mistel (61) 99414-1975</v>
      </c>
      <c r="C29" s="488"/>
      <c r="D29" s="73" t="str">
        <f>IF(J29&gt;0,J29,"-")</f>
        <v>-</v>
      </c>
      <c r="E29" s="365" t="str">
        <f>IF(J29&gt;0,"toneladas por hectare ou,","-")</f>
        <v>-</v>
      </c>
      <c r="F29" s="365"/>
      <c r="G29" s="365"/>
      <c r="H29" s="365"/>
      <c r="I29" s="365"/>
      <c r="J29" s="74">
        <f>Z49</f>
        <v>0</v>
      </c>
      <c r="M29" s="364" t="s">
        <v>211</v>
      </c>
      <c r="N29" s="453"/>
      <c r="O29" s="489" t="s">
        <v>197</v>
      </c>
      <c r="P29" s="489"/>
      <c r="Q29" s="489"/>
      <c r="R29" s="53"/>
      <c r="U29" s="75">
        <v>0</v>
      </c>
      <c r="V29" s="75">
        <v>50</v>
      </c>
      <c r="W29" s="75" t="s">
        <v>69</v>
      </c>
      <c r="X29" s="75" t="str">
        <f t="shared" ref="X29:X42" si="9">CONCATENATE(U29," - ",W29)</f>
        <v>0 - medio</v>
      </c>
      <c r="Y29" s="75">
        <v>10</v>
      </c>
      <c r="Z29" s="75">
        <v>10</v>
      </c>
      <c r="AB29" s="458" t="s">
        <v>65</v>
      </c>
      <c r="AC29" s="458"/>
      <c r="AE29" s="51" t="s">
        <v>32</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20.25" customHeight="1" x14ac:dyDescent="0.25">
      <c r="B30" s="488"/>
      <c r="C30" s="488"/>
      <c r="D30" s="73" t="str">
        <f>IF(J30&gt;0,J30,"-")</f>
        <v>-</v>
      </c>
      <c r="E30" s="365" t="str">
        <f>IF(J30&gt;0,"quilos por metro quadrado","-")</f>
        <v>-</v>
      </c>
      <c r="F30" s="365"/>
      <c r="G30" s="365"/>
      <c r="H30" s="365"/>
      <c r="I30" s="365"/>
      <c r="J30" s="74">
        <f>J29/10</f>
        <v>0</v>
      </c>
      <c r="M30" s="364"/>
      <c r="N30" s="453"/>
      <c r="O30" s="32">
        <v>8</v>
      </c>
      <c r="P30" s="77" t="s">
        <v>200</v>
      </c>
      <c r="Q30" s="32">
        <v>6</v>
      </c>
      <c r="R30" s="53"/>
      <c r="U30" s="75">
        <v>0</v>
      </c>
      <c r="V30" s="75">
        <v>50</v>
      </c>
      <c r="W30" s="75" t="s">
        <v>70</v>
      </c>
      <c r="X30" s="75" t="str">
        <f t="shared" si="9"/>
        <v>0 - adequado</v>
      </c>
      <c r="Y30" s="75">
        <v>10</v>
      </c>
      <c r="Z30" s="75">
        <v>10</v>
      </c>
      <c r="AB30" s="78" t="s">
        <v>33</v>
      </c>
      <c r="AC30" s="78">
        <f>VLOOKUP($P$39,$U$28:$V$42,2,0)</f>
        <v>270</v>
      </c>
      <c r="AE30" s="51"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20.25" customHeight="1" x14ac:dyDescent="0.25">
      <c r="B31" s="514" t="s">
        <v>533</v>
      </c>
      <c r="C31" s="514"/>
      <c r="D31" s="514"/>
      <c r="E31" s="514"/>
      <c r="F31" s="514"/>
      <c r="G31" s="514"/>
      <c r="H31" s="514"/>
      <c r="I31" s="514"/>
      <c r="J31" s="74"/>
      <c r="M31" s="364"/>
      <c r="N31" s="365"/>
      <c r="O31" s="105"/>
      <c r="P31" s="105"/>
      <c r="Q31" s="105"/>
      <c r="R31" s="53"/>
      <c r="U31" s="75">
        <v>1</v>
      </c>
      <c r="V31" s="75">
        <v>40</v>
      </c>
      <c r="W31" s="75" t="s">
        <v>68</v>
      </c>
      <c r="X31" s="75" t="str">
        <f t="shared" si="9"/>
        <v>1 - baixo</v>
      </c>
      <c r="Y31" s="75">
        <v>100</v>
      </c>
      <c r="Z31" s="75">
        <v>60</v>
      </c>
      <c r="AB31" s="78" t="s">
        <v>66</v>
      </c>
      <c r="AC31" s="78">
        <f>VLOOKUP(AB36,X28:Z42,2,0)</f>
        <v>80</v>
      </c>
      <c r="AE31" s="51">
        <v>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20.25" customHeight="1" x14ac:dyDescent="0.25">
      <c r="B32" s="514"/>
      <c r="C32" s="514"/>
      <c r="D32" s="514"/>
      <c r="E32" s="514"/>
      <c r="F32" s="514"/>
      <c r="G32" s="514"/>
      <c r="H32" s="514"/>
      <c r="I32" s="514"/>
      <c r="J32" s="74"/>
      <c r="M32" s="364"/>
      <c r="N32" s="365"/>
      <c r="O32" s="80"/>
      <c r="P32" s="80"/>
      <c r="Q32" s="80"/>
      <c r="R32" s="53"/>
      <c r="U32" s="75">
        <v>1</v>
      </c>
      <c r="V32" s="75">
        <v>40</v>
      </c>
      <c r="W32" s="75" t="s">
        <v>69</v>
      </c>
      <c r="X32" s="75" t="str">
        <f t="shared" si="9"/>
        <v>1 - medio</v>
      </c>
      <c r="Y32" s="75">
        <v>60</v>
      </c>
      <c r="Z32" s="75">
        <v>40</v>
      </c>
      <c r="AB32" s="78" t="s">
        <v>67</v>
      </c>
      <c r="AC32" s="78">
        <f>VLOOKUP($AB$39,X28:Z42,3,0)</f>
        <v>50</v>
      </c>
      <c r="AE32" s="51">
        <v>1</v>
      </c>
      <c r="AI32" s="76">
        <v>0.2</v>
      </c>
      <c r="AK32" s="51" t="s">
        <v>292</v>
      </c>
      <c r="AO32" s="47"/>
      <c r="AP32" s="447"/>
      <c r="AQ32" s="447" t="str">
        <f t="shared" si="8"/>
        <v>EkoSil</v>
      </c>
      <c r="AR32" s="447"/>
      <c r="AS32" s="55">
        <f t="shared" si="4"/>
        <v>6.0517241379310336E-4</v>
      </c>
      <c r="AT32" s="55">
        <f t="shared" si="5"/>
        <v>6.0517241379310336E-4</v>
      </c>
      <c r="AU32" s="55">
        <f t="shared" si="6"/>
        <v>1.163793103448276E-3</v>
      </c>
      <c r="AV32" s="55">
        <f t="shared" si="7"/>
        <v>1.303448275862069E-4</v>
      </c>
      <c r="AW32" s="47"/>
      <c r="AX32" s="47"/>
      <c r="AY32" s="47"/>
      <c r="AZ32" s="47"/>
      <c r="BA32" s="47"/>
      <c r="BB32" s="47"/>
    </row>
    <row r="33" spans="2:57" ht="20.25" customHeight="1" thickBot="1" x14ac:dyDescent="0.3">
      <c r="B33" s="515"/>
      <c r="C33" s="515"/>
      <c r="D33" s="515"/>
      <c r="E33" s="515"/>
      <c r="F33" s="515"/>
      <c r="G33" s="515"/>
      <c r="H33" s="515"/>
      <c r="I33" s="515"/>
      <c r="J33" s="74"/>
      <c r="M33" s="364"/>
      <c r="N33" s="453"/>
      <c r="O33" s="489" t="s">
        <v>282</v>
      </c>
      <c r="P33" s="489"/>
      <c r="Q33" s="489"/>
      <c r="R33" s="53"/>
      <c r="U33" s="75">
        <v>1</v>
      </c>
      <c r="V33" s="75">
        <v>40</v>
      </c>
      <c r="W33" s="75" t="s">
        <v>70</v>
      </c>
      <c r="X33" s="75" t="str">
        <f t="shared" si="9"/>
        <v>1 - adequado</v>
      </c>
      <c r="Y33" s="75">
        <v>30</v>
      </c>
      <c r="Z33" s="75">
        <v>20</v>
      </c>
      <c r="AE33" s="51">
        <v>2</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364"/>
      <c r="N34" s="453"/>
      <c r="O34" s="448">
        <v>1</v>
      </c>
      <c r="P34" s="448"/>
      <c r="Q34" s="448"/>
      <c r="R34" s="53"/>
      <c r="U34" s="75">
        <v>2</v>
      </c>
      <c r="V34" s="75">
        <v>100</v>
      </c>
      <c r="W34" s="75" t="s">
        <v>68</v>
      </c>
      <c r="X34" s="75" t="str">
        <f t="shared" si="9"/>
        <v>2 - baixo</v>
      </c>
      <c r="Y34" s="75">
        <v>140</v>
      </c>
      <c r="Z34" s="75">
        <v>100</v>
      </c>
      <c r="AE34" s="51">
        <v>3</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20.25" customHeight="1" thickBot="1" x14ac:dyDescent="0.3">
      <c r="B35" s="488" t="str">
        <f>IF($O$55&gt;0,$O$55,"-")</f>
        <v>Nutrigesso Nutrion</v>
      </c>
      <c r="C35" s="488"/>
      <c r="D35" s="73">
        <f>IF(J34&gt;0,J34,"-")</f>
        <v>356.25</v>
      </c>
      <c r="E35" s="365" t="str">
        <f>IF(J34&gt;0,"quilos por hectare ou,","-")</f>
        <v>quilos por hectare ou,</v>
      </c>
      <c r="F35" s="365"/>
      <c r="G35" s="365"/>
      <c r="H35" s="365"/>
      <c r="I35" s="365"/>
      <c r="J35" s="81">
        <f>J34/10</f>
        <v>35.625</v>
      </c>
      <c r="M35" s="69"/>
      <c r="N35" s="70"/>
      <c r="O35" s="70"/>
      <c r="P35" s="83">
        <f>10000/($O$30*$Q$30)</f>
        <v>208.33333333333334</v>
      </c>
      <c r="Q35" s="83" t="e">
        <f>10000/((($O$32/2)+($P$32/2))*$Q$32)</f>
        <v>#DIV/0!</v>
      </c>
      <c r="R35" s="71"/>
      <c r="U35" s="75">
        <v>2</v>
      </c>
      <c r="V35" s="75">
        <v>100</v>
      </c>
      <c r="W35" s="75" t="s">
        <v>69</v>
      </c>
      <c r="X35" s="75" t="str">
        <f t="shared" si="9"/>
        <v>2 - medio</v>
      </c>
      <c r="Y35" s="75">
        <v>100</v>
      </c>
      <c r="Z35" s="75">
        <v>60</v>
      </c>
      <c r="AB35" s="457" t="s">
        <v>72</v>
      </c>
      <c r="AC35" s="457"/>
      <c r="AE35" s="51">
        <v>4</v>
      </c>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v>2</v>
      </c>
      <c r="V36" s="75">
        <v>100</v>
      </c>
      <c r="W36" s="75" t="s">
        <v>70</v>
      </c>
      <c r="X36" s="75" t="str">
        <f t="shared" si="9"/>
        <v>2 - adequado</v>
      </c>
      <c r="Y36" s="75">
        <v>50</v>
      </c>
      <c r="Z36" s="75">
        <v>30</v>
      </c>
      <c r="AB36" s="457" t="str">
        <f>CONCATENATE($P$39," - ",$AD$8)</f>
        <v>4 -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U37" s="75">
        <v>3</v>
      </c>
      <c r="V37" s="75">
        <v>190</v>
      </c>
      <c r="W37" s="75" t="s">
        <v>68</v>
      </c>
      <c r="X37" s="75" t="str">
        <f t="shared" si="9"/>
        <v>3 - baixo</v>
      </c>
      <c r="Y37" s="75">
        <v>200</v>
      </c>
      <c r="Z37" s="75">
        <v>140</v>
      </c>
      <c r="AI37" s="76">
        <v>0.7</v>
      </c>
      <c r="AK37" s="51" t="s">
        <v>290</v>
      </c>
      <c r="AO37" s="85"/>
      <c r="AP37" s="85"/>
      <c r="AQ37" s="85"/>
      <c r="AR37" s="85"/>
      <c r="AS37" s="59">
        <f>IF(AS24&gt;0,AS24,0)</f>
        <v>9.599394827586206</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198</v>
      </c>
      <c r="P38" s="489"/>
      <c r="Q38" s="489"/>
      <c r="R38" s="53"/>
      <c r="U38" s="75">
        <v>3</v>
      </c>
      <c r="V38" s="75">
        <v>190</v>
      </c>
      <c r="W38" s="75" t="s">
        <v>69</v>
      </c>
      <c r="X38" s="75" t="str">
        <f t="shared" si="9"/>
        <v>3 - medio</v>
      </c>
      <c r="Y38" s="75">
        <v>140</v>
      </c>
      <c r="Z38" s="75">
        <v>90</v>
      </c>
      <c r="AB38" s="457" t="s">
        <v>73</v>
      </c>
      <c r="AC38" s="457"/>
      <c r="AI38" s="76">
        <v>0.8</v>
      </c>
      <c r="AK38" s="51"/>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228.57142857142858</v>
      </c>
      <c r="M39" s="364"/>
      <c r="N39" s="365"/>
      <c r="O39" s="51" t="s">
        <v>182</v>
      </c>
      <c r="P39" s="448">
        <v>4</v>
      </c>
      <c r="Q39" s="448"/>
      <c r="R39" s="53"/>
      <c r="U39" s="75">
        <v>3</v>
      </c>
      <c r="V39" s="75">
        <v>190</v>
      </c>
      <c r="W39" s="75" t="s">
        <v>70</v>
      </c>
      <c r="X39" s="75" t="str">
        <f t="shared" si="9"/>
        <v>3 - adequado</v>
      </c>
      <c r="Y39" s="75">
        <v>70</v>
      </c>
      <c r="Z39" s="75">
        <v>45</v>
      </c>
      <c r="AB39" s="457" t="str">
        <f>CONCATENATE($P$39," - ",$AD$22)</f>
        <v>4 -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f>IF(AQ59&gt;0,AQ59,"-")</f>
        <v>5</v>
      </c>
      <c r="E40" s="362" t="str">
        <f>IF(AQ59&gt;0,"quilos por cova ou planta","-")</f>
        <v>quilos por cova ou planta</v>
      </c>
      <c r="F40" s="362"/>
      <c r="G40" s="362"/>
      <c r="H40" s="362"/>
      <c r="I40" s="362"/>
      <c r="J40" s="81">
        <f>AV7</f>
        <v>222.22222222222223</v>
      </c>
      <c r="M40" s="364"/>
      <c r="N40" s="365"/>
      <c r="O40" s="25"/>
      <c r="P40" s="25"/>
      <c r="Q40" s="25"/>
      <c r="R40" s="53"/>
      <c r="U40" s="75">
        <v>4</v>
      </c>
      <c r="V40" s="75">
        <v>270</v>
      </c>
      <c r="W40" s="75" t="s">
        <v>68</v>
      </c>
      <c r="X40" s="75" t="str">
        <f t="shared" si="9"/>
        <v>4 - baixo</v>
      </c>
      <c r="Y40" s="75">
        <v>240</v>
      </c>
      <c r="Z40" s="75">
        <v>160</v>
      </c>
      <c r="AI40" s="76">
        <v>1</v>
      </c>
      <c r="AO40" s="47"/>
      <c r="AP40" s="447" t="str">
        <f>O105</f>
        <v>Ácido Bórico</v>
      </c>
      <c r="AQ40" s="447"/>
      <c r="AR40" s="55">
        <f>IFERROR($AS$37/((VLOOKUP(AP40,$V$100:$AO$179,11,0)*0.01)),0)</f>
        <v>54.853684729064028</v>
      </c>
      <c r="AS40" s="55">
        <f>IFERROR($AT$37/((VLOOKUP(AP40,$V$100:$AO$179,14,0)*0.01)),0)</f>
        <v>0</v>
      </c>
      <c r="AT40" s="55">
        <f>IFERROR($AU$37/((VLOOKUP(AP40,$V$100:$AO$179,12,0)*0.01)),0)</f>
        <v>0</v>
      </c>
      <c r="AU40" s="55">
        <f>IFERROR($AV$37/((VLOOKUP(AP40,$V$100:$AO$179,13,0)*0.01)),0)</f>
        <v>0</v>
      </c>
      <c r="AV40" s="55">
        <f>MAX(AR40:AU40)</f>
        <v>54.853684729064028</v>
      </c>
      <c r="AW40" s="55">
        <f>IFERROR(AV40*(VLOOKUP(AP40,$V$100:$AO$179,11,0)*0.01),0)</f>
        <v>9.599394827586206</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f t="shared" ref="D41:D49" si="10">IF(J39&gt;0,J39,"-")</f>
        <v>228.57142857142858</v>
      </c>
      <c r="E41" s="365" t="str">
        <f t="shared" ref="E41:E49" si="11">IF(J39&gt;0,"gramas por planta","-")</f>
        <v>gramas por planta</v>
      </c>
      <c r="F41" s="365"/>
      <c r="G41" s="365"/>
      <c r="H41" s="365"/>
      <c r="I41" s="365"/>
      <c r="J41" s="81">
        <f>AV8</f>
        <v>0</v>
      </c>
      <c r="M41" s="364"/>
      <c r="N41" s="365"/>
      <c r="O41" s="489" t="s">
        <v>308</v>
      </c>
      <c r="P41" s="489"/>
      <c r="Q41" s="489"/>
      <c r="R41" s="53"/>
      <c r="U41" s="75">
        <v>4</v>
      </c>
      <c r="V41" s="75">
        <v>270</v>
      </c>
      <c r="W41" s="75" t="s">
        <v>69</v>
      </c>
      <c r="X41" s="75" t="str">
        <f t="shared" si="9"/>
        <v>4 - medio</v>
      </c>
      <c r="Y41" s="75">
        <v>160</v>
      </c>
      <c r="Z41" s="75">
        <v>110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2">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f t="shared" si="10"/>
        <v>222.22222222222223</v>
      </c>
      <c r="E42" s="365" t="str">
        <f t="shared" si="11"/>
        <v>gramas por planta</v>
      </c>
      <c r="F42" s="365"/>
      <c r="G42" s="365"/>
      <c r="H42" s="365"/>
      <c r="I42" s="365"/>
      <c r="J42" s="81">
        <f>AV12</f>
        <v>41.666666666666671</v>
      </c>
      <c r="M42" s="364"/>
      <c r="N42" s="365"/>
      <c r="O42" s="483" t="s">
        <v>292</v>
      </c>
      <c r="P42" s="513"/>
      <c r="Q42" s="484"/>
      <c r="R42" s="53"/>
      <c r="U42" s="75">
        <v>4</v>
      </c>
      <c r="V42" s="75">
        <v>270</v>
      </c>
      <c r="W42" s="75" t="s">
        <v>70</v>
      </c>
      <c r="X42" s="75" t="str">
        <f t="shared" si="9"/>
        <v>4 - adequado</v>
      </c>
      <c r="Y42" s="75">
        <v>80</v>
      </c>
      <c r="Z42" s="75">
        <v>50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2"/>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0"/>
        <v>-</v>
      </c>
      <c r="E43" s="365" t="str">
        <f t="shared" si="11"/>
        <v>-</v>
      </c>
      <c r="F43" s="365"/>
      <c r="G43" s="365"/>
      <c r="H43" s="365"/>
      <c r="I43" s="365"/>
      <c r="J43" s="81">
        <f>AV13</f>
        <v>312.5</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2"/>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0"/>
        <v>41.666666666666671</v>
      </c>
      <c r="E44" s="365" t="str">
        <f t="shared" si="11"/>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0"/>
        <v>312.5</v>
      </c>
      <c r="E45" s="365" t="str">
        <f t="shared" si="11"/>
        <v>gramas por planta</v>
      </c>
      <c r="F45" s="365"/>
      <c r="G45" s="365"/>
      <c r="H45" s="365"/>
      <c r="I45" s="365"/>
      <c r="J45" s="81">
        <f>AV18</f>
        <v>931.0344827586207</v>
      </c>
      <c r="M45" s="48"/>
      <c r="N45" s="49"/>
      <c r="O45" s="499" t="s">
        <v>305</v>
      </c>
      <c r="P45" s="500"/>
      <c r="Q45" s="501"/>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0"/>
        <v>-</v>
      </c>
      <c r="E46" s="365" t="str">
        <f t="shared" si="11"/>
        <v>-</v>
      </c>
      <c r="F46" s="365"/>
      <c r="G46" s="365"/>
      <c r="H46" s="365"/>
      <c r="I46" s="365"/>
      <c r="J46" s="81">
        <f>AV19</f>
        <v>0</v>
      </c>
      <c r="M46" s="364" t="s">
        <v>213</v>
      </c>
      <c r="N46" s="365"/>
      <c r="O46" s="502"/>
      <c r="P46" s="503"/>
      <c r="Q46" s="504"/>
      <c r="R46" s="53"/>
      <c r="U46" s="75" t="s">
        <v>109</v>
      </c>
      <c r="V46" s="89">
        <v>60</v>
      </c>
      <c r="X46" s="455" t="s">
        <v>268</v>
      </c>
      <c r="Y46" s="455"/>
      <c r="Z46" s="63">
        <f>IFERROR(VLOOKUP(O50,$V$87:$AE$95,10,0),0)</f>
        <v>22.778167994795901</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0"/>
        <v>931.0344827586207</v>
      </c>
      <c r="E47" s="365" t="str">
        <f t="shared" si="11"/>
        <v>gramas por planta</v>
      </c>
      <c r="F47" s="365"/>
      <c r="G47" s="365"/>
      <c r="H47" s="365"/>
      <c r="I47" s="365"/>
      <c r="J47" s="81">
        <f>AV20</f>
        <v>0</v>
      </c>
      <c r="M47" s="364"/>
      <c r="N47" s="365"/>
      <c r="O47" s="481" t="s">
        <v>139</v>
      </c>
      <c r="P47" s="482"/>
      <c r="Q47" s="90">
        <v>0.5</v>
      </c>
      <c r="R47" s="53"/>
      <c r="U47" s="51" t="s">
        <v>111</v>
      </c>
      <c r="V47" s="63">
        <f>IFERROR((((V46-P24)*P25)/V49),0)</f>
        <v>-3.1405782652043865</v>
      </c>
      <c r="X47" s="455" t="s">
        <v>203</v>
      </c>
      <c r="Y47" s="455"/>
      <c r="Z47" s="63">
        <f>IFERROR((($V$50/$Z$46)*$V$47),0)</f>
        <v>-6.0665740853506769</v>
      </c>
      <c r="AO47" s="47"/>
      <c r="BA47" s="47"/>
      <c r="BB47" s="47"/>
    </row>
    <row r="48" spans="2:57" ht="20.25" customHeight="1" x14ac:dyDescent="0.25">
      <c r="B48" s="449" t="str">
        <f>IF(AQ19&gt;0,AQ19,"-")</f>
        <v>-</v>
      </c>
      <c r="C48" s="449"/>
      <c r="D48" s="87" t="str">
        <f t="shared" si="10"/>
        <v>-</v>
      </c>
      <c r="E48" s="365" t="str">
        <f t="shared" si="11"/>
        <v>-</v>
      </c>
      <c r="F48" s="365"/>
      <c r="G48" s="365"/>
      <c r="H48" s="365"/>
      <c r="I48" s="365"/>
      <c r="J48" s="91"/>
      <c r="M48" s="364"/>
      <c r="N48" s="365"/>
      <c r="O48" s="505" t="s">
        <v>306</v>
      </c>
      <c r="P48" s="506"/>
      <c r="Q48" s="507"/>
      <c r="R48" s="53"/>
      <c r="U48" s="51" t="s">
        <v>201</v>
      </c>
      <c r="V48" s="63">
        <f>IF(V47&lt;0,(0),IF(V47&gt;=0,(V47)))</f>
        <v>0</v>
      </c>
      <c r="X48" s="455" t="s">
        <v>201</v>
      </c>
      <c r="Y48" s="455"/>
      <c r="Z48" s="63">
        <f>IFERROR(IF(Z47&lt;0,(0),IF(Z47&gt;=0,(Z47))),0)</f>
        <v>0</v>
      </c>
    </row>
    <row r="49" spans="2:50" ht="20.25" customHeight="1" x14ac:dyDescent="0.25">
      <c r="B49" s="449" t="str">
        <f>IF(AQ20&gt;0,AQ20,"-")</f>
        <v>-</v>
      </c>
      <c r="C49" s="449"/>
      <c r="D49" s="87" t="str">
        <f t="shared" si="10"/>
        <v>-</v>
      </c>
      <c r="E49" s="365" t="str">
        <f t="shared" si="11"/>
        <v>-</v>
      </c>
      <c r="F49" s="365"/>
      <c r="G49" s="365"/>
      <c r="H49" s="365"/>
      <c r="I49" s="365"/>
      <c r="M49" s="364"/>
      <c r="N49" s="365"/>
      <c r="O49" s="502"/>
      <c r="P49" s="503"/>
      <c r="Q49" s="504"/>
      <c r="R49" s="53"/>
      <c r="U49" s="51" t="s">
        <v>110</v>
      </c>
      <c r="V49" s="63">
        <f>IFERROR(VLOOKUP($O$47,$V$56:$AA$68,5,0),0)</f>
        <v>80.239999999999995</v>
      </c>
      <c r="X49" s="455" t="s">
        <v>273</v>
      </c>
      <c r="Y49" s="455"/>
      <c r="Z49" s="63">
        <f>Z48*$Q$50</f>
        <v>0</v>
      </c>
    </row>
    <row r="50" spans="2:50" ht="20.25" customHeight="1" x14ac:dyDescent="0.25">
      <c r="B50" s="476" t="s">
        <v>535</v>
      </c>
      <c r="C50" s="476"/>
      <c r="D50" s="476"/>
      <c r="E50" s="476"/>
      <c r="F50" s="476"/>
      <c r="G50" s="476"/>
      <c r="H50" s="476"/>
      <c r="I50" s="476"/>
      <c r="M50" s="364"/>
      <c r="N50" s="365"/>
      <c r="O50" s="483" t="s">
        <v>493</v>
      </c>
      <c r="P50" s="484"/>
      <c r="Q50" s="92">
        <v>0.5</v>
      </c>
      <c r="R50" s="53"/>
      <c r="U50" s="51" t="s">
        <v>193</v>
      </c>
      <c r="V50" s="63">
        <f>IFERROR(VLOOKUP($O$47,$V$56:$AA$68,6,0),0)</f>
        <v>44</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3">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3"/>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3"/>
        <v>3 - Composto de lixo (COL)</v>
      </c>
      <c r="AW54" s="51">
        <v>15</v>
      </c>
    </row>
    <row r="55" spans="2:50" ht="20.25" customHeight="1" x14ac:dyDescent="0.25">
      <c r="B55" s="449" t="str">
        <f>IF(AP40&gt;0,AP40,"-")</f>
        <v>Ácido Bórico</v>
      </c>
      <c r="C55" s="449"/>
      <c r="D55" s="87">
        <f>IF(AV40&gt;0,AV40,"-")</f>
        <v>54.853684729064028</v>
      </c>
      <c r="E55" s="365" t="str">
        <f>IF(AV40&gt;0,"gramas por planta","-")</f>
        <v>gramas por planta</v>
      </c>
      <c r="F55" s="365"/>
      <c r="G55" s="365"/>
      <c r="H55" s="365"/>
      <c r="I55" s="365"/>
      <c r="M55" s="364"/>
      <c r="N55" s="365"/>
      <c r="O55" s="448" t="s">
        <v>154</v>
      </c>
      <c r="P55" s="448"/>
      <c r="Q55" s="448"/>
      <c r="R55" s="53"/>
      <c r="U55" s="344"/>
      <c r="V55" s="344"/>
      <c r="W55" s="344"/>
      <c r="X55" s="95" t="s">
        <v>105</v>
      </c>
      <c r="Y55" s="95" t="s">
        <v>106</v>
      </c>
      <c r="Z55" s="95" t="s">
        <v>107</v>
      </c>
      <c r="AA55" s="95" t="s">
        <v>195</v>
      </c>
      <c r="AP55" s="465"/>
      <c r="AQ55" s="465"/>
      <c r="AS55" s="465"/>
      <c r="AT55" s="51">
        <v>4</v>
      </c>
      <c r="AU55" s="93" t="s">
        <v>286</v>
      </c>
      <c r="AV55" s="93" t="str">
        <f t="shared" si="13"/>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3"/>
        <v>0 - Cama de frango corte</v>
      </c>
      <c r="AW56" s="75">
        <v>4</v>
      </c>
      <c r="AX56" s="25"/>
    </row>
    <row r="57" spans="2:50" ht="20.25" customHeight="1" x14ac:dyDescent="0.25">
      <c r="B57" s="449" t="str">
        <f>IF(AP42&gt;0,AP42,"-")</f>
        <v>Sulfato de zinco</v>
      </c>
      <c r="C57" s="449"/>
      <c r="D57" s="87" t="str">
        <f>IF(AV42&gt;0,AV42,"-")</f>
        <v>-</v>
      </c>
      <c r="E57" s="365" t="str">
        <f t="shared" ref="E57:E59" si="14">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3"/>
        <v>1 - Cama de frango corte</v>
      </c>
      <c r="AW57" s="75">
        <v>1</v>
      </c>
    </row>
    <row r="58" spans="2:50" ht="20.25" customHeight="1" x14ac:dyDescent="0.25">
      <c r="B58" s="449" t="str">
        <f>IF(AP43&gt;0,AP43,"-")</f>
        <v>Sulfato de manganês</v>
      </c>
      <c r="C58" s="449"/>
      <c r="D58" s="87" t="str">
        <f>IF(AV43&gt;0,AV43,"-")</f>
        <v>-</v>
      </c>
      <c r="E58" s="365" t="str">
        <f t="shared" si="14"/>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4 - Esterco Bovino curtido</v>
      </c>
      <c r="AR58" s="463"/>
      <c r="AS58" s="25"/>
      <c r="AT58" s="75">
        <v>2</v>
      </c>
      <c r="AU58" s="97" t="s">
        <v>293</v>
      </c>
      <c r="AV58" s="97" t="str">
        <f t="shared" si="13"/>
        <v>2 - Cama de frango corte</v>
      </c>
      <c r="AW58" s="75">
        <v>3</v>
      </c>
    </row>
    <row r="59" spans="2:50" ht="20.25" customHeight="1" x14ac:dyDescent="0.25">
      <c r="B59" s="449" t="str">
        <f>IF(AP44&gt;0,AP44,"-")</f>
        <v>-</v>
      </c>
      <c r="C59" s="449"/>
      <c r="D59" s="87" t="str">
        <f>IF(AV44&gt;0,AV44,"-")</f>
        <v>-</v>
      </c>
      <c r="E59" s="365" t="str">
        <f t="shared" si="14"/>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5</v>
      </c>
      <c r="AR59" s="456"/>
      <c r="AS59" s="25"/>
      <c r="AT59" s="75">
        <v>3</v>
      </c>
      <c r="AU59" s="97" t="s">
        <v>293</v>
      </c>
      <c r="AV59" s="97" t="str">
        <f t="shared" si="13"/>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3"/>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3"/>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3"/>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3"/>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3"/>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3"/>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3"/>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3"/>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3"/>
        <v>2 - Esterco Bovino curtido</v>
      </c>
      <c r="AW68" s="75">
        <v>7</v>
      </c>
    </row>
    <row r="69" spans="2:49" ht="20.25" customHeight="1" thickBot="1" x14ac:dyDescent="0.3">
      <c r="M69" s="69"/>
      <c r="N69" s="70"/>
      <c r="O69" s="70"/>
      <c r="P69" s="70"/>
      <c r="Q69" s="70"/>
      <c r="R69" s="71"/>
      <c r="AT69" s="75">
        <v>3</v>
      </c>
      <c r="AU69" s="97" t="s">
        <v>292</v>
      </c>
      <c r="AV69" s="97" t="str">
        <f t="shared" si="13"/>
        <v>3 - Esterco Bovino curtido</v>
      </c>
      <c r="AW69" s="75">
        <v>12</v>
      </c>
    </row>
    <row r="70" spans="2:49" ht="20.25" customHeight="1" thickBot="1" x14ac:dyDescent="0.3">
      <c r="AT70" s="75">
        <v>4</v>
      </c>
      <c r="AU70" s="97" t="s">
        <v>292</v>
      </c>
      <c r="AV70" s="97" t="str">
        <f t="shared" si="13"/>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3"/>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3"/>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3"/>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3"/>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3"/>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3"/>
        <v>0 - Esterco de suínos</v>
      </c>
      <c r="AW76" s="75">
        <v>10</v>
      </c>
    </row>
    <row r="77" spans="2:49" ht="20.2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3"/>
        <v>1 - Esterco de suínos</v>
      </c>
      <c r="AW77" s="75">
        <v>4</v>
      </c>
    </row>
    <row r="78" spans="2:49" ht="20.2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3"/>
        <v>2 - Esterco de suínos</v>
      </c>
      <c r="AW78" s="75">
        <v>6</v>
      </c>
    </row>
    <row r="79" spans="2:49" ht="20.2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3"/>
        <v>3 - Esterco de suínos</v>
      </c>
      <c r="AW79" s="75">
        <v>10</v>
      </c>
    </row>
    <row r="80" spans="2:49" ht="20.2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3"/>
        <v>4 - Esterco de suínos</v>
      </c>
      <c r="AW80" s="75">
        <v>4</v>
      </c>
    </row>
    <row r="81" spans="13:49" ht="20.2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3"/>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3"/>
        <v>1 - Esterco de ovinos</v>
      </c>
      <c r="AW82" s="51">
        <v>4</v>
      </c>
    </row>
    <row r="83" spans="13:49" ht="20.25" customHeight="1" x14ac:dyDescent="0.25">
      <c r="M83" s="364"/>
      <c r="N83" s="365"/>
      <c r="O83" s="448" t="s">
        <v>116</v>
      </c>
      <c r="P83" s="448"/>
      <c r="Q83" s="92">
        <v>0.5</v>
      </c>
      <c r="R83" s="53"/>
      <c r="AT83" s="51">
        <v>2</v>
      </c>
      <c r="AU83" s="93" t="s">
        <v>288</v>
      </c>
      <c r="AV83" s="93" t="str">
        <f t="shared" si="13"/>
        <v>2 - Esterco de ovinos</v>
      </c>
      <c r="AW83" s="51">
        <v>6</v>
      </c>
    </row>
    <row r="84" spans="13:49" ht="20.25" customHeight="1" x14ac:dyDescent="0.25">
      <c r="M84" s="364"/>
      <c r="N84" s="365"/>
      <c r="O84" s="448"/>
      <c r="P84" s="448"/>
      <c r="Q84" s="92"/>
      <c r="R84" s="53"/>
      <c r="AT84" s="51">
        <v>3</v>
      </c>
      <c r="AU84" s="93" t="s">
        <v>288</v>
      </c>
      <c r="AV84" s="93" t="str">
        <f t="shared" si="13"/>
        <v>3 - Esterco de ovinos</v>
      </c>
      <c r="AW84" s="51">
        <v>10</v>
      </c>
    </row>
    <row r="85" spans="13:49" ht="20.2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T85" s="51">
        <v>4</v>
      </c>
      <c r="AU85" s="93" t="s">
        <v>288</v>
      </c>
      <c r="AV85" s="93" t="str">
        <f t="shared" si="13"/>
        <v>4 - Esterco de ovinos</v>
      </c>
      <c r="AW85" s="51">
        <v>4</v>
      </c>
    </row>
    <row r="86" spans="13:49" ht="20.2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3"/>
        <v>0 - Lodo de esgosto</v>
      </c>
      <c r="AW86" s="75">
        <v>15</v>
      </c>
    </row>
    <row r="87" spans="13:49" ht="20.2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5">Y160</f>
        <v>8.7999999999999995E-2</v>
      </c>
      <c r="Z87" s="99">
        <f t="shared" si="15"/>
        <v>0.2</v>
      </c>
      <c r="AA87" s="99">
        <f t="shared" si="15"/>
        <v>2.83</v>
      </c>
      <c r="AB87" s="99">
        <f t="shared" si="15"/>
        <v>3.4</v>
      </c>
      <c r="AC87" s="100">
        <f>AC160*0.602</f>
        <v>1.5155244755244754</v>
      </c>
      <c r="AD87" s="100">
        <f>AD160*0.715</f>
        <v>5.4634551495016606</v>
      </c>
      <c r="AE87" s="100">
        <f t="shared" ref="AE87:AE95" si="16">AB87+AC87+AD87</f>
        <v>10.378979625026137</v>
      </c>
      <c r="AT87" s="75">
        <v>1</v>
      </c>
      <c r="AU87" s="97" t="s">
        <v>289</v>
      </c>
      <c r="AV87" s="97" t="str">
        <f t="shared" si="13"/>
        <v>1 - Lodo de esgosto</v>
      </c>
      <c r="AW87" s="75">
        <v>10</v>
      </c>
    </row>
    <row r="88" spans="13:49" ht="20.25" customHeight="1" x14ac:dyDescent="0.25">
      <c r="M88" s="364"/>
      <c r="N88" s="365"/>
      <c r="O88" s="450" t="s">
        <v>254</v>
      </c>
      <c r="P88" s="451"/>
      <c r="Q88" s="452"/>
      <c r="R88" s="53"/>
      <c r="U88" s="466"/>
      <c r="V88" s="99" t="str">
        <f t="shared" ref="V88:W95" si="17">V161</f>
        <v>Kamafugito</v>
      </c>
      <c r="W88" s="99">
        <f t="shared" si="17"/>
        <v>0</v>
      </c>
      <c r="X88" s="99">
        <f t="shared" ref="X88:X95" si="18">AL161</f>
        <v>0</v>
      </c>
      <c r="Y88" s="99">
        <f t="shared" si="15"/>
        <v>1.5069999999999999</v>
      </c>
      <c r="Z88" s="99">
        <f t="shared" si="15"/>
        <v>3.5</v>
      </c>
      <c r="AA88" s="99">
        <f t="shared" si="15"/>
        <v>3.3250000000000002</v>
      </c>
      <c r="AB88" s="99">
        <f t="shared" si="15"/>
        <v>4</v>
      </c>
      <c r="AC88" s="100">
        <f t="shared" ref="AC88:AC95" si="19">AC161*0.602</f>
        <v>1.7217199999999999</v>
      </c>
      <c r="AD88" s="100">
        <f t="shared" ref="AD88:AD95" si="20">AD161*0.715</f>
        <v>0</v>
      </c>
      <c r="AE88" s="100">
        <f t="shared" si="16"/>
        <v>5.7217199999999995</v>
      </c>
      <c r="AT88" s="75">
        <v>2</v>
      </c>
      <c r="AU88" s="97" t="s">
        <v>289</v>
      </c>
      <c r="AV88" s="97" t="str">
        <f t="shared" si="13"/>
        <v>2 - Lodo de esgosto</v>
      </c>
      <c r="AW88" s="75">
        <v>5</v>
      </c>
    </row>
    <row r="89" spans="13:49" ht="20.25" customHeight="1" x14ac:dyDescent="0.25">
      <c r="M89" s="364"/>
      <c r="N89" s="365"/>
      <c r="O89" s="450" t="s">
        <v>251</v>
      </c>
      <c r="P89" s="451"/>
      <c r="Q89" s="452"/>
      <c r="R89" s="53"/>
      <c r="U89" s="466"/>
      <c r="V89" s="99" t="str">
        <f t="shared" si="17"/>
        <v>Micaxisto (61) 3233-9368</v>
      </c>
      <c r="W89" s="99">
        <f t="shared" si="17"/>
        <v>0</v>
      </c>
      <c r="X89" s="99">
        <f t="shared" si="18"/>
        <v>0</v>
      </c>
      <c r="Y89" s="99">
        <f t="shared" si="15"/>
        <v>4.4999999999999998E-2</v>
      </c>
      <c r="Z89" s="99">
        <f t="shared" si="15"/>
        <v>0.1</v>
      </c>
      <c r="AA89" s="99">
        <f t="shared" si="15"/>
        <v>4.32</v>
      </c>
      <c r="AB89" s="99">
        <f t="shared" si="15"/>
        <v>5.2</v>
      </c>
      <c r="AC89" s="100">
        <f t="shared" si="19"/>
        <v>0.75776223776223772</v>
      </c>
      <c r="AD89" s="100">
        <f t="shared" si="20"/>
        <v>0.83139534883720934</v>
      </c>
      <c r="AE89" s="100">
        <f t="shared" si="16"/>
        <v>6.7891575865994476</v>
      </c>
      <c r="AT89" s="75">
        <v>3</v>
      </c>
      <c r="AU89" s="97" t="s">
        <v>289</v>
      </c>
      <c r="AV89" s="97" t="str">
        <f t="shared" si="13"/>
        <v>3 - Lodo de esgosto</v>
      </c>
      <c r="AW89" s="75">
        <v>15</v>
      </c>
    </row>
    <row r="90" spans="13:49" ht="20.25" customHeight="1" x14ac:dyDescent="0.25">
      <c r="M90" s="364"/>
      <c r="N90" s="365"/>
      <c r="O90" s="448" t="s">
        <v>93</v>
      </c>
      <c r="P90" s="448"/>
      <c r="Q90" s="92">
        <v>1</v>
      </c>
      <c r="R90" s="53"/>
      <c r="U90" s="466"/>
      <c r="V90" s="99" t="str">
        <f t="shared" si="17"/>
        <v xml:space="preserve">Pó de brita Fmx (62) 3924 8565 </v>
      </c>
      <c r="W90" s="99">
        <f t="shared" si="17"/>
        <v>0</v>
      </c>
      <c r="X90" s="99">
        <f t="shared" si="18"/>
        <v>0</v>
      </c>
      <c r="Y90" s="99">
        <f t="shared" si="15"/>
        <v>0</v>
      </c>
      <c r="Z90" s="99">
        <f t="shared" si="15"/>
        <v>0</v>
      </c>
      <c r="AA90" s="99">
        <f t="shared" si="15"/>
        <v>4.99</v>
      </c>
      <c r="AB90" s="99">
        <f t="shared" si="15"/>
        <v>6</v>
      </c>
      <c r="AC90" s="100">
        <f t="shared" si="19"/>
        <v>2.5258741258741257</v>
      </c>
      <c r="AD90" s="100">
        <f t="shared" si="20"/>
        <v>0.59385382059800662</v>
      </c>
      <c r="AE90" s="100">
        <f t="shared" si="16"/>
        <v>9.1197279464721319</v>
      </c>
      <c r="AT90" s="75">
        <v>4</v>
      </c>
      <c r="AU90" s="97" t="s">
        <v>289</v>
      </c>
      <c r="AV90" s="97" t="str">
        <f t="shared" si="13"/>
        <v>4 - Lodo de esgosto</v>
      </c>
      <c r="AW90" s="75">
        <v>10</v>
      </c>
    </row>
    <row r="91" spans="13:49" ht="20.25" customHeight="1" x14ac:dyDescent="0.25">
      <c r="M91" s="364"/>
      <c r="N91" s="365"/>
      <c r="O91" s="448"/>
      <c r="P91" s="448"/>
      <c r="Q91" s="92"/>
      <c r="R91" s="53"/>
      <c r="U91" s="466"/>
      <c r="V91" s="99" t="str">
        <f t="shared" si="17"/>
        <v>Remax Mistel (61) 99414-1975</v>
      </c>
      <c r="W91" s="99">
        <f t="shared" si="17"/>
        <v>0</v>
      </c>
      <c r="X91" s="99">
        <f t="shared" si="18"/>
        <v>43.8</v>
      </c>
      <c r="Y91" s="99">
        <f t="shared" si="15"/>
        <v>4.4999999999999998E-2</v>
      </c>
      <c r="Z91" s="99">
        <f t="shared" si="15"/>
        <v>0.1</v>
      </c>
      <c r="AA91" s="99">
        <f t="shared" si="15"/>
        <v>2.1949999999999998</v>
      </c>
      <c r="AB91" s="99">
        <f t="shared" si="15"/>
        <v>2.6</v>
      </c>
      <c r="AC91" s="100">
        <f t="shared" si="19"/>
        <v>11.282237762237763</v>
      </c>
      <c r="AD91" s="100">
        <f t="shared" si="20"/>
        <v>8.8959302325581397</v>
      </c>
      <c r="AE91" s="100">
        <f t="shared" si="16"/>
        <v>22.778167994795901</v>
      </c>
      <c r="AT91" s="51">
        <v>0</v>
      </c>
      <c r="AU91" s="93" t="s">
        <v>290</v>
      </c>
      <c r="AV91" s="93" t="str">
        <f t="shared" si="13"/>
        <v>0 - Compostos orgânicos</v>
      </c>
      <c r="AW91" s="51">
        <v>6</v>
      </c>
    </row>
    <row r="92" spans="13:49" ht="20.25" customHeight="1" x14ac:dyDescent="0.25">
      <c r="M92" s="364"/>
      <c r="N92" s="365"/>
      <c r="O92" s="448"/>
      <c r="P92" s="448"/>
      <c r="Q92" s="92"/>
      <c r="R92" s="53"/>
      <c r="U92" s="466"/>
      <c r="V92" s="99">
        <f t="shared" si="17"/>
        <v>0</v>
      </c>
      <c r="W92" s="99">
        <f t="shared" si="17"/>
        <v>0</v>
      </c>
      <c r="X92" s="99">
        <f t="shared" si="18"/>
        <v>0</v>
      </c>
      <c r="Y92" s="99">
        <f t="shared" si="15"/>
        <v>0</v>
      </c>
      <c r="Z92" s="99">
        <f t="shared" si="15"/>
        <v>0</v>
      </c>
      <c r="AA92" s="99">
        <f t="shared" si="15"/>
        <v>0</v>
      </c>
      <c r="AB92" s="99">
        <f t="shared" si="15"/>
        <v>0</v>
      </c>
      <c r="AC92" s="100">
        <f t="shared" si="19"/>
        <v>0</v>
      </c>
      <c r="AD92" s="100">
        <f t="shared" si="20"/>
        <v>0</v>
      </c>
      <c r="AE92" s="100">
        <f t="shared" si="16"/>
        <v>0</v>
      </c>
      <c r="AT92" s="51">
        <v>1</v>
      </c>
      <c r="AU92" s="93" t="s">
        <v>290</v>
      </c>
      <c r="AV92" s="93" t="str">
        <f t="shared" si="13"/>
        <v>1 - Compostos orgânicos</v>
      </c>
      <c r="AW92" s="51">
        <v>2</v>
      </c>
    </row>
    <row r="93" spans="13:49" ht="20.25" customHeight="1" x14ac:dyDescent="0.25">
      <c r="M93" s="101"/>
      <c r="N93" s="25"/>
      <c r="O93" s="25"/>
      <c r="P93" s="25"/>
      <c r="Q93" s="25"/>
      <c r="R93" s="53"/>
      <c r="U93" s="466"/>
      <c r="V93" s="99">
        <f t="shared" si="17"/>
        <v>0</v>
      </c>
      <c r="W93" s="99">
        <f t="shared" si="17"/>
        <v>0</v>
      </c>
      <c r="X93" s="99">
        <f t="shared" si="18"/>
        <v>0</v>
      </c>
      <c r="Y93" s="99">
        <f t="shared" si="15"/>
        <v>0</v>
      </c>
      <c r="Z93" s="99">
        <f t="shared" si="15"/>
        <v>0</v>
      </c>
      <c r="AA93" s="99">
        <f t="shared" si="15"/>
        <v>0</v>
      </c>
      <c r="AB93" s="99">
        <f t="shared" si="15"/>
        <v>0</v>
      </c>
      <c r="AC93" s="100">
        <f t="shared" si="19"/>
        <v>0</v>
      </c>
      <c r="AD93" s="100">
        <f t="shared" si="20"/>
        <v>0</v>
      </c>
      <c r="AE93" s="100">
        <f t="shared" si="16"/>
        <v>0</v>
      </c>
      <c r="AT93" s="51">
        <v>2</v>
      </c>
      <c r="AU93" s="93" t="s">
        <v>290</v>
      </c>
      <c r="AV93" s="93" t="str">
        <f t="shared" si="13"/>
        <v>2 - Compostos orgânicos</v>
      </c>
      <c r="AW93" s="51">
        <v>4</v>
      </c>
    </row>
    <row r="94" spans="13:49" ht="20.25" customHeight="1" x14ac:dyDescent="0.25">
      <c r="M94" s="101"/>
      <c r="N94" s="25"/>
      <c r="O94" s="365" t="s">
        <v>264</v>
      </c>
      <c r="P94" s="365"/>
      <c r="Q94" s="365"/>
      <c r="R94" s="53"/>
      <c r="U94" s="466"/>
      <c r="V94" s="99">
        <f t="shared" si="17"/>
        <v>0</v>
      </c>
      <c r="W94" s="99">
        <f t="shared" si="17"/>
        <v>0</v>
      </c>
      <c r="X94" s="99">
        <f t="shared" si="18"/>
        <v>0</v>
      </c>
      <c r="Y94" s="99">
        <f t="shared" si="15"/>
        <v>0</v>
      </c>
      <c r="Z94" s="99">
        <f t="shared" si="15"/>
        <v>0</v>
      </c>
      <c r="AA94" s="99">
        <f t="shared" si="15"/>
        <v>0</v>
      </c>
      <c r="AB94" s="99">
        <f t="shared" si="15"/>
        <v>0</v>
      </c>
      <c r="AC94" s="100">
        <f t="shared" si="19"/>
        <v>0</v>
      </c>
      <c r="AD94" s="100">
        <f t="shared" si="20"/>
        <v>0</v>
      </c>
      <c r="AE94" s="100">
        <f t="shared" si="16"/>
        <v>0</v>
      </c>
      <c r="AT94" s="51">
        <v>3</v>
      </c>
      <c r="AU94" s="93" t="s">
        <v>290</v>
      </c>
      <c r="AV94" s="93" t="str">
        <f t="shared" si="13"/>
        <v>3 - Compostos orgânicos</v>
      </c>
      <c r="AW94" s="51">
        <v>6</v>
      </c>
    </row>
    <row r="95" spans="13:49" ht="20.25" customHeight="1" thickBot="1" x14ac:dyDescent="0.3">
      <c r="M95" s="69"/>
      <c r="N95" s="70"/>
      <c r="O95" s="70"/>
      <c r="P95" s="70"/>
      <c r="Q95" s="70"/>
      <c r="R95" s="71"/>
      <c r="U95" s="466"/>
      <c r="V95" s="99">
        <f t="shared" si="17"/>
        <v>0</v>
      </c>
      <c r="W95" s="99">
        <f t="shared" si="17"/>
        <v>0</v>
      </c>
      <c r="X95" s="99">
        <f t="shared" si="18"/>
        <v>0</v>
      </c>
      <c r="Y95" s="99">
        <f t="shared" si="15"/>
        <v>0</v>
      </c>
      <c r="Z95" s="99">
        <f t="shared" si="15"/>
        <v>0</v>
      </c>
      <c r="AA95" s="99">
        <f t="shared" si="15"/>
        <v>0</v>
      </c>
      <c r="AB95" s="99">
        <f t="shared" si="15"/>
        <v>0</v>
      </c>
      <c r="AC95" s="100">
        <f t="shared" si="19"/>
        <v>0</v>
      </c>
      <c r="AD95" s="100">
        <f t="shared" si="20"/>
        <v>0</v>
      </c>
      <c r="AE95" s="100">
        <f t="shared" si="16"/>
        <v>0</v>
      </c>
      <c r="AT95" s="51">
        <v>4</v>
      </c>
      <c r="AU95" s="93" t="s">
        <v>290</v>
      </c>
      <c r="AV95" s="93" t="str">
        <f t="shared" si="13"/>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$AC$30</f>
        <v>270</v>
      </c>
      <c r="P99" s="103">
        <f>$AC$31</f>
        <v>80</v>
      </c>
      <c r="Q99" s="103">
        <f>$AC$32</f>
        <v>50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9.6</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AQ59:AR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dataValidations count="5">
    <dataValidation type="list" allowBlank="1" showInputMessage="1" showErrorMessage="1" sqref="O68 O176 N159 O174">
      <formula1>$AG$29:$AG$30</formula1>
    </dataValidation>
    <dataValidation type="list" allowBlank="1" showInputMessage="1" showErrorMessage="1" sqref="P39:Q39">
      <formula1>$AE$31:$AE$35</formula1>
    </dataValidation>
    <dataValidation type="list" allowBlank="1" showInputMessage="1" showErrorMessage="1" sqref="Q82:Q84 Q90:Q92 Q74:Q76 Q47 Q50">
      <formula1>$AI$29:$AI$40</formula1>
    </dataValidation>
    <dataValidation type="list" allowBlank="1" showInputMessage="1" showErrorMessage="1" sqref="O42:Q42">
      <formula1>$AK$29:$AK$38</formula1>
    </dataValidation>
    <dataValidation type="list" allowBlank="1" showInputMessage="1" showErrorMessage="1" sqref="O105:Q109">
      <formula1>$V$170:$V$179</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corretivos'!$C$3:$C$62</xm:f>
          </x14:formula1>
          <xm:sqref>O74:P76 O82:P84 O90:P92</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M51" sqref="M51"/>
    </sheetView>
  </sheetViews>
  <sheetFormatPr defaultRowHeight="19.5" customHeight="1" outlineLevelCol="1" x14ac:dyDescent="0.25"/>
  <cols>
    <col min="1" max="1" width="5.7109375" style="11" customWidth="1"/>
    <col min="2" max="2" width="37.28515625" style="11" customWidth="1"/>
    <col min="3" max="3" width="29.5703125" style="11" customWidth="1"/>
    <col min="4" max="9" width="16.7109375" style="11" customWidth="1"/>
    <col min="10" max="10" width="5.85546875" style="66" customWidth="1"/>
    <col min="11" max="12" width="0" style="11" hidden="1" customWidth="1"/>
    <col min="13" max="13" width="36.5703125" style="11" customWidth="1"/>
    <col min="14" max="14" width="13.140625" style="11" bestFit="1" customWidth="1"/>
    <col min="15" max="15" width="29.7109375" style="11" customWidth="1"/>
    <col min="16" max="16" width="18.42578125" style="11" customWidth="1"/>
    <col min="17" max="17" width="49.140625" style="11" customWidth="1"/>
    <col min="18" max="18" width="8"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7.42578125" style="11" hidden="1" customWidth="1" outlineLevel="1"/>
    <col min="25" max="25" width="22.42578125" style="11" hidden="1" customWidth="1" outlineLevel="1"/>
    <col min="26" max="26" width="22"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36.140625" style="11" hidden="1" customWidth="1" outlineLevel="1"/>
    <col min="32" max="32" width="25.5703125" style="11" hidden="1" customWidth="1" outlineLevel="1"/>
    <col min="33" max="33" width="22" style="11" hidden="1" customWidth="1" outlineLevel="1"/>
    <col min="34" max="34" width="21.5703125" style="11" hidden="1" customWidth="1" outlineLevel="1"/>
    <col min="35" max="35" width="24.7109375" style="11" hidden="1" customWidth="1" outlineLevel="1"/>
    <col min="36" max="36" width="14.28515625" style="11" hidden="1" customWidth="1" outlineLevel="1"/>
    <col min="37" max="37" width="32.42578125" style="11" hidden="1" customWidth="1" outlineLevel="1"/>
    <col min="38" max="38" width="13.1406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13.7109375" style="11" hidden="1" customWidth="1" outlineLevel="1"/>
    <col min="47" max="47" width="31.42578125" style="11" hidden="1" customWidth="1" outlineLevel="1"/>
    <col min="48" max="48" width="9.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19.5" customHeight="1" thickBot="1" x14ac:dyDescent="0.3">
      <c r="A1" s="23"/>
    </row>
    <row r="2" spans="1:54" ht="19.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19.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19.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19.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320</v>
      </c>
      <c r="AT5" s="55">
        <f>$AC$31</f>
        <v>80</v>
      </c>
      <c r="AU5" s="55">
        <f>$AC$32</f>
        <v>200</v>
      </c>
      <c r="AV5" s="509"/>
      <c r="AW5" s="47"/>
      <c r="AX5" s="47"/>
      <c r="AY5" s="47"/>
      <c r="AZ5" s="47"/>
      <c r="BA5" s="47"/>
      <c r="BB5" s="47"/>
    </row>
    <row r="6" spans="1:54" ht="19.5" customHeight="1" x14ac:dyDescent="0.25">
      <c r="M6" s="364"/>
      <c r="N6" s="453"/>
      <c r="O6" s="51" t="s">
        <v>3</v>
      </c>
      <c r="P6" s="56">
        <v>2</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40.000000000000007</v>
      </c>
      <c r="AU6" s="55">
        <f>IFERROR((VLOOKUP(AQ6,$V$100:$AB$179,7,0)*0.01)*AV6,0)</f>
        <v>0</v>
      </c>
      <c r="AV6" s="55">
        <f>IFERROR($AT$5*Q74/(VLOOKUP(AQ6,$V$100:$AB$179,5,0)/100),0)</f>
        <v>228.57142857142858</v>
      </c>
      <c r="AW6" s="47"/>
      <c r="AX6" s="47"/>
      <c r="AY6" s="47"/>
      <c r="AZ6" s="47"/>
      <c r="BA6" s="47"/>
      <c r="BB6" s="47"/>
    </row>
    <row r="7" spans="1:54" ht="19.5" customHeight="1" x14ac:dyDescent="0.25">
      <c r="M7" s="364"/>
      <c r="N7" s="453"/>
      <c r="O7" s="51" t="s">
        <v>4</v>
      </c>
      <c r="P7" s="32">
        <v>1</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40</v>
      </c>
      <c r="AU7" s="55">
        <f>IFERROR((VLOOKUP(AQ7,$V$100:$AB$179,7,0)*0.01)*AV7,0)</f>
        <v>0</v>
      </c>
      <c r="AV7" s="55">
        <f>IFERROR($AT$5*Q75/(VLOOKUP(AQ7,$V$100:$AB$179,5,0)/100),0)</f>
        <v>222.22222222222223</v>
      </c>
      <c r="AW7" s="47"/>
      <c r="AX7" s="47"/>
      <c r="AY7" s="47"/>
      <c r="AZ7" s="47"/>
      <c r="BA7" s="47"/>
      <c r="BB7" s="47"/>
    </row>
    <row r="8" spans="1:54" ht="19.5" customHeight="1" thickBot="1" x14ac:dyDescent="0.3">
      <c r="M8" s="364"/>
      <c r="N8" s="453"/>
      <c r="O8" s="51" t="s">
        <v>5</v>
      </c>
      <c r="P8" s="56">
        <v>1</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19.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4</v>
      </c>
      <c r="AL9" s="457">
        <f>(AM9*1000)/$E$18</f>
        <v>4</v>
      </c>
      <c r="AM9" s="456">
        <v>1</v>
      </c>
      <c r="AO9" s="47"/>
      <c r="AP9" s="47"/>
      <c r="AQ9" s="47"/>
      <c r="AR9" s="47"/>
      <c r="AS9" s="59">
        <f>AS5-(SUM(AS6:AS8))</f>
        <v>320</v>
      </c>
      <c r="AT9" s="59">
        <f>AT5-(SUM(AT6:AT8))</f>
        <v>0</v>
      </c>
      <c r="AU9" s="59">
        <f>AU5-(SUM(AU6:AU8))</f>
        <v>200</v>
      </c>
      <c r="AV9" s="59"/>
      <c r="AW9" s="47"/>
      <c r="AX9" s="47"/>
      <c r="AY9" s="47"/>
      <c r="AZ9" s="47"/>
      <c r="BA9" s="47"/>
      <c r="BB9" s="47"/>
    </row>
    <row r="10" spans="1:54" ht="19.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c r="AX10" s="47"/>
      <c r="AY10" s="47"/>
      <c r="AZ10" s="47"/>
      <c r="BA10" s="47"/>
      <c r="BB10" s="47"/>
    </row>
    <row r="11" spans="1:54" ht="19.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320</v>
      </c>
      <c r="AT11" s="55">
        <f t="shared" ref="AT11:AU11" si="0">AT9</f>
        <v>0</v>
      </c>
      <c r="AU11" s="55">
        <f t="shared" si="0"/>
        <v>200</v>
      </c>
      <c r="AV11" s="509"/>
      <c r="AW11" s="47"/>
      <c r="AX11" s="47"/>
      <c r="AY11" s="47"/>
      <c r="AZ11" s="47"/>
      <c r="BA11" s="47"/>
      <c r="BB11" s="47"/>
    </row>
    <row r="12" spans="1:54" ht="19.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2</v>
      </c>
      <c r="AM12" s="456">
        <v>0.5</v>
      </c>
      <c r="AO12" s="47"/>
      <c r="AP12" s="54">
        <v>7</v>
      </c>
      <c r="AQ12" s="447" t="str">
        <f>O82</f>
        <v>Cloreto de potássio</v>
      </c>
      <c r="AR12" s="447"/>
      <c r="AS12" s="55">
        <f>IFERROR((VLOOKUP(AQ12,$V$100:$AB$179,3,0)*0.01)*AV12,0)</f>
        <v>0</v>
      </c>
      <c r="AT12" s="55">
        <f>IFERROR((VLOOKUP(AQ12,$V$100:$AB$179,5,0)*0.01)*AV12,0)</f>
        <v>0</v>
      </c>
      <c r="AU12" s="55">
        <f>IFERROR((VLOOKUP(AQ12,$V$100:$AB$179,7,0)*0.01)*AV12,0)</f>
        <v>100.00000000000001</v>
      </c>
      <c r="AV12" s="55">
        <f>IFERROR($AU$11*Q82/(VLOOKUP(AQ12,$V$100:$AB$179,7,0)/100),0)</f>
        <v>166.66666666666669</v>
      </c>
      <c r="AW12" s="47"/>
      <c r="AX12" s="47"/>
      <c r="AY12" s="47"/>
      <c r="AZ12" s="47"/>
      <c r="BA12" s="47"/>
      <c r="BB12" s="47"/>
    </row>
    <row r="13" spans="1:54" ht="19.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100</v>
      </c>
      <c r="AV13" s="55">
        <f>IFERROR($AU$11*Q83/(VLOOKUP(AQ13,$V$100:$AB$179,7,0)/100),0)</f>
        <v>1250</v>
      </c>
      <c r="AW13" s="47"/>
      <c r="AX13" s="47"/>
      <c r="AY13" s="47"/>
      <c r="AZ13" s="47"/>
      <c r="BA13" s="47"/>
      <c r="BB13" s="47"/>
    </row>
    <row r="14" spans="1:54" ht="19.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19.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4</v>
      </c>
      <c r="AM15" s="456">
        <v>1</v>
      </c>
      <c r="AO15" s="47"/>
      <c r="AP15" s="47"/>
      <c r="AQ15" s="47"/>
      <c r="AR15" s="47"/>
      <c r="AS15" s="59">
        <f>AS11-(SUM(AS12:AS14))</f>
        <v>320</v>
      </c>
      <c r="AT15" s="59">
        <f>AT11-(SUM(AT12:AT14))</f>
        <v>0</v>
      </c>
      <c r="AU15" s="59">
        <f>AU11-(SUM(AU12:AU14))</f>
        <v>0</v>
      </c>
      <c r="AV15" s="47"/>
      <c r="AW15" s="47"/>
      <c r="AX15" s="47"/>
      <c r="AY15" s="47"/>
      <c r="AZ15" s="47"/>
      <c r="BA15" s="47"/>
      <c r="BB15" s="47"/>
    </row>
    <row r="16" spans="1:54" ht="19.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19.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320</v>
      </c>
      <c r="AT17" s="55">
        <f t="shared" ref="AT17:AU17" si="1">AT15</f>
        <v>0</v>
      </c>
      <c r="AU17" s="55">
        <f t="shared" si="1"/>
        <v>0</v>
      </c>
      <c r="AV17" s="509"/>
      <c r="AW17" s="47"/>
      <c r="AX17" s="47"/>
      <c r="AY17" s="47"/>
      <c r="AZ17" s="47"/>
      <c r="BA17" s="47"/>
      <c r="BB17" s="47"/>
    </row>
    <row r="18" spans="2:54" ht="19.5" customHeight="1" x14ac:dyDescent="0.25">
      <c r="B18" s="457" t="s">
        <v>134</v>
      </c>
      <c r="C18" s="457"/>
      <c r="D18" s="457"/>
      <c r="E18" s="60">
        <f>IFERROR(IF(ISERR(P35),Q35,IF(ISERR(Q35),P35)),"-")</f>
        <v>250</v>
      </c>
      <c r="F18" s="457" t="s">
        <v>125</v>
      </c>
      <c r="G18" s="457"/>
      <c r="H18" s="457"/>
      <c r="I18" s="51">
        <f>O34</f>
        <v>0</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20</v>
      </c>
      <c r="AM18" s="456">
        <v>5</v>
      </c>
      <c r="AO18" s="47"/>
      <c r="AP18" s="54">
        <v>13</v>
      </c>
      <c r="AQ18" s="447" t="str">
        <f>O90</f>
        <v>Nitrato de Amônio</v>
      </c>
      <c r="AR18" s="447"/>
      <c r="AS18" s="55">
        <f>IFERROR((VLOOKUP(AQ18,$V$100:$AB$179,3,0)*0.01)*AV18,0)</f>
        <v>320</v>
      </c>
      <c r="AT18" s="55">
        <f>IFERROR((VLOOKUP(AQ18,$V$100:$AB$179,5,0)*0.01)*AV18,0)</f>
        <v>0</v>
      </c>
      <c r="AU18" s="55">
        <f>IFERROR((VLOOKUP(AQ18,$V$100:$AB$179,7,0)*0.01)*AV18,0)</f>
        <v>0</v>
      </c>
      <c r="AV18" s="55">
        <f>IFERROR($AS$17*Q90/(VLOOKUP(AQ18,$V$100:$AB$179,3,0)/100),0)</f>
        <v>1103.4482758620691</v>
      </c>
      <c r="AW18" s="47"/>
      <c r="AX18" s="47"/>
      <c r="AY18" s="47"/>
      <c r="AZ18" s="47"/>
      <c r="BA18" s="47"/>
      <c r="BB18" s="47"/>
    </row>
    <row r="19" spans="2:54" ht="19.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19.5" customHeight="1" x14ac:dyDescent="0.25">
      <c r="B20" s="459" t="s">
        <v>183</v>
      </c>
      <c r="C20" s="512"/>
      <c r="D20" s="512"/>
      <c r="E20" s="460"/>
      <c r="F20" s="63" t="s">
        <v>126</v>
      </c>
      <c r="G20" s="63">
        <f>P24</f>
        <v>62.184873949579838</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19.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19.5" customHeight="1" x14ac:dyDescent="0.25">
      <c r="B22" s="64" t="s">
        <v>81</v>
      </c>
      <c r="C22" s="65">
        <f>P6</f>
        <v>2</v>
      </c>
      <c r="D22" s="63" t="s">
        <v>79</v>
      </c>
      <c r="E22" s="63">
        <f>P13</f>
        <v>38.299999999999997</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19.5" customHeight="1" x14ac:dyDescent="0.25">
      <c r="B23" s="64" t="s">
        <v>82</v>
      </c>
      <c r="C23" s="65">
        <f>P7</f>
        <v>1</v>
      </c>
      <c r="D23" s="63" t="s">
        <v>129</v>
      </c>
      <c r="E23" s="63">
        <f>P11</f>
        <v>2.7</v>
      </c>
      <c r="F23" s="63" t="s">
        <v>87</v>
      </c>
      <c r="G23" s="63">
        <f>P16</f>
        <v>4</v>
      </c>
      <c r="H23" s="63" t="s">
        <v>83</v>
      </c>
      <c r="I23" s="63">
        <f>P15</f>
        <v>20</v>
      </c>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19.5" customHeight="1" x14ac:dyDescent="0.25">
      <c r="B24" s="64" t="s">
        <v>80</v>
      </c>
      <c r="C24" s="65">
        <f>P8</f>
        <v>1</v>
      </c>
      <c r="D24" s="63" t="s">
        <v>130</v>
      </c>
      <c r="E24" s="63">
        <f>P10</f>
        <v>0.1</v>
      </c>
      <c r="F24" s="63" t="s">
        <v>89</v>
      </c>
      <c r="G24" s="63">
        <f>P17</f>
        <v>58.4</v>
      </c>
      <c r="H24" s="63" t="s">
        <v>131</v>
      </c>
      <c r="I24" s="63">
        <f>P25</f>
        <v>7.1400000000000006</v>
      </c>
      <c r="M24" s="364"/>
      <c r="N24" s="453"/>
      <c r="O24" s="51" t="s">
        <v>22</v>
      </c>
      <c r="P24" s="63">
        <f>100*(P6+P7+P8+P9)/P25</f>
        <v>62.184873949579838</v>
      </c>
      <c r="Q24" s="51" t="s">
        <v>23</v>
      </c>
      <c r="R24" s="53"/>
      <c r="AO24" s="47"/>
      <c r="AP24" s="47"/>
      <c r="AQ24" s="47"/>
      <c r="AR24" s="47"/>
      <c r="AS24" s="59">
        <f>AS26-(SUM(AS27:AS36))</f>
        <v>3.9992827586206898</v>
      </c>
      <c r="AT24" s="59">
        <f t="shared" ref="AT24:AV24" si="3">AT26-(SUM(AT27:AT36))</f>
        <v>-7.1724137931034482E-4</v>
      </c>
      <c r="AU24" s="59">
        <f t="shared" si="3"/>
        <v>-1.3793103448275865E-3</v>
      </c>
      <c r="AV24" s="59">
        <f t="shared" si="3"/>
        <v>-1.5448275862068968E-4</v>
      </c>
      <c r="AW24" s="47"/>
      <c r="AX24" s="47"/>
      <c r="AY24" s="47"/>
      <c r="AZ24" s="47"/>
      <c r="BA24" s="47"/>
      <c r="BB24" s="47"/>
    </row>
    <row r="25" spans="2:54" ht="19.5" customHeight="1" thickBot="1" x14ac:dyDescent="0.3">
      <c r="M25" s="364"/>
      <c r="N25" s="453"/>
      <c r="O25" s="51" t="s">
        <v>24</v>
      </c>
      <c r="P25" s="67">
        <f>(P6+P7+P8+P9+P11)</f>
        <v>7.1400000000000006</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19.5" customHeight="1" thickBot="1" x14ac:dyDescent="0.3">
      <c r="B26" s="485" t="s">
        <v>272</v>
      </c>
      <c r="C26" s="486"/>
      <c r="D26" s="486"/>
      <c r="E26" s="486"/>
      <c r="F26" s="486"/>
      <c r="G26" s="486"/>
      <c r="H26" s="486"/>
      <c r="I26" s="487"/>
      <c r="M26" s="69"/>
      <c r="N26" s="70"/>
      <c r="O26" s="70"/>
      <c r="P26" s="70"/>
      <c r="Q26" s="70"/>
      <c r="R26" s="71"/>
      <c r="U26" s="459" t="s">
        <v>312</v>
      </c>
      <c r="V26" s="512"/>
      <c r="W26" s="512"/>
      <c r="X26" s="512"/>
      <c r="Y26" s="512"/>
      <c r="Z26" s="460"/>
      <c r="AO26" s="47"/>
      <c r="AP26" s="461"/>
      <c r="AQ26" s="461"/>
      <c r="AR26" s="461"/>
      <c r="AS26" s="72">
        <f>AK9</f>
        <v>4</v>
      </c>
      <c r="AT26" s="72">
        <f>AK12</f>
        <v>0</v>
      </c>
      <c r="AU26" s="72">
        <f>AK15</f>
        <v>0</v>
      </c>
      <c r="AV26" s="72">
        <f>AK18</f>
        <v>0</v>
      </c>
      <c r="AW26" s="47"/>
      <c r="AX26" s="47"/>
      <c r="AY26" s="47"/>
      <c r="AZ26" s="47"/>
      <c r="BA26" s="47"/>
      <c r="BB26" s="47"/>
    </row>
    <row r="27" spans="2:54" ht="19.5" customHeight="1" thickBot="1" x14ac:dyDescent="0.3">
      <c r="B27" s="488" t="str">
        <f>IF($O$47&gt;0,$O$47,"-")</f>
        <v>ARAGUAIA Dolomítico</v>
      </c>
      <c r="C27" s="488"/>
      <c r="D27" s="73">
        <f>IF(J27&gt;0,J27,"-")</f>
        <v>0.31344792719919085</v>
      </c>
      <c r="E27" s="365" t="str">
        <f>IF(J27&gt;0,"toneladas por hectare ou,","-")</f>
        <v>toneladas por hectare ou,</v>
      </c>
      <c r="F27" s="365"/>
      <c r="G27" s="365"/>
      <c r="H27" s="365"/>
      <c r="I27" s="365"/>
      <c r="J27" s="74">
        <f>V51</f>
        <v>0.31344792719919085</v>
      </c>
      <c r="U27" s="51" t="s">
        <v>300</v>
      </c>
      <c r="V27" s="51" t="s">
        <v>313</v>
      </c>
      <c r="W27" s="51" t="s">
        <v>75</v>
      </c>
      <c r="X27" s="51" t="s">
        <v>71</v>
      </c>
      <c r="Y27" s="51" t="s">
        <v>314</v>
      </c>
      <c r="Z27" s="51" t="s">
        <v>315</v>
      </c>
      <c r="AO27" s="47"/>
      <c r="AP27" s="447" t="s">
        <v>261</v>
      </c>
      <c r="AQ27" s="447" t="str">
        <f>B29</f>
        <v xml:space="preserve">Pó de brita Fmx (62) 3924 8565 </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19.5" customHeight="1" x14ac:dyDescent="0.25">
      <c r="B28" s="488"/>
      <c r="C28" s="488"/>
      <c r="D28" s="73">
        <f>IF(J28&gt;0,J28,"-")</f>
        <v>3.1344792719919086E-2</v>
      </c>
      <c r="E28" s="365" t="str">
        <f>IF(J28&gt;0,"quilos por metro quadrado","-")</f>
        <v>quilos por metro quadrado</v>
      </c>
      <c r="F28" s="365"/>
      <c r="G28" s="365"/>
      <c r="H28" s="365"/>
      <c r="I28" s="365"/>
      <c r="J28" s="74">
        <f>J27/10</f>
        <v>3.1344792719919086E-2</v>
      </c>
      <c r="M28" s="48"/>
      <c r="N28" s="49"/>
      <c r="O28" s="49"/>
      <c r="P28" s="49"/>
      <c r="Q28" s="49"/>
      <c r="R28" s="50"/>
      <c r="U28" s="75" t="s">
        <v>41</v>
      </c>
      <c r="V28" s="75">
        <v>3000</v>
      </c>
      <c r="W28" s="75" t="s">
        <v>68</v>
      </c>
      <c r="X28" s="75" t="str">
        <f>CONCATENATE(U28," - ",W28)</f>
        <v>&lt; 5 - baixo</v>
      </c>
      <c r="Y28" s="75">
        <v>50000</v>
      </c>
      <c r="Z28" s="75">
        <v>40000</v>
      </c>
      <c r="AE28" s="75"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19.5" customHeight="1" x14ac:dyDescent="0.25">
      <c r="B29" s="488" t="str">
        <f>IF($O$50&gt;0,$O$50,"-")</f>
        <v xml:space="preserve">Pó de brita Fmx (62) 3924 8565 </v>
      </c>
      <c r="C29" s="488"/>
      <c r="D29" s="73">
        <f>IF(J29&gt;0,J29,"-")</f>
        <v>1.5879085781505742</v>
      </c>
      <c r="E29" s="365" t="str">
        <f>IF(J29&gt;0,"toneladas por hectare ou,","-")</f>
        <v>toneladas por hectare ou,</v>
      </c>
      <c r="F29" s="365"/>
      <c r="G29" s="365"/>
      <c r="H29" s="365"/>
      <c r="I29" s="365"/>
      <c r="J29" s="74">
        <f>Z49</f>
        <v>1.5879085781505742</v>
      </c>
      <c r="M29" s="364" t="s">
        <v>211</v>
      </c>
      <c r="N29" s="453"/>
      <c r="O29" s="489" t="s">
        <v>197</v>
      </c>
      <c r="P29" s="489"/>
      <c r="Q29" s="489"/>
      <c r="R29" s="53"/>
      <c r="U29" s="75" t="s">
        <v>41</v>
      </c>
      <c r="V29" s="75">
        <v>3000</v>
      </c>
      <c r="W29" s="75" t="s">
        <v>69</v>
      </c>
      <c r="X29" s="75" t="str">
        <f t="shared" ref="X29:X36" si="9">CONCATENATE(U29," - ",W29)</f>
        <v>&lt; 5 - medio</v>
      </c>
      <c r="Y29" s="75">
        <v>30000</v>
      </c>
      <c r="Z29" s="75">
        <v>30000</v>
      </c>
      <c r="AB29" s="458" t="s">
        <v>65</v>
      </c>
      <c r="AC29" s="458"/>
      <c r="AE29" s="75" t="s">
        <v>300</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19.5" customHeight="1" x14ac:dyDescent="0.25">
      <c r="B30" s="488"/>
      <c r="C30" s="488"/>
      <c r="D30" s="73">
        <f>IF(J30&gt;0,J30,"-")</f>
        <v>0.15879085781505742</v>
      </c>
      <c r="E30" s="365" t="str">
        <f>IF(J30&gt;0,"quilos por metro quadrado","-")</f>
        <v>quilos por metro quadrado</v>
      </c>
      <c r="F30" s="365"/>
      <c r="G30" s="365"/>
      <c r="H30" s="365"/>
      <c r="I30" s="365"/>
      <c r="J30" s="74">
        <f>J29/10</f>
        <v>0.15879085781505742</v>
      </c>
      <c r="M30" s="364"/>
      <c r="N30" s="453"/>
      <c r="O30" s="32">
        <v>8</v>
      </c>
      <c r="P30" s="77" t="s">
        <v>200</v>
      </c>
      <c r="Q30" s="32">
        <v>5</v>
      </c>
      <c r="R30" s="53"/>
      <c r="U30" s="75" t="s">
        <v>41</v>
      </c>
      <c r="V30" s="75">
        <v>3000</v>
      </c>
      <c r="W30" s="75" t="s">
        <v>70</v>
      </c>
      <c r="X30" s="75" t="str">
        <f t="shared" si="9"/>
        <v>&lt; 5 - adequado</v>
      </c>
      <c r="Y30" s="75">
        <v>10000</v>
      </c>
      <c r="Z30" s="75">
        <v>20000</v>
      </c>
      <c r="AB30" s="78" t="s">
        <v>33</v>
      </c>
      <c r="AC30" s="78">
        <f>VLOOKUP($P$39,$U$28:$V$36,2,0)/$E$18</f>
        <v>320</v>
      </c>
      <c r="AE30" s="75"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19.5" customHeight="1" x14ac:dyDescent="0.25">
      <c r="B31" s="524" t="s">
        <v>533</v>
      </c>
      <c r="C31" s="524"/>
      <c r="D31" s="524"/>
      <c r="E31" s="524"/>
      <c r="F31" s="524"/>
      <c r="G31" s="524"/>
      <c r="H31" s="524"/>
      <c r="I31" s="524"/>
      <c r="J31" s="74"/>
      <c r="M31" s="364"/>
      <c r="N31" s="365"/>
      <c r="O31" s="105"/>
      <c r="P31" s="105"/>
      <c r="Q31" s="105"/>
      <c r="R31" s="53"/>
      <c r="U31" s="75" t="s">
        <v>326</v>
      </c>
      <c r="V31" s="75">
        <v>50000</v>
      </c>
      <c r="W31" s="75" t="s">
        <v>68</v>
      </c>
      <c r="X31" s="75" t="str">
        <f t="shared" si="9"/>
        <v>5,1 - 10 - baixo</v>
      </c>
      <c r="Y31" s="75">
        <v>70000</v>
      </c>
      <c r="Z31" s="75">
        <v>60000</v>
      </c>
      <c r="AB31" s="78" t="s">
        <v>66</v>
      </c>
      <c r="AC31" s="78">
        <f>VLOOKUP(AB36,X28:Z36,2,0)/$E$18</f>
        <v>80</v>
      </c>
      <c r="AE31" s="75" t="s">
        <v>41</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19.5" customHeight="1" x14ac:dyDescent="0.25">
      <c r="B32" s="524"/>
      <c r="C32" s="524"/>
      <c r="D32" s="524"/>
      <c r="E32" s="524"/>
      <c r="F32" s="524"/>
      <c r="G32" s="524"/>
      <c r="H32" s="524"/>
      <c r="I32" s="524"/>
      <c r="J32" s="74"/>
      <c r="M32" s="364"/>
      <c r="N32" s="365"/>
      <c r="O32" s="80"/>
      <c r="P32" s="80"/>
      <c r="Q32" s="80"/>
      <c r="R32" s="53"/>
      <c r="U32" s="75" t="s">
        <v>326</v>
      </c>
      <c r="V32" s="75">
        <v>50000</v>
      </c>
      <c r="W32" s="75" t="s">
        <v>69</v>
      </c>
      <c r="X32" s="75" t="str">
        <f t="shared" si="9"/>
        <v>5,1 - 10 - medio</v>
      </c>
      <c r="Y32" s="75">
        <v>50000</v>
      </c>
      <c r="Z32" s="75">
        <v>40000</v>
      </c>
      <c r="AB32" s="78" t="s">
        <v>67</v>
      </c>
      <c r="AC32" s="78">
        <f>VLOOKUP($AB$39,X28:Z36,3,0)/$E$18</f>
        <v>200</v>
      </c>
      <c r="AE32" s="75" t="s">
        <v>326</v>
      </c>
      <c r="AI32" s="76">
        <v>0.2</v>
      </c>
      <c r="AK32" s="51" t="s">
        <v>292</v>
      </c>
      <c r="AO32" s="47"/>
      <c r="AP32" s="447"/>
      <c r="AQ32" s="447" t="str">
        <f t="shared" si="8"/>
        <v>EkoSil</v>
      </c>
      <c r="AR32" s="447"/>
      <c r="AS32" s="55">
        <f t="shared" si="4"/>
        <v>7.1724137931034482E-4</v>
      </c>
      <c r="AT32" s="55">
        <f t="shared" si="5"/>
        <v>7.1724137931034482E-4</v>
      </c>
      <c r="AU32" s="55">
        <f t="shared" si="6"/>
        <v>1.3793103448275865E-3</v>
      </c>
      <c r="AV32" s="55">
        <f t="shared" si="7"/>
        <v>1.5448275862068968E-4</v>
      </c>
      <c r="AW32" s="47"/>
      <c r="AX32" s="47"/>
      <c r="AY32" s="47"/>
      <c r="AZ32" s="47"/>
      <c r="BA32" s="47"/>
      <c r="BB32" s="47"/>
    </row>
    <row r="33" spans="2:57" ht="19.5" customHeight="1" thickBot="1" x14ac:dyDescent="0.3">
      <c r="B33" s="525"/>
      <c r="C33" s="525"/>
      <c r="D33" s="525"/>
      <c r="E33" s="525"/>
      <c r="F33" s="525"/>
      <c r="G33" s="525"/>
      <c r="H33" s="525"/>
      <c r="I33" s="525"/>
      <c r="J33" s="74"/>
      <c r="M33" s="364"/>
      <c r="N33" s="453"/>
      <c r="O33" s="489" t="s">
        <v>282</v>
      </c>
      <c r="P33" s="489"/>
      <c r="Q33" s="489"/>
      <c r="R33" s="53"/>
      <c r="U33" s="75" t="s">
        <v>326</v>
      </c>
      <c r="V33" s="75">
        <v>50000</v>
      </c>
      <c r="W33" s="75" t="s">
        <v>70</v>
      </c>
      <c r="X33" s="75" t="str">
        <f t="shared" si="9"/>
        <v>5,1 - 10 - adequado</v>
      </c>
      <c r="Y33" s="75">
        <v>15000</v>
      </c>
      <c r="Z33" s="75">
        <v>30000</v>
      </c>
      <c r="AE33" s="75" t="s">
        <v>511</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19.5" customHeight="1" thickBot="1" x14ac:dyDescent="0.3">
      <c r="B34" s="485" t="s">
        <v>184</v>
      </c>
      <c r="C34" s="486"/>
      <c r="D34" s="486"/>
      <c r="E34" s="486"/>
      <c r="F34" s="486"/>
      <c r="G34" s="486"/>
      <c r="H34" s="486"/>
      <c r="I34" s="487"/>
      <c r="J34" s="81">
        <f>IF(O68="Sim",P21*7.5,0)</f>
        <v>356.25</v>
      </c>
      <c r="M34" s="364"/>
      <c r="N34" s="453"/>
      <c r="O34" s="448"/>
      <c r="P34" s="448"/>
      <c r="Q34" s="448"/>
      <c r="R34" s="53"/>
      <c r="U34" s="75" t="s">
        <v>511</v>
      </c>
      <c r="V34" s="75">
        <v>80000</v>
      </c>
      <c r="W34" s="75" t="s">
        <v>68</v>
      </c>
      <c r="X34" s="75" t="str">
        <f t="shared" si="9"/>
        <v>&gt; 10 - baixo</v>
      </c>
      <c r="Y34" s="75">
        <v>120000</v>
      </c>
      <c r="Z34" s="75">
        <v>105000</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19.5" customHeight="1" thickBot="1" x14ac:dyDescent="0.3">
      <c r="B35" s="488" t="str">
        <f>IF($O$55&gt;0,$O$55,"-")</f>
        <v>Gesso Agronelli</v>
      </c>
      <c r="C35" s="488"/>
      <c r="D35" s="73">
        <f>IF(J34&gt;0,J34,"-")</f>
        <v>356.25</v>
      </c>
      <c r="E35" s="365" t="str">
        <f>IF(J34&gt;0,"quilos por hectare ou,","-")</f>
        <v>quilos por hectare ou,</v>
      </c>
      <c r="F35" s="365"/>
      <c r="G35" s="365"/>
      <c r="H35" s="365"/>
      <c r="I35" s="365"/>
      <c r="J35" s="81">
        <f>J34/10</f>
        <v>35.625</v>
      </c>
      <c r="M35" s="69"/>
      <c r="N35" s="70"/>
      <c r="O35" s="70"/>
      <c r="P35" s="83">
        <f>10000/($O$30*$Q$30)</f>
        <v>250</v>
      </c>
      <c r="Q35" s="83" t="e">
        <f>10000/((($O$32/2)+($P$32/2))*$Q$32)</f>
        <v>#DIV/0!</v>
      </c>
      <c r="R35" s="71"/>
      <c r="U35" s="75" t="s">
        <v>511</v>
      </c>
      <c r="V35" s="75">
        <v>80000</v>
      </c>
      <c r="W35" s="75" t="s">
        <v>69</v>
      </c>
      <c r="X35" s="75" t="str">
        <f t="shared" si="9"/>
        <v>&gt; 10 - medio</v>
      </c>
      <c r="Y35" s="75">
        <v>80000</v>
      </c>
      <c r="Z35" s="75">
        <v>70000</v>
      </c>
      <c r="AB35" s="457" t="s">
        <v>72</v>
      </c>
      <c r="AC35" s="457"/>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19.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t="s">
        <v>511</v>
      </c>
      <c r="V36" s="75">
        <v>80000</v>
      </c>
      <c r="W36" s="75" t="s">
        <v>70</v>
      </c>
      <c r="X36" s="75" t="str">
        <f t="shared" si="9"/>
        <v>&gt; 10 - adequado</v>
      </c>
      <c r="Y36" s="75">
        <v>20000</v>
      </c>
      <c r="Z36" s="75">
        <v>50000</v>
      </c>
      <c r="AB36" s="457" t="str">
        <f>CONCATENATE($P$39," - ",$AD$8)</f>
        <v>&gt; 10 -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19.5" customHeight="1" x14ac:dyDescent="0.25">
      <c r="B37" s="523" t="s">
        <v>534</v>
      </c>
      <c r="C37" s="523"/>
      <c r="D37" s="523"/>
      <c r="E37" s="523"/>
      <c r="F37" s="523"/>
      <c r="G37" s="523"/>
      <c r="H37" s="523"/>
      <c r="I37" s="523"/>
      <c r="J37" s="81"/>
      <c r="M37" s="48"/>
      <c r="N37" s="49"/>
      <c r="O37" s="49"/>
      <c r="P37" s="49"/>
      <c r="Q37" s="49"/>
      <c r="R37" s="50"/>
      <c r="AI37" s="76">
        <v>0.7</v>
      </c>
      <c r="AK37" s="51" t="s">
        <v>290</v>
      </c>
      <c r="AO37" s="85"/>
      <c r="AP37" s="85"/>
      <c r="AQ37" s="85"/>
      <c r="AR37" s="85"/>
      <c r="AS37" s="59">
        <f>IF(AS24&gt;0,AS24,0)</f>
        <v>3.9992827586206898</v>
      </c>
      <c r="AT37" s="59">
        <f>IF(AT24&gt;0,AT24,0)</f>
        <v>0</v>
      </c>
      <c r="AU37" s="59">
        <f>IF(AU24&gt;0,AU24,0)</f>
        <v>0</v>
      </c>
      <c r="AV37" s="59">
        <f>IF(AV24&gt;0,AV24,0)</f>
        <v>0</v>
      </c>
      <c r="AW37" s="47"/>
      <c r="AX37" s="47"/>
      <c r="AY37" s="47"/>
      <c r="AZ37" s="47"/>
      <c r="BA37" s="47"/>
      <c r="BB37" s="47"/>
    </row>
    <row r="38" spans="2:57" ht="19.5" customHeight="1" thickBot="1" x14ac:dyDescent="0.3">
      <c r="B38" s="523"/>
      <c r="C38" s="523"/>
      <c r="D38" s="523"/>
      <c r="E38" s="523"/>
      <c r="F38" s="523"/>
      <c r="G38" s="523"/>
      <c r="H38" s="523"/>
      <c r="I38" s="523"/>
      <c r="J38" s="81"/>
      <c r="M38" s="364" t="s">
        <v>212</v>
      </c>
      <c r="N38" s="365"/>
      <c r="O38" s="489" t="s">
        <v>301</v>
      </c>
      <c r="P38" s="489"/>
      <c r="Q38" s="489"/>
      <c r="R38" s="53"/>
      <c r="AB38" s="457" t="s">
        <v>73</v>
      </c>
      <c r="AC38" s="457"/>
      <c r="AI38" s="76">
        <v>0.8</v>
      </c>
      <c r="AK38" s="51"/>
      <c r="AO38" s="47"/>
      <c r="AP38" s="47"/>
      <c r="AQ38" s="47"/>
      <c r="AR38" s="47"/>
      <c r="AS38" s="47"/>
      <c r="AT38" s="47"/>
      <c r="AU38" s="47"/>
      <c r="AV38" s="47"/>
      <c r="AW38" s="47"/>
      <c r="AX38" s="47"/>
      <c r="AY38" s="47"/>
      <c r="AZ38" s="47"/>
      <c r="BA38" s="47"/>
      <c r="BB38" s="47"/>
    </row>
    <row r="39" spans="2:57" ht="19.5" customHeight="1" thickBot="1" x14ac:dyDescent="0.3">
      <c r="B39" s="355" t="s">
        <v>267</v>
      </c>
      <c r="C39" s="356"/>
      <c r="D39" s="356"/>
      <c r="E39" s="356"/>
      <c r="F39" s="356"/>
      <c r="G39" s="356"/>
      <c r="H39" s="356"/>
      <c r="I39" s="357"/>
      <c r="J39" s="81">
        <f>AV6</f>
        <v>228.57142857142858</v>
      </c>
      <c r="M39" s="364"/>
      <c r="N39" s="365"/>
      <c r="O39" s="51" t="s">
        <v>303</v>
      </c>
      <c r="P39" s="448" t="s">
        <v>511</v>
      </c>
      <c r="Q39" s="448"/>
      <c r="R39" s="53"/>
      <c r="AB39" s="457" t="str">
        <f>CONCATENATE($P$39," - ",$AD$22)</f>
        <v>&gt; 10 -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19.5" customHeight="1" x14ac:dyDescent="0.25">
      <c r="B40" s="449" t="str">
        <f>IF(O42&gt;0,O42,"-")</f>
        <v>Esterco Bovino curtido</v>
      </c>
      <c r="C40" s="449"/>
      <c r="D40" s="86">
        <f>IF(AQ58&gt;0,AQ58,"-")</f>
        <v>12</v>
      </c>
      <c r="E40" s="362" t="str">
        <f>IF(AQ58&gt;0,"quilos por cova ou planta","-")</f>
        <v>quilos por cova ou planta</v>
      </c>
      <c r="F40" s="362"/>
      <c r="G40" s="362"/>
      <c r="H40" s="362"/>
      <c r="I40" s="362"/>
      <c r="J40" s="81">
        <f>AV7</f>
        <v>222.22222222222223</v>
      </c>
      <c r="M40" s="364"/>
      <c r="N40" s="365"/>
      <c r="O40" s="25"/>
      <c r="P40" s="25"/>
      <c r="Q40" s="25"/>
      <c r="R40" s="53"/>
      <c r="AI40" s="76">
        <v>1</v>
      </c>
      <c r="AO40" s="47"/>
      <c r="AP40" s="447" t="str">
        <f>O105</f>
        <v>Ácido Bórico</v>
      </c>
      <c r="AQ40" s="447"/>
      <c r="AR40" s="55">
        <f>IFERROR($AS$37/((VLOOKUP(AP40,$V$100:$AO$179,11,0)*0.01)),0)</f>
        <v>22.853044334975369</v>
      </c>
      <c r="AS40" s="55">
        <f>IFERROR($AT$37/((VLOOKUP(AP40,$V$100:$AO$179,14,0)*0.01)),0)</f>
        <v>0</v>
      </c>
      <c r="AT40" s="55">
        <f>IFERROR($AU$37/((VLOOKUP(AP40,$V$100:$AO$179,12,0)*0.01)),0)</f>
        <v>0</v>
      </c>
      <c r="AU40" s="55">
        <f>IFERROR($AV$37/((VLOOKUP(AP40,$V$100:$AO$179,13,0)*0.01)),0)</f>
        <v>0</v>
      </c>
      <c r="AV40" s="55">
        <f>MAX(AR40:AU40)</f>
        <v>22.853044334975369</v>
      </c>
      <c r="AW40" s="55">
        <f>IFERROR(AV40*(VLOOKUP(AP40,$V$100:$AO$179,11,0)*0.01),0)</f>
        <v>3.9992827586206898</v>
      </c>
      <c r="AX40" s="55">
        <f>IFERROR(AV40*(VLOOKUP(AP40,$V$100:$AO$179,14,0)*0.01),0)</f>
        <v>0</v>
      </c>
      <c r="AY40" s="55">
        <f>IFERROR(AV40*(VLOOKUP(AP40,$V$100:$AO$179,12,0)*0.01),0)</f>
        <v>0</v>
      </c>
      <c r="AZ40" s="55">
        <f>IFERROR(AV40*(VLOOKUP(AP40,$V$100:$AO$179,13,0)*0.01),0)</f>
        <v>0</v>
      </c>
      <c r="BA40" s="47"/>
      <c r="BB40" s="47"/>
    </row>
    <row r="41" spans="2:57" ht="19.5" customHeight="1" x14ac:dyDescent="0.25">
      <c r="B41" s="449" t="str">
        <f>IF(AQ6&gt;0,AQ6,"-")</f>
        <v>Termofosfato YOORIN</v>
      </c>
      <c r="C41" s="449"/>
      <c r="D41" s="87">
        <f>IF(J39&gt;0,J39,"-")</f>
        <v>228.57142857142858</v>
      </c>
      <c r="E41" s="365" t="str">
        <f>IF(J39&gt;0,"gramas por cova ou planta","-")</f>
        <v>gramas por cova ou planta</v>
      </c>
      <c r="F41" s="365"/>
      <c r="G41" s="365"/>
      <c r="H41" s="365"/>
      <c r="I41" s="365"/>
      <c r="J41" s="81">
        <f>AV8</f>
        <v>0</v>
      </c>
      <c r="M41" s="364"/>
      <c r="N41" s="365"/>
      <c r="O41" s="489" t="s">
        <v>308</v>
      </c>
      <c r="P41" s="489"/>
      <c r="Q41" s="489"/>
      <c r="R41" s="53"/>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0">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19.5" customHeight="1" x14ac:dyDescent="0.25">
      <c r="B42" s="449" t="str">
        <f>IF(AQ7&gt;0,AQ7,"-")</f>
        <v>Superfosfato simples</v>
      </c>
      <c r="C42" s="449"/>
      <c r="D42" s="87">
        <f t="shared" ref="D42:D49" si="11">IF(J40&gt;0,J40,"-")</f>
        <v>222.22222222222223</v>
      </c>
      <c r="E42" s="365" t="str">
        <f t="shared" ref="E42:E49" si="12">IF(J40&gt;0,"gramas por planta","-")</f>
        <v>gramas por planta</v>
      </c>
      <c r="F42" s="365"/>
      <c r="G42" s="365"/>
      <c r="H42" s="365"/>
      <c r="I42" s="365"/>
      <c r="J42" s="81">
        <f>AV12</f>
        <v>166.66666666666669</v>
      </c>
      <c r="M42" s="364"/>
      <c r="N42" s="365"/>
      <c r="O42" s="483" t="s">
        <v>292</v>
      </c>
      <c r="P42" s="513"/>
      <c r="Q42" s="484"/>
      <c r="R42" s="53"/>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0"/>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19.5" customHeight="1" thickBot="1" x14ac:dyDescent="0.3">
      <c r="B43" s="449" t="str">
        <f>IF(AQ8&gt;0,AQ8,"-")</f>
        <v>-</v>
      </c>
      <c r="C43" s="449"/>
      <c r="D43" s="87" t="str">
        <f t="shared" si="11"/>
        <v>-</v>
      </c>
      <c r="E43" s="365" t="str">
        <f t="shared" si="12"/>
        <v>-</v>
      </c>
      <c r="F43" s="365"/>
      <c r="G43" s="365"/>
      <c r="H43" s="365"/>
      <c r="I43" s="365"/>
      <c r="J43" s="81">
        <f>AV13</f>
        <v>1250</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0"/>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19.5" customHeight="1" thickBot="1" x14ac:dyDescent="0.3">
      <c r="B44" s="449" t="str">
        <f>IF(AQ12&gt;0,AQ12,"-")</f>
        <v>Cloreto de potássio</v>
      </c>
      <c r="C44" s="449"/>
      <c r="D44" s="87">
        <f t="shared" si="11"/>
        <v>166.66666666666669</v>
      </c>
      <c r="E44" s="365" t="str">
        <f t="shared" si="12"/>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19.5" customHeight="1" x14ac:dyDescent="0.25">
      <c r="B45" s="449" t="str">
        <f>IF(AQ13&gt;0,AQ13,"-")</f>
        <v>EkoSil</v>
      </c>
      <c r="C45" s="449"/>
      <c r="D45" s="87">
        <f t="shared" si="11"/>
        <v>1250</v>
      </c>
      <c r="E45" s="365" t="str">
        <f t="shared" si="12"/>
        <v>gramas por planta</v>
      </c>
      <c r="F45" s="365"/>
      <c r="G45" s="365"/>
      <c r="H45" s="365"/>
      <c r="I45" s="365"/>
      <c r="J45" s="81">
        <f>AV18</f>
        <v>1103.4482758620691</v>
      </c>
      <c r="M45" s="48"/>
      <c r="N45" s="49"/>
      <c r="O45" s="500" t="s">
        <v>305</v>
      </c>
      <c r="P45" s="500"/>
      <c r="Q45" s="500"/>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19.5" customHeight="1" x14ac:dyDescent="0.25">
      <c r="B46" s="449" t="str">
        <f>IF(AQ14&gt;0,AQ14,"-")</f>
        <v>-</v>
      </c>
      <c r="C46" s="449"/>
      <c r="D46" s="87" t="str">
        <f t="shared" si="11"/>
        <v>-</v>
      </c>
      <c r="E46" s="365" t="str">
        <f t="shared" si="12"/>
        <v>-</v>
      </c>
      <c r="F46" s="365"/>
      <c r="G46" s="365"/>
      <c r="H46" s="365"/>
      <c r="I46" s="365"/>
      <c r="J46" s="81">
        <f>AV19</f>
        <v>0</v>
      </c>
      <c r="M46" s="364" t="s">
        <v>213</v>
      </c>
      <c r="N46" s="365"/>
      <c r="O46" s="503"/>
      <c r="P46" s="503"/>
      <c r="Q46" s="503"/>
      <c r="R46" s="53"/>
      <c r="U46" s="75" t="s">
        <v>109</v>
      </c>
      <c r="V46" s="89">
        <v>70</v>
      </c>
      <c r="X46" s="455" t="s">
        <v>268</v>
      </c>
      <c r="Y46" s="455"/>
      <c r="Z46" s="63">
        <f>IFERROR(VLOOKUP(O50,$V$87:$AE$95,10,0),0)</f>
        <v>9.1197279464721319</v>
      </c>
      <c r="AO46" s="47"/>
      <c r="AP46" s="47"/>
      <c r="AQ46" s="47"/>
      <c r="AR46" s="47"/>
      <c r="AS46" s="47"/>
      <c r="AT46" s="47"/>
      <c r="AU46" s="47"/>
      <c r="AV46" s="47"/>
      <c r="AW46" s="47"/>
      <c r="AX46" s="47"/>
      <c r="AY46" s="47"/>
      <c r="AZ46" s="47"/>
      <c r="BA46" s="47"/>
      <c r="BB46" s="47"/>
    </row>
    <row r="47" spans="2:57" ht="19.5" customHeight="1" x14ac:dyDescent="0.25">
      <c r="B47" s="449" t="str">
        <f>IF(AQ18&gt;0,AQ18,"-")</f>
        <v>Nitrato de Amônio</v>
      </c>
      <c r="C47" s="449"/>
      <c r="D47" s="87">
        <f t="shared" si="11"/>
        <v>1103.4482758620691</v>
      </c>
      <c r="E47" s="365" t="str">
        <f t="shared" si="12"/>
        <v>gramas por planta</v>
      </c>
      <c r="F47" s="365"/>
      <c r="G47" s="365"/>
      <c r="H47" s="365"/>
      <c r="I47" s="365"/>
      <c r="J47" s="81">
        <f>AV20</f>
        <v>0</v>
      </c>
      <c r="M47" s="364"/>
      <c r="N47" s="365"/>
      <c r="O47" s="483" t="s">
        <v>138</v>
      </c>
      <c r="P47" s="484"/>
      <c r="Q47" s="92">
        <v>0.5</v>
      </c>
      <c r="R47" s="53"/>
      <c r="U47" s="51" t="s">
        <v>111</v>
      </c>
      <c r="V47" s="63">
        <f>IFERROR((((V46-P24)*P25)/V49),0)</f>
        <v>0.62689585439838169</v>
      </c>
      <c r="X47" s="455" t="s">
        <v>203</v>
      </c>
      <c r="Y47" s="455"/>
      <c r="Z47" s="63">
        <f>IFERROR((($V$50/$Z$46)*$V$47),0)</f>
        <v>3.1758171563011484</v>
      </c>
      <c r="AO47" s="47"/>
      <c r="BA47" s="47"/>
      <c r="BB47" s="47"/>
    </row>
    <row r="48" spans="2:57" ht="19.5" customHeight="1" x14ac:dyDescent="0.25">
      <c r="B48" s="449" t="str">
        <f>IF(AQ19&gt;0,AQ19,"-")</f>
        <v>-</v>
      </c>
      <c r="C48" s="449"/>
      <c r="D48" s="87" t="str">
        <f t="shared" si="11"/>
        <v>-</v>
      </c>
      <c r="E48" s="365" t="str">
        <f t="shared" si="12"/>
        <v>-</v>
      </c>
      <c r="F48" s="365"/>
      <c r="G48" s="365"/>
      <c r="H48" s="365"/>
      <c r="I48" s="365"/>
      <c r="J48" s="91"/>
      <c r="M48" s="364"/>
      <c r="N48" s="365"/>
      <c r="O48" s="506" t="s">
        <v>306</v>
      </c>
      <c r="P48" s="506"/>
      <c r="Q48" s="506"/>
      <c r="R48" s="53"/>
      <c r="U48" s="51" t="s">
        <v>201</v>
      </c>
      <c r="V48" s="63">
        <f>IF(V47&lt;0,(0),IF(V47&gt;=0,(V47)))</f>
        <v>0.62689585439838169</v>
      </c>
      <c r="X48" s="455" t="s">
        <v>201</v>
      </c>
      <c r="Y48" s="455"/>
      <c r="Z48" s="63">
        <f>IFERROR(IF(Z47&lt;0,(0),IF(Z47&gt;=0,(Z47))),0)</f>
        <v>3.1758171563011484</v>
      </c>
    </row>
    <row r="49" spans="2:50" ht="19.5" customHeight="1" x14ac:dyDescent="0.25">
      <c r="B49" s="449" t="str">
        <f>IF(AQ20&gt;0,AQ20,"-")</f>
        <v>-</v>
      </c>
      <c r="C49" s="449"/>
      <c r="D49" s="87" t="str">
        <f t="shared" si="11"/>
        <v>-</v>
      </c>
      <c r="E49" s="365" t="str">
        <f t="shared" si="12"/>
        <v>-</v>
      </c>
      <c r="F49" s="365"/>
      <c r="G49" s="365"/>
      <c r="H49" s="365"/>
      <c r="I49" s="365"/>
      <c r="M49" s="364"/>
      <c r="N49" s="365"/>
      <c r="O49" s="503"/>
      <c r="P49" s="503"/>
      <c r="Q49" s="503"/>
      <c r="R49" s="53"/>
      <c r="U49" s="51" t="s">
        <v>110</v>
      </c>
      <c r="V49" s="63">
        <f>IFERROR(VLOOKUP($O$47,$V$56:$AA$68,5,0),0)</f>
        <v>89.01</v>
      </c>
      <c r="X49" s="455" t="s">
        <v>273</v>
      </c>
      <c r="Y49" s="455"/>
      <c r="Z49" s="63">
        <f>Z48*$Q$50</f>
        <v>1.5879085781505742</v>
      </c>
    </row>
    <row r="50" spans="2:50" ht="19.5" customHeight="1" x14ac:dyDescent="0.25">
      <c r="B50" s="476" t="s">
        <v>535</v>
      </c>
      <c r="C50" s="476"/>
      <c r="D50" s="476"/>
      <c r="E50" s="476"/>
      <c r="F50" s="476"/>
      <c r="G50" s="476"/>
      <c r="H50" s="476"/>
      <c r="I50" s="476"/>
      <c r="M50" s="364"/>
      <c r="N50" s="365"/>
      <c r="O50" s="483" t="s">
        <v>157</v>
      </c>
      <c r="P50" s="484"/>
      <c r="Q50" s="92">
        <v>0.5</v>
      </c>
      <c r="R50" s="53"/>
      <c r="U50" s="51" t="s">
        <v>193</v>
      </c>
      <c r="V50" s="63">
        <f>IFERROR(VLOOKUP($O$47,$V$56:$AA$68,6,0),0)</f>
        <v>46.2</v>
      </c>
      <c r="AT50" s="457" t="s">
        <v>280</v>
      </c>
      <c r="AU50" s="457"/>
      <c r="AV50" s="457"/>
    </row>
    <row r="51" spans="2:50" ht="19.5" customHeight="1" thickBot="1" x14ac:dyDescent="0.3">
      <c r="B51" s="476"/>
      <c r="C51" s="476"/>
      <c r="D51" s="476"/>
      <c r="E51" s="476"/>
      <c r="F51" s="476"/>
      <c r="G51" s="476"/>
      <c r="H51" s="476"/>
      <c r="I51" s="476"/>
      <c r="M51" s="69"/>
      <c r="N51" s="70"/>
      <c r="O51" s="70"/>
      <c r="P51" s="70"/>
      <c r="Q51" s="70"/>
      <c r="R51" s="71"/>
      <c r="U51" s="51" t="s">
        <v>273</v>
      </c>
      <c r="V51" s="63">
        <f>V48*$Q$47</f>
        <v>0.31344792719919085</v>
      </c>
      <c r="AT51" s="110" t="s">
        <v>291</v>
      </c>
      <c r="AU51" s="111" t="s">
        <v>286</v>
      </c>
      <c r="AV51" s="110">
        <v>15</v>
      </c>
    </row>
    <row r="52" spans="2:50" ht="19.5" customHeight="1" thickBot="1" x14ac:dyDescent="0.3">
      <c r="B52" s="476"/>
      <c r="C52" s="476"/>
      <c r="D52" s="476"/>
      <c r="E52" s="476"/>
      <c r="F52" s="476"/>
      <c r="G52" s="476"/>
      <c r="H52" s="476"/>
      <c r="I52" s="476"/>
      <c r="AT52" s="110" t="s">
        <v>291</v>
      </c>
      <c r="AU52" s="111" t="s">
        <v>293</v>
      </c>
      <c r="AV52" s="110">
        <v>4</v>
      </c>
    </row>
    <row r="53" spans="2:50" ht="19.5" customHeight="1" thickBot="1" x14ac:dyDescent="0.3">
      <c r="B53" s="477"/>
      <c r="C53" s="477"/>
      <c r="D53" s="477"/>
      <c r="E53" s="477"/>
      <c r="F53" s="477"/>
      <c r="G53" s="477"/>
      <c r="H53" s="477"/>
      <c r="I53" s="477"/>
      <c r="M53" s="48"/>
      <c r="N53" s="49"/>
      <c r="O53" s="49"/>
      <c r="P53" s="49"/>
      <c r="Q53" s="49"/>
      <c r="R53" s="50"/>
      <c r="AP53" s="108"/>
      <c r="AQ53" s="108"/>
      <c r="AS53" s="108"/>
      <c r="AT53" s="110" t="s">
        <v>291</v>
      </c>
      <c r="AU53" s="111" t="s">
        <v>158</v>
      </c>
      <c r="AV53" s="110">
        <v>6</v>
      </c>
    </row>
    <row r="54" spans="2:50" ht="19.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110" t="s">
        <v>291</v>
      </c>
      <c r="AU54" s="111" t="s">
        <v>292</v>
      </c>
      <c r="AV54" s="110">
        <v>12</v>
      </c>
    </row>
    <row r="55" spans="2:50" ht="19.5" customHeight="1" x14ac:dyDescent="0.25">
      <c r="B55" s="449" t="str">
        <f>IF(AP40&gt;0,AP40,"-")</f>
        <v>Ácido Bórico</v>
      </c>
      <c r="C55" s="449"/>
      <c r="D55" s="87">
        <f>IF(AV40&gt;0,AV40,"-")</f>
        <v>22.853044334975369</v>
      </c>
      <c r="E55" s="365" t="str">
        <f>IF(AV40&gt;0,"gramas por planta","-")</f>
        <v>gramas por planta</v>
      </c>
      <c r="F55" s="365"/>
      <c r="G55" s="365"/>
      <c r="H55" s="365"/>
      <c r="I55" s="365"/>
      <c r="M55" s="364"/>
      <c r="N55" s="365"/>
      <c r="O55" s="448" t="s">
        <v>188</v>
      </c>
      <c r="P55" s="448"/>
      <c r="Q55" s="448"/>
      <c r="R55" s="53"/>
      <c r="U55" s="344"/>
      <c r="V55" s="344"/>
      <c r="W55" s="344"/>
      <c r="X55" s="95" t="s">
        <v>105</v>
      </c>
      <c r="Y55" s="95" t="s">
        <v>106</v>
      </c>
      <c r="Z55" s="95" t="s">
        <v>107</v>
      </c>
      <c r="AA55" s="95" t="s">
        <v>195</v>
      </c>
      <c r="AP55" s="465"/>
      <c r="AQ55" s="465"/>
      <c r="AS55" s="465"/>
      <c r="AT55" s="110" t="s">
        <v>291</v>
      </c>
      <c r="AU55" s="111" t="s">
        <v>285</v>
      </c>
      <c r="AV55" s="110">
        <v>14</v>
      </c>
    </row>
    <row r="56" spans="2:50" ht="19.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110" t="s">
        <v>291</v>
      </c>
      <c r="AU56" s="111" t="s">
        <v>287</v>
      </c>
      <c r="AV56" s="110">
        <v>10</v>
      </c>
    </row>
    <row r="57" spans="2:50" ht="19.5" customHeight="1" x14ac:dyDescent="0.25">
      <c r="B57" s="449" t="str">
        <f>IF(AP42&gt;0,AP42,"-")</f>
        <v>Sulfato de zinco</v>
      </c>
      <c r="C57" s="449"/>
      <c r="D57" s="87" t="str">
        <f>IF(AV42&gt;0,AV42,"-")</f>
        <v>-</v>
      </c>
      <c r="E57" s="365" t="str">
        <f t="shared" ref="E57:E59" si="13">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302</v>
      </c>
      <c r="AR57" s="463"/>
      <c r="AS57" s="25"/>
      <c r="AT57" s="110" t="s">
        <v>291</v>
      </c>
      <c r="AU57" s="111" t="s">
        <v>288</v>
      </c>
      <c r="AV57" s="110">
        <v>14</v>
      </c>
    </row>
    <row r="58" spans="2:50" ht="19.5" customHeight="1" x14ac:dyDescent="0.25">
      <c r="B58" s="449" t="str">
        <f>IF(AP43&gt;0,AP43,"-")</f>
        <v>Sulfato de manganês</v>
      </c>
      <c r="C58" s="449"/>
      <c r="D58" s="87" t="str">
        <f>IF(AV43&gt;0,AV43,"-")</f>
        <v>-</v>
      </c>
      <c r="E58" s="365" t="str">
        <f t="shared" si="13"/>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f>IFERROR(VLOOKUP($O$42,AU51:AV59,2,0),0)</f>
        <v>12</v>
      </c>
      <c r="AR58" s="463"/>
      <c r="AS58" s="25"/>
      <c r="AT58" s="110" t="s">
        <v>291</v>
      </c>
      <c r="AU58" s="111" t="s">
        <v>289</v>
      </c>
      <c r="AV58" s="110">
        <v>15</v>
      </c>
    </row>
    <row r="59" spans="2:50" ht="19.5" customHeight="1" x14ac:dyDescent="0.25">
      <c r="B59" s="449" t="str">
        <f>IF(AP44&gt;0,AP44,"-")</f>
        <v>-</v>
      </c>
      <c r="C59" s="449"/>
      <c r="D59" s="87" t="str">
        <f>IF(AV44&gt;0,AV44,"-")</f>
        <v>-</v>
      </c>
      <c r="E59" s="365" t="str">
        <f t="shared" si="13"/>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S59" s="25"/>
      <c r="AT59" s="110" t="s">
        <v>291</v>
      </c>
      <c r="AU59" s="111" t="s">
        <v>290</v>
      </c>
      <c r="AV59" s="110">
        <v>6</v>
      </c>
    </row>
    <row r="60" spans="2:50" ht="19.5" customHeight="1" x14ac:dyDescent="0.25">
      <c r="B60" s="521" t="s">
        <v>536</v>
      </c>
      <c r="C60" s="521"/>
      <c r="D60" s="521"/>
      <c r="E60" s="521"/>
      <c r="F60" s="521"/>
      <c r="G60" s="521"/>
      <c r="H60" s="521"/>
      <c r="I60" s="521"/>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25"/>
      <c r="AU60" s="25"/>
      <c r="AV60" s="25"/>
      <c r="AW60" s="25"/>
      <c r="AX60" s="25"/>
    </row>
    <row r="61" spans="2:50" ht="19.5" customHeight="1" x14ac:dyDescent="0.25">
      <c r="B61" s="521"/>
      <c r="C61" s="521"/>
      <c r="D61" s="521"/>
      <c r="E61" s="521"/>
      <c r="F61" s="521"/>
      <c r="G61" s="521"/>
      <c r="H61" s="521"/>
      <c r="I61" s="521"/>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25"/>
      <c r="AU61" s="25"/>
      <c r="AV61" s="25"/>
      <c r="AW61" s="25"/>
      <c r="AX61" s="25"/>
    </row>
    <row r="62" spans="2:50" ht="19.5" customHeight="1" x14ac:dyDescent="0.25">
      <c r="B62" s="521"/>
      <c r="C62" s="521"/>
      <c r="D62" s="521"/>
      <c r="E62" s="521"/>
      <c r="F62" s="521"/>
      <c r="G62" s="521"/>
      <c r="H62" s="521"/>
      <c r="I62" s="521"/>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S62" s="25"/>
      <c r="AT62" s="25"/>
      <c r="AU62" s="25"/>
      <c r="AV62" s="25"/>
      <c r="AW62" s="25"/>
      <c r="AX62" s="25"/>
    </row>
    <row r="63" spans="2:50" ht="19.5" customHeight="1" thickBot="1" x14ac:dyDescent="0.3">
      <c r="B63" s="522"/>
      <c r="C63" s="522"/>
      <c r="D63" s="522"/>
      <c r="E63" s="522"/>
      <c r="F63" s="522"/>
      <c r="G63" s="522"/>
      <c r="H63" s="522"/>
      <c r="I63" s="522"/>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S63" s="25"/>
      <c r="AT63" s="25"/>
      <c r="AU63" s="25"/>
      <c r="AV63" s="25"/>
      <c r="AW63" s="25"/>
      <c r="AX63" s="25"/>
    </row>
    <row r="64" spans="2:50" ht="19.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S64" s="25"/>
      <c r="AT64" s="25"/>
      <c r="AU64" s="25"/>
      <c r="AV64" s="25"/>
      <c r="AW64" s="25"/>
      <c r="AX64" s="25"/>
    </row>
    <row r="65" spans="2:50" ht="19.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S65" s="25"/>
      <c r="AT65" s="25"/>
      <c r="AU65" s="25"/>
      <c r="AV65" s="25"/>
      <c r="AW65" s="25"/>
      <c r="AX65" s="25"/>
    </row>
    <row r="66" spans="2:50" ht="19.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S66" s="25"/>
      <c r="AT66" s="25"/>
      <c r="AU66" s="25"/>
      <c r="AV66" s="25"/>
      <c r="AW66" s="25"/>
      <c r="AX66" s="25"/>
    </row>
    <row r="67" spans="2:50" ht="19.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S67" s="25"/>
      <c r="AT67" s="25"/>
      <c r="AU67" s="25"/>
      <c r="AV67" s="25"/>
      <c r="AW67" s="25"/>
      <c r="AX67" s="25"/>
    </row>
    <row r="68" spans="2:50" ht="19.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S68" s="25"/>
      <c r="AT68" s="25"/>
      <c r="AU68" s="25"/>
      <c r="AV68" s="25"/>
      <c r="AW68" s="25"/>
      <c r="AX68" s="25"/>
    </row>
    <row r="69" spans="2:50" ht="19.5" customHeight="1" thickBot="1" x14ac:dyDescent="0.3">
      <c r="M69" s="69"/>
      <c r="N69" s="70"/>
      <c r="O69" s="70"/>
      <c r="P69" s="70"/>
      <c r="Q69" s="70"/>
      <c r="R69" s="71"/>
      <c r="AS69" s="25"/>
      <c r="AT69" s="25"/>
      <c r="AU69" s="25"/>
      <c r="AV69" s="25"/>
      <c r="AW69" s="25"/>
      <c r="AX69" s="25"/>
    </row>
    <row r="70" spans="2:50" ht="19.5" customHeight="1" thickBot="1" x14ac:dyDescent="0.3">
      <c r="AS70" s="25"/>
      <c r="AT70" s="25"/>
      <c r="AU70" s="25"/>
      <c r="AV70" s="25"/>
      <c r="AW70" s="25"/>
      <c r="AX70" s="25"/>
    </row>
    <row r="71" spans="2:50" ht="19.5" customHeight="1" x14ac:dyDescent="0.25">
      <c r="M71" s="48"/>
      <c r="N71" s="49"/>
      <c r="O71" s="49"/>
      <c r="P71" s="49"/>
      <c r="Q71" s="49"/>
      <c r="R71" s="50"/>
      <c r="U71" s="347" t="s">
        <v>136</v>
      </c>
      <c r="V71" s="347" t="s">
        <v>76</v>
      </c>
      <c r="W71" s="347" t="s">
        <v>77</v>
      </c>
      <c r="X71" s="347" t="s">
        <v>284</v>
      </c>
      <c r="Y71" s="347"/>
      <c r="Z71" s="347"/>
      <c r="AS71" s="25"/>
      <c r="AT71" s="25"/>
      <c r="AU71" s="25"/>
      <c r="AV71" s="25"/>
      <c r="AW71" s="25"/>
      <c r="AX71" s="25"/>
    </row>
    <row r="72" spans="2:50" ht="19.5" customHeight="1" x14ac:dyDescent="0.25">
      <c r="M72" s="364" t="s">
        <v>215</v>
      </c>
      <c r="N72" s="365"/>
      <c r="O72" s="450" t="s">
        <v>252</v>
      </c>
      <c r="P72" s="451"/>
      <c r="Q72" s="452"/>
      <c r="R72" s="53"/>
      <c r="U72" s="347"/>
      <c r="V72" s="347"/>
      <c r="W72" s="347"/>
      <c r="X72" s="13" t="s">
        <v>81</v>
      </c>
      <c r="Y72" s="13" t="s">
        <v>82</v>
      </c>
      <c r="Z72" s="13" t="s">
        <v>83</v>
      </c>
      <c r="AS72" s="25"/>
      <c r="AT72" s="25"/>
      <c r="AU72" s="25"/>
      <c r="AV72" s="25"/>
      <c r="AW72" s="25"/>
      <c r="AX72" s="25"/>
    </row>
    <row r="73" spans="2:50" ht="19.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S73" s="25"/>
      <c r="AT73" s="25"/>
      <c r="AU73" s="25"/>
      <c r="AV73" s="25"/>
      <c r="AW73" s="25"/>
      <c r="AX73" s="25"/>
    </row>
    <row r="74" spans="2:50" ht="19.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S74" s="25"/>
      <c r="AT74" s="25"/>
      <c r="AU74" s="25"/>
      <c r="AV74" s="25"/>
      <c r="AW74" s="25"/>
      <c r="AX74" s="25"/>
    </row>
    <row r="75" spans="2:50" ht="19.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S75" s="25"/>
      <c r="AT75" s="25"/>
      <c r="AU75" s="25"/>
      <c r="AV75" s="25"/>
      <c r="AW75" s="25"/>
      <c r="AX75" s="25"/>
    </row>
    <row r="76" spans="2:50" ht="19.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S76" s="25"/>
      <c r="AT76" s="25"/>
      <c r="AU76" s="25"/>
      <c r="AV76" s="25"/>
      <c r="AW76" s="25"/>
      <c r="AX76" s="25"/>
    </row>
    <row r="77" spans="2:50" ht="19.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S77" s="25"/>
      <c r="AT77" s="25"/>
      <c r="AU77" s="25"/>
      <c r="AV77" s="25"/>
      <c r="AW77" s="25"/>
      <c r="AX77" s="25"/>
    </row>
    <row r="78" spans="2:50" ht="19.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S78" s="25"/>
      <c r="AT78" s="25"/>
      <c r="AU78" s="25"/>
      <c r="AV78" s="25"/>
      <c r="AW78" s="25"/>
      <c r="AX78" s="25"/>
    </row>
    <row r="79" spans="2:50" ht="19.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S79" s="25"/>
      <c r="AT79" s="25"/>
      <c r="AU79" s="25"/>
      <c r="AV79" s="25"/>
      <c r="AW79" s="25"/>
      <c r="AX79" s="25"/>
    </row>
    <row r="80" spans="2:50" ht="19.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S80" s="25"/>
      <c r="AT80" s="25"/>
      <c r="AU80" s="25"/>
      <c r="AV80" s="25"/>
      <c r="AW80" s="25"/>
      <c r="AX80" s="25"/>
    </row>
    <row r="81" spans="13:50" ht="19.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S81" s="25"/>
      <c r="AT81" s="25"/>
      <c r="AU81" s="25"/>
      <c r="AV81" s="25"/>
      <c r="AW81" s="25"/>
      <c r="AX81" s="25"/>
    </row>
    <row r="82" spans="13:50" ht="19.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S82" s="25"/>
      <c r="AT82" s="25"/>
      <c r="AU82" s="25"/>
      <c r="AV82" s="25"/>
      <c r="AW82" s="25"/>
      <c r="AX82" s="25"/>
    </row>
    <row r="83" spans="13:50" ht="19.5" customHeight="1" x14ac:dyDescent="0.25">
      <c r="M83" s="364"/>
      <c r="N83" s="365"/>
      <c r="O83" s="448" t="s">
        <v>116</v>
      </c>
      <c r="P83" s="448"/>
      <c r="Q83" s="92">
        <v>0.5</v>
      </c>
      <c r="R83" s="53"/>
      <c r="AS83" s="25"/>
      <c r="AT83" s="25"/>
      <c r="AU83" s="25"/>
      <c r="AV83" s="25"/>
      <c r="AW83" s="25"/>
      <c r="AX83" s="25"/>
    </row>
    <row r="84" spans="13:50" ht="19.5" customHeight="1" x14ac:dyDescent="0.25">
      <c r="M84" s="364"/>
      <c r="N84" s="365"/>
      <c r="O84" s="448"/>
      <c r="P84" s="448"/>
      <c r="Q84" s="92"/>
      <c r="R84" s="53"/>
      <c r="AS84" s="25"/>
      <c r="AT84" s="25"/>
      <c r="AU84" s="25"/>
      <c r="AV84" s="25"/>
      <c r="AW84" s="25"/>
      <c r="AX84" s="25"/>
    </row>
    <row r="85" spans="13:50" ht="19.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S85" s="25"/>
      <c r="AT85" s="25"/>
      <c r="AU85" s="25"/>
      <c r="AV85" s="25"/>
      <c r="AW85" s="25"/>
      <c r="AX85" s="25"/>
    </row>
    <row r="86" spans="13:50" ht="19.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S86" s="25"/>
      <c r="AT86" s="25"/>
      <c r="AU86" s="25"/>
      <c r="AV86" s="25"/>
      <c r="AW86" s="25"/>
      <c r="AX86" s="25"/>
    </row>
    <row r="87" spans="13:50" ht="19.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4">Y160</f>
        <v>8.7999999999999995E-2</v>
      </c>
      <c r="Z87" s="99">
        <f t="shared" si="14"/>
        <v>0.2</v>
      </c>
      <c r="AA87" s="99">
        <f t="shared" si="14"/>
        <v>2.83</v>
      </c>
      <c r="AB87" s="99">
        <f t="shared" si="14"/>
        <v>3.4</v>
      </c>
      <c r="AC87" s="100">
        <f>AC160*0.602</f>
        <v>1.5155244755244754</v>
      </c>
      <c r="AD87" s="100">
        <f>AD160*0.715</f>
        <v>5.4634551495016606</v>
      </c>
      <c r="AE87" s="100">
        <f t="shared" ref="AE87:AE95" si="15">AB87+AC87+AD87</f>
        <v>10.378979625026137</v>
      </c>
      <c r="AS87" s="25"/>
      <c r="AT87" s="25"/>
      <c r="AU87" s="25"/>
      <c r="AV87" s="25"/>
      <c r="AW87" s="25"/>
      <c r="AX87" s="25"/>
    </row>
    <row r="88" spans="13:50" ht="19.5" customHeight="1" x14ac:dyDescent="0.25">
      <c r="M88" s="364"/>
      <c r="N88" s="365"/>
      <c r="O88" s="450" t="s">
        <v>254</v>
      </c>
      <c r="P88" s="451"/>
      <c r="Q88" s="452"/>
      <c r="R88" s="53"/>
      <c r="U88" s="466"/>
      <c r="V88" s="99" t="str">
        <f t="shared" ref="V88:W95" si="16">V161</f>
        <v>Kamafugito</v>
      </c>
      <c r="W88" s="99">
        <f t="shared" si="16"/>
        <v>0</v>
      </c>
      <c r="X88" s="99">
        <f t="shared" ref="X88:X95" si="17">AL161</f>
        <v>0</v>
      </c>
      <c r="Y88" s="99">
        <f t="shared" si="14"/>
        <v>1.5069999999999999</v>
      </c>
      <c r="Z88" s="99">
        <f t="shared" si="14"/>
        <v>3.5</v>
      </c>
      <c r="AA88" s="99">
        <f t="shared" si="14"/>
        <v>3.3250000000000002</v>
      </c>
      <c r="AB88" s="99">
        <f t="shared" si="14"/>
        <v>4</v>
      </c>
      <c r="AC88" s="100">
        <f t="shared" ref="AC88:AC95" si="18">AC161*0.602</f>
        <v>1.7217199999999999</v>
      </c>
      <c r="AD88" s="100">
        <f t="shared" ref="AD88:AD95" si="19">AD161*0.715</f>
        <v>0</v>
      </c>
      <c r="AE88" s="100">
        <f t="shared" si="15"/>
        <v>5.7217199999999995</v>
      </c>
      <c r="AS88" s="25"/>
      <c r="AT88" s="25"/>
      <c r="AU88" s="25"/>
      <c r="AV88" s="25"/>
      <c r="AW88" s="25"/>
      <c r="AX88" s="25"/>
    </row>
    <row r="89" spans="13:50" ht="19.5" customHeight="1" x14ac:dyDescent="0.25">
      <c r="M89" s="364"/>
      <c r="N89" s="365"/>
      <c r="O89" s="450" t="s">
        <v>251</v>
      </c>
      <c r="P89" s="451"/>
      <c r="Q89" s="452"/>
      <c r="R89" s="53"/>
      <c r="U89" s="466"/>
      <c r="V89" s="99" t="str">
        <f t="shared" si="16"/>
        <v>Micaxisto (61) 3233-9368</v>
      </c>
      <c r="W89" s="99">
        <f t="shared" si="16"/>
        <v>0</v>
      </c>
      <c r="X89" s="99">
        <f t="shared" si="17"/>
        <v>0</v>
      </c>
      <c r="Y89" s="99">
        <f t="shared" si="14"/>
        <v>4.4999999999999998E-2</v>
      </c>
      <c r="Z89" s="99">
        <f t="shared" si="14"/>
        <v>0.1</v>
      </c>
      <c r="AA89" s="99">
        <f t="shared" si="14"/>
        <v>4.32</v>
      </c>
      <c r="AB89" s="99">
        <f t="shared" si="14"/>
        <v>5.2</v>
      </c>
      <c r="AC89" s="100">
        <f t="shared" si="18"/>
        <v>0.75776223776223772</v>
      </c>
      <c r="AD89" s="100">
        <f t="shared" si="19"/>
        <v>0.83139534883720934</v>
      </c>
      <c r="AE89" s="100">
        <f t="shared" si="15"/>
        <v>6.7891575865994476</v>
      </c>
      <c r="AS89" s="25"/>
      <c r="AT89" s="25"/>
      <c r="AU89" s="25"/>
      <c r="AV89" s="25"/>
      <c r="AW89" s="25"/>
      <c r="AX89" s="25"/>
    </row>
    <row r="90" spans="13:50" ht="19.5" customHeight="1" x14ac:dyDescent="0.25">
      <c r="M90" s="364"/>
      <c r="N90" s="365"/>
      <c r="O90" s="448" t="s">
        <v>93</v>
      </c>
      <c r="P90" s="448"/>
      <c r="Q90" s="92">
        <v>1</v>
      </c>
      <c r="R90" s="53"/>
      <c r="U90" s="466"/>
      <c r="V90" s="99" t="str">
        <f t="shared" si="16"/>
        <v xml:space="preserve">Pó de brita Fmx (62) 3924 8565 </v>
      </c>
      <c r="W90" s="99">
        <f t="shared" si="16"/>
        <v>0</v>
      </c>
      <c r="X90" s="99">
        <f t="shared" si="17"/>
        <v>0</v>
      </c>
      <c r="Y90" s="99">
        <f t="shared" si="14"/>
        <v>0</v>
      </c>
      <c r="Z90" s="99">
        <f t="shared" si="14"/>
        <v>0</v>
      </c>
      <c r="AA90" s="99">
        <f t="shared" si="14"/>
        <v>4.99</v>
      </c>
      <c r="AB90" s="99">
        <f t="shared" si="14"/>
        <v>6</v>
      </c>
      <c r="AC90" s="100">
        <f t="shared" si="18"/>
        <v>2.5258741258741257</v>
      </c>
      <c r="AD90" s="100">
        <f t="shared" si="19"/>
        <v>0.59385382059800662</v>
      </c>
      <c r="AE90" s="100">
        <f t="shared" si="15"/>
        <v>9.1197279464721319</v>
      </c>
      <c r="AS90" s="25"/>
      <c r="AT90" s="25"/>
      <c r="AU90" s="25"/>
      <c r="AV90" s="25"/>
      <c r="AW90" s="25"/>
      <c r="AX90" s="25"/>
    </row>
    <row r="91" spans="13:50" ht="19.5" customHeight="1" x14ac:dyDescent="0.25">
      <c r="M91" s="364"/>
      <c r="N91" s="365"/>
      <c r="O91" s="448"/>
      <c r="P91" s="448"/>
      <c r="Q91" s="92"/>
      <c r="R91" s="53"/>
      <c r="U91" s="466"/>
      <c r="V91" s="99" t="str">
        <f t="shared" si="16"/>
        <v>Remax Mistel (61) 99414-1975</v>
      </c>
      <c r="W91" s="99">
        <f t="shared" si="16"/>
        <v>0</v>
      </c>
      <c r="X91" s="99">
        <f t="shared" si="17"/>
        <v>43.8</v>
      </c>
      <c r="Y91" s="99">
        <f t="shared" si="14"/>
        <v>4.4999999999999998E-2</v>
      </c>
      <c r="Z91" s="99">
        <f t="shared" si="14"/>
        <v>0.1</v>
      </c>
      <c r="AA91" s="99">
        <f t="shared" si="14"/>
        <v>2.1949999999999998</v>
      </c>
      <c r="AB91" s="99">
        <f t="shared" si="14"/>
        <v>2.6</v>
      </c>
      <c r="AC91" s="100">
        <f t="shared" si="18"/>
        <v>11.282237762237763</v>
      </c>
      <c r="AD91" s="100">
        <f t="shared" si="19"/>
        <v>8.8959302325581397</v>
      </c>
      <c r="AE91" s="100">
        <f t="shared" si="15"/>
        <v>22.778167994795901</v>
      </c>
      <c r="AS91" s="25"/>
      <c r="AT91" s="25"/>
      <c r="AU91" s="25"/>
      <c r="AV91" s="25"/>
      <c r="AW91" s="25"/>
      <c r="AX91" s="25"/>
    </row>
    <row r="92" spans="13:50" ht="19.5" customHeight="1" x14ac:dyDescent="0.25">
      <c r="M92" s="364"/>
      <c r="N92" s="365"/>
      <c r="O92" s="448"/>
      <c r="P92" s="448"/>
      <c r="Q92" s="92"/>
      <c r="R92" s="53"/>
      <c r="U92" s="466"/>
      <c r="V92" s="99">
        <f t="shared" si="16"/>
        <v>0</v>
      </c>
      <c r="W92" s="99">
        <f t="shared" si="16"/>
        <v>0</v>
      </c>
      <c r="X92" s="99">
        <f t="shared" si="17"/>
        <v>0</v>
      </c>
      <c r="Y92" s="99">
        <f t="shared" si="14"/>
        <v>0</v>
      </c>
      <c r="Z92" s="99">
        <f t="shared" si="14"/>
        <v>0</v>
      </c>
      <c r="AA92" s="99">
        <f t="shared" si="14"/>
        <v>0</v>
      </c>
      <c r="AB92" s="99">
        <f t="shared" si="14"/>
        <v>0</v>
      </c>
      <c r="AC92" s="100">
        <f t="shared" si="18"/>
        <v>0</v>
      </c>
      <c r="AD92" s="100">
        <f t="shared" si="19"/>
        <v>0</v>
      </c>
      <c r="AE92" s="100">
        <f t="shared" si="15"/>
        <v>0</v>
      </c>
      <c r="AS92" s="25"/>
      <c r="AT92" s="25"/>
      <c r="AU92" s="25"/>
      <c r="AV92" s="25"/>
      <c r="AW92" s="25"/>
      <c r="AX92" s="25"/>
    </row>
    <row r="93" spans="13:50" ht="19.5" customHeight="1" x14ac:dyDescent="0.25">
      <c r="M93" s="101"/>
      <c r="N93" s="25"/>
      <c r="O93" s="25"/>
      <c r="P93" s="25"/>
      <c r="Q93" s="25"/>
      <c r="R93" s="53"/>
      <c r="U93" s="466"/>
      <c r="V93" s="99">
        <f t="shared" si="16"/>
        <v>0</v>
      </c>
      <c r="W93" s="99">
        <f t="shared" si="16"/>
        <v>0</v>
      </c>
      <c r="X93" s="99">
        <f t="shared" si="17"/>
        <v>0</v>
      </c>
      <c r="Y93" s="99">
        <f t="shared" si="14"/>
        <v>0</v>
      </c>
      <c r="Z93" s="99">
        <f t="shared" si="14"/>
        <v>0</v>
      </c>
      <c r="AA93" s="99">
        <f t="shared" si="14"/>
        <v>0</v>
      </c>
      <c r="AB93" s="99">
        <f t="shared" si="14"/>
        <v>0</v>
      </c>
      <c r="AC93" s="100">
        <f t="shared" si="18"/>
        <v>0</v>
      </c>
      <c r="AD93" s="100">
        <f t="shared" si="19"/>
        <v>0</v>
      </c>
      <c r="AE93" s="100">
        <f t="shared" si="15"/>
        <v>0</v>
      </c>
      <c r="AS93" s="25"/>
      <c r="AT93" s="25"/>
      <c r="AU93" s="25"/>
      <c r="AV93" s="25"/>
      <c r="AW93" s="25"/>
      <c r="AX93" s="25"/>
    </row>
    <row r="94" spans="13:50" ht="19.5" customHeight="1" x14ac:dyDescent="0.25">
      <c r="M94" s="101"/>
      <c r="N94" s="25"/>
      <c r="O94" s="365" t="s">
        <v>264</v>
      </c>
      <c r="P94" s="365"/>
      <c r="Q94" s="365"/>
      <c r="R94" s="53"/>
      <c r="U94" s="466"/>
      <c r="V94" s="99">
        <f t="shared" si="16"/>
        <v>0</v>
      </c>
      <c r="W94" s="99">
        <f t="shared" si="16"/>
        <v>0</v>
      </c>
      <c r="X94" s="99">
        <f t="shared" si="17"/>
        <v>0</v>
      </c>
      <c r="Y94" s="99">
        <f t="shared" si="14"/>
        <v>0</v>
      </c>
      <c r="Z94" s="99">
        <f t="shared" si="14"/>
        <v>0</v>
      </c>
      <c r="AA94" s="99">
        <f t="shared" si="14"/>
        <v>0</v>
      </c>
      <c r="AB94" s="99">
        <f t="shared" si="14"/>
        <v>0</v>
      </c>
      <c r="AC94" s="100">
        <f t="shared" si="18"/>
        <v>0</v>
      </c>
      <c r="AD94" s="100">
        <f t="shared" si="19"/>
        <v>0</v>
      </c>
      <c r="AE94" s="100">
        <f t="shared" si="15"/>
        <v>0</v>
      </c>
      <c r="AS94" s="25"/>
      <c r="AT94" s="25"/>
      <c r="AU94" s="25"/>
      <c r="AV94" s="25"/>
      <c r="AW94" s="25"/>
      <c r="AX94" s="25"/>
    </row>
    <row r="95" spans="13:50" ht="19.5" customHeight="1" thickBot="1" x14ac:dyDescent="0.3">
      <c r="M95" s="69"/>
      <c r="N95" s="70"/>
      <c r="O95" s="70"/>
      <c r="P95" s="70"/>
      <c r="Q95" s="70"/>
      <c r="R95" s="71"/>
      <c r="U95" s="466"/>
      <c r="V95" s="99">
        <f t="shared" si="16"/>
        <v>0</v>
      </c>
      <c r="W95" s="99">
        <f t="shared" si="16"/>
        <v>0</v>
      </c>
      <c r="X95" s="99">
        <f t="shared" si="17"/>
        <v>0</v>
      </c>
      <c r="Y95" s="99">
        <f t="shared" si="14"/>
        <v>0</v>
      </c>
      <c r="Z95" s="99">
        <f t="shared" si="14"/>
        <v>0</v>
      </c>
      <c r="AA95" s="99">
        <f t="shared" si="14"/>
        <v>0</v>
      </c>
      <c r="AB95" s="99">
        <f t="shared" si="14"/>
        <v>0</v>
      </c>
      <c r="AC95" s="100">
        <f t="shared" si="18"/>
        <v>0</v>
      </c>
      <c r="AD95" s="100">
        <f t="shared" si="19"/>
        <v>0</v>
      </c>
      <c r="AE95" s="100">
        <f t="shared" si="15"/>
        <v>0</v>
      </c>
      <c r="AS95" s="25"/>
      <c r="AT95" s="25"/>
      <c r="AU95" s="25"/>
      <c r="AV95" s="25"/>
      <c r="AW95" s="25"/>
      <c r="AX95" s="25"/>
    </row>
    <row r="96" spans="13:50" ht="19.5" customHeight="1" thickBot="1" x14ac:dyDescent="0.3">
      <c r="AS96" s="25"/>
      <c r="AT96" s="25"/>
      <c r="AU96" s="25"/>
      <c r="AV96" s="25"/>
      <c r="AW96" s="25"/>
      <c r="AX96" s="25"/>
    </row>
    <row r="97" spans="1:50" ht="19.5" customHeight="1" x14ac:dyDescent="0.25">
      <c r="A97" s="26"/>
      <c r="M97" s="48"/>
      <c r="N97" s="49"/>
      <c r="O97" s="49"/>
      <c r="P97" s="49"/>
      <c r="Q97" s="49"/>
      <c r="R97" s="50"/>
      <c r="AS97" s="25"/>
      <c r="AT97" s="25"/>
      <c r="AU97" s="25"/>
      <c r="AV97" s="25"/>
      <c r="AW97" s="25"/>
      <c r="AX97" s="25"/>
    </row>
    <row r="98" spans="1:50" ht="19.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c r="AS98" s="25"/>
      <c r="AT98" s="25"/>
      <c r="AU98" s="25"/>
      <c r="AV98" s="25"/>
      <c r="AW98" s="25"/>
      <c r="AX98" s="25"/>
    </row>
    <row r="99" spans="1:50" ht="19.5" customHeight="1" x14ac:dyDescent="0.25">
      <c r="A99" s="94"/>
      <c r="M99" s="364" t="s">
        <v>262</v>
      </c>
      <c r="N99" s="453"/>
      <c r="O99" s="103">
        <f>$AC$30</f>
        <v>320</v>
      </c>
      <c r="P99" s="103">
        <f>$AC$31</f>
        <v>80</v>
      </c>
      <c r="Q99" s="103">
        <f>$AC$32</f>
        <v>200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c r="AS99" s="25"/>
      <c r="AT99" s="25"/>
      <c r="AU99" s="25"/>
      <c r="AV99" s="25"/>
      <c r="AW99" s="25"/>
      <c r="AX99" s="25"/>
    </row>
    <row r="100" spans="1:50" ht="19.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c r="AS100" s="25"/>
      <c r="AT100" s="25"/>
      <c r="AU100" s="25"/>
      <c r="AV100" s="25"/>
      <c r="AW100" s="25"/>
      <c r="AX100" s="25"/>
    </row>
    <row r="101" spans="1:50" ht="19.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c r="AS101" s="25"/>
      <c r="AT101" s="25"/>
      <c r="AU101" s="25"/>
      <c r="AV101" s="25"/>
      <c r="AW101" s="25"/>
      <c r="AX101" s="25"/>
    </row>
    <row r="102" spans="1:50" ht="19.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c r="AS102" s="25"/>
      <c r="AT102" s="25"/>
      <c r="AU102" s="25"/>
      <c r="AV102" s="25"/>
      <c r="AW102" s="25"/>
      <c r="AX102" s="25"/>
    </row>
    <row r="103" spans="1:50" ht="19.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c r="AS103" s="25"/>
      <c r="AT103" s="25"/>
      <c r="AU103" s="25"/>
      <c r="AV103" s="25"/>
      <c r="AW103" s="25"/>
      <c r="AX103" s="25"/>
    </row>
    <row r="104" spans="1:50" ht="19.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c r="AS104" s="25"/>
      <c r="AT104" s="25"/>
      <c r="AU104" s="25"/>
      <c r="AV104" s="25"/>
      <c r="AW104" s="25"/>
      <c r="AX104" s="25"/>
    </row>
    <row r="105" spans="1:50" ht="19.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c r="AS105" s="25"/>
      <c r="AT105" s="25"/>
      <c r="AU105" s="25"/>
      <c r="AV105" s="25"/>
      <c r="AW105" s="25"/>
      <c r="AX105" s="25"/>
    </row>
    <row r="106" spans="1:50" ht="19.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50" ht="19.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50" ht="19.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50" ht="19.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50" ht="19.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50" ht="19.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50" ht="19.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19.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19.5" customHeight="1" x14ac:dyDescent="0.25">
      <c r="M114" s="101" t="s">
        <v>262</v>
      </c>
      <c r="N114" s="103">
        <f>AS26</f>
        <v>4</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19.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19.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19.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19.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19.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19.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19.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19.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19.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19.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19.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19.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19.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19.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19.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19.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19.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19.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19.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19.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19.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19.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19.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19.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19.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19.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19.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19.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19.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19.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19.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19.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19.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19.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19.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19.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19.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19.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19.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19.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19.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19.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19.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19.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19.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19.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19.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19.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19.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19.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19.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19.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19.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19.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19.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19.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19.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19.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19.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19.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19.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19.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19.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19.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19.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0">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dataValidations count="5">
    <dataValidation type="list" allowBlank="1" showInputMessage="1" showErrorMessage="1" sqref="O105:Q109">
      <formula1>$V$170:$V$179</formula1>
    </dataValidation>
    <dataValidation type="list" allowBlank="1" showInputMessage="1" showErrorMessage="1" sqref="O68 O176 N159 O174">
      <formula1>$AG$29:$AG$30</formula1>
    </dataValidation>
    <dataValidation type="list" allowBlank="1" showInputMessage="1" showErrorMessage="1" sqref="P39:Q39">
      <formula1>$AE$31:$AE$33</formula1>
    </dataValidation>
    <dataValidation type="list" allowBlank="1" showInputMessage="1" showErrorMessage="1" sqref="Q82:Q84 Q90:Q92 Q74:Q76 Q47 Q50">
      <formula1>$AI$29:$AI$40</formula1>
    </dataValidation>
    <dataValidation type="list" allowBlank="1" showInputMessage="1" showErrorMessage="1" sqref="O42:Q42">
      <formula1>$AK$29:$AK$38</formula1>
    </dataValidation>
  </dataValidations>
  <hyperlinks>
    <hyperlink ref="M4" location="Apresentação!A1" display="Voltar"/>
    <hyperlink ref="M4:N4" location="Painel!A1" display="Voltar"/>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corretivos'!$C$3:$C$62</xm:f>
          </x14:formula1>
          <xm:sqref>O74:P76 O82:P84 O90:P92</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corretivos'!$C$104:$C$113</xm:f>
          </x14:formula1>
          <xm:sqref>O55:Q55</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L3" sqref="L3:L4"/>
    </sheetView>
  </sheetViews>
  <sheetFormatPr defaultRowHeight="19.5" customHeight="1" outlineLevelCol="1" x14ac:dyDescent="0.25"/>
  <cols>
    <col min="1" max="1" width="5.7109375" style="23" customWidth="1"/>
    <col min="2" max="2" width="37.28515625" style="23" customWidth="1"/>
    <col min="3" max="3" width="29.5703125" style="23" customWidth="1"/>
    <col min="4" max="4" width="21.7109375" style="23" bestFit="1" customWidth="1"/>
    <col min="5" max="7" width="16.7109375" style="23" customWidth="1"/>
    <col min="8" max="8" width="29.42578125" style="23" bestFit="1" customWidth="1"/>
    <col min="9" max="9" width="21.7109375" style="23" bestFit="1" customWidth="1"/>
    <col min="10" max="12" width="13" style="23" customWidth="1"/>
    <col min="13" max="13" width="36.5703125" style="23" customWidth="1"/>
    <col min="14" max="14" width="13.140625" style="23" bestFit="1" customWidth="1"/>
    <col min="15" max="15" width="29.7109375" style="23" customWidth="1"/>
    <col min="16" max="16" width="18.42578125" style="23" customWidth="1"/>
    <col min="17" max="17" width="49.140625" style="23" customWidth="1"/>
    <col min="18" max="18" width="8" style="23" customWidth="1"/>
    <col min="19" max="19" width="11.42578125" style="23" bestFit="1" customWidth="1"/>
    <col min="20" max="20" width="30.140625" style="23" hidden="1" customWidth="1" outlineLevel="1"/>
    <col min="21" max="21" width="43.42578125" style="23" hidden="1" customWidth="1" outlineLevel="1"/>
    <col min="22" max="22" width="65" style="23" hidden="1" customWidth="1" outlineLevel="1"/>
    <col min="23" max="23" width="21.28515625" style="23" hidden="1" customWidth="1" outlineLevel="1"/>
    <col min="24" max="24" width="27.42578125" style="23" hidden="1" customWidth="1" outlineLevel="1"/>
    <col min="25" max="25" width="22.42578125" style="23" hidden="1" customWidth="1" outlineLevel="1"/>
    <col min="26" max="26" width="22" style="23" hidden="1" customWidth="1" outlineLevel="1"/>
    <col min="27" max="27" width="16.85546875" style="23" hidden="1" customWidth="1" outlineLevel="1"/>
    <col min="28" max="28" width="21.5703125" style="23" hidden="1" customWidth="1" outlineLevel="1"/>
    <col min="29" max="29" width="16.85546875" style="23" hidden="1" customWidth="1" outlineLevel="1"/>
    <col min="30" max="30" width="24.42578125" style="23" hidden="1" customWidth="1" outlineLevel="1"/>
    <col min="31" max="31" width="36.140625" style="23" hidden="1" customWidth="1" outlineLevel="1"/>
    <col min="32" max="32" width="25.5703125" style="23" hidden="1" customWidth="1" outlineLevel="1"/>
    <col min="33" max="33" width="22" style="23" hidden="1" customWidth="1" outlineLevel="1"/>
    <col min="34" max="34" width="21.5703125" style="23" hidden="1" customWidth="1" outlineLevel="1"/>
    <col min="35" max="35" width="24.7109375" style="23" hidden="1" customWidth="1" outlineLevel="1"/>
    <col min="36" max="36" width="14.28515625" style="23" hidden="1" customWidth="1" outlineLevel="1"/>
    <col min="37" max="37" width="32.42578125" style="23" hidden="1" customWidth="1" outlineLevel="1"/>
    <col min="38" max="38" width="14.7109375" style="23" hidden="1" customWidth="1" outlineLevel="1"/>
    <col min="39" max="39" width="34.28515625" style="23" hidden="1" customWidth="1" outlineLevel="1"/>
    <col min="40" max="40" width="20.85546875" style="23" hidden="1" customWidth="1" outlineLevel="1"/>
    <col min="41" max="41" width="21.28515625" style="23" hidden="1" customWidth="1" outlineLevel="1"/>
    <col min="42" max="42" width="65" style="23" hidden="1" customWidth="1" outlineLevel="1"/>
    <col min="43" max="43" width="16.7109375" style="23" hidden="1" customWidth="1" outlineLevel="1"/>
    <col min="44" max="44" width="45.85546875" style="23" hidden="1" customWidth="1" outlineLevel="1"/>
    <col min="45" max="45" width="16.7109375" style="23" hidden="1" customWidth="1" outlineLevel="1"/>
    <col min="46" max="46" width="13.7109375" style="23" hidden="1" customWidth="1" outlineLevel="1"/>
    <col min="47" max="47" width="31.42578125" style="23" hidden="1" customWidth="1" outlineLevel="1"/>
    <col min="48" max="48" width="11.85546875" style="23" hidden="1" customWidth="1" outlineLevel="1"/>
    <col min="49" max="49" width="23.5703125" style="23" hidden="1" customWidth="1" outlineLevel="1"/>
    <col min="50" max="50" width="22.42578125" style="23" hidden="1" customWidth="1" outlineLevel="1"/>
    <col min="51" max="51" width="28.5703125" style="23" hidden="1" customWidth="1" outlineLevel="1"/>
    <col min="52" max="52" width="23" style="23" hidden="1" customWidth="1" outlineLevel="1"/>
    <col min="53" max="54" width="16.7109375" style="23" hidden="1" customWidth="1" outlineLevel="1"/>
    <col min="55" max="55" width="9.140625" style="23" hidden="1" customWidth="1" outlineLevel="1"/>
    <col min="56" max="56" width="9.140625" style="23" collapsed="1"/>
    <col min="57" max="16384" width="9.140625" style="23"/>
  </cols>
  <sheetData>
    <row r="1" spans="1:54" ht="19.5" customHeight="1" thickBot="1" x14ac:dyDescent="0.3"/>
    <row r="2" spans="1:54" ht="19.5" customHeight="1" thickBot="1" x14ac:dyDescent="0.3">
      <c r="M2" s="588" t="s">
        <v>271</v>
      </c>
      <c r="N2" s="589"/>
      <c r="O2" s="589"/>
      <c r="P2" s="589"/>
      <c r="Q2" s="589"/>
      <c r="R2" s="590"/>
      <c r="AO2" s="47"/>
      <c r="AP2" s="47"/>
      <c r="AQ2" s="47"/>
      <c r="AR2" s="47"/>
      <c r="AS2" s="47"/>
      <c r="AT2" s="47"/>
      <c r="AU2" s="47"/>
      <c r="AV2" s="47"/>
      <c r="AW2" s="47"/>
      <c r="AX2" s="47"/>
      <c r="AY2" s="47"/>
      <c r="AZ2" s="47"/>
      <c r="BA2" s="47"/>
      <c r="BB2" s="47"/>
    </row>
    <row r="3" spans="1:54" ht="19.5" customHeight="1" x14ac:dyDescent="0.25">
      <c r="K3" s="259"/>
      <c r="M3" s="212"/>
      <c r="N3" s="213"/>
      <c r="O3" s="213"/>
      <c r="P3" s="213"/>
      <c r="Q3" s="213"/>
      <c r="R3" s="214"/>
      <c r="U3" s="584" t="s">
        <v>56</v>
      </c>
      <c r="V3" s="584"/>
      <c r="W3" s="584"/>
      <c r="X3" s="584"/>
      <c r="Y3" s="538" t="s">
        <v>59</v>
      </c>
      <c r="Z3" s="538"/>
      <c r="AA3" s="538"/>
      <c r="AB3" s="538"/>
      <c r="AC3" s="538"/>
      <c r="AD3" s="538"/>
      <c r="AO3" s="47"/>
      <c r="AP3" s="47"/>
      <c r="AQ3" s="47"/>
      <c r="AR3" s="47"/>
      <c r="AS3" s="47"/>
      <c r="AT3" s="47"/>
      <c r="AU3" s="47"/>
      <c r="AV3" s="47"/>
      <c r="AW3" s="47"/>
      <c r="AX3" s="47"/>
      <c r="AY3" s="47"/>
      <c r="AZ3" s="47"/>
      <c r="BA3" s="47"/>
      <c r="BB3" s="47"/>
    </row>
    <row r="4" spans="1:54" ht="19.5" customHeight="1" x14ac:dyDescent="0.25">
      <c r="M4" s="376" t="s">
        <v>210</v>
      </c>
      <c r="N4" s="552"/>
      <c r="O4" s="582" t="s">
        <v>196</v>
      </c>
      <c r="P4" s="582"/>
      <c r="Q4" s="31" t="s">
        <v>0</v>
      </c>
      <c r="R4" s="216"/>
      <c r="U4" s="584"/>
      <c r="V4" s="584"/>
      <c r="W4" s="584"/>
      <c r="X4" s="584"/>
      <c r="Y4" s="538"/>
      <c r="Z4" s="538"/>
      <c r="AA4" s="538"/>
      <c r="AB4" s="538"/>
      <c r="AC4" s="538"/>
      <c r="AD4" s="538"/>
      <c r="AO4" s="47"/>
      <c r="AP4" s="447" t="s">
        <v>258</v>
      </c>
      <c r="AQ4" s="447" t="s">
        <v>259</v>
      </c>
      <c r="AR4" s="447"/>
      <c r="AS4" s="220" t="s">
        <v>33</v>
      </c>
      <c r="AT4" s="220" t="s">
        <v>223</v>
      </c>
      <c r="AU4" s="220" t="s">
        <v>224</v>
      </c>
      <c r="AV4" s="508" t="s">
        <v>260</v>
      </c>
      <c r="AW4" s="47"/>
      <c r="AX4" s="47"/>
      <c r="AY4" s="47"/>
      <c r="AZ4" s="47"/>
      <c r="BA4" s="47"/>
      <c r="BB4" s="47"/>
    </row>
    <row r="5" spans="1:54" ht="19.5" customHeight="1" x14ac:dyDescent="0.25">
      <c r="K5" s="246" t="s">
        <v>564</v>
      </c>
      <c r="M5" s="376"/>
      <c r="N5" s="552"/>
      <c r="O5" s="21" t="s">
        <v>1</v>
      </c>
      <c r="P5" s="32">
        <v>6.9</v>
      </c>
      <c r="Q5" s="21" t="s">
        <v>2</v>
      </c>
      <c r="R5" s="216"/>
      <c r="U5" s="584"/>
      <c r="V5" s="584"/>
      <c r="W5" s="584"/>
      <c r="X5" s="584"/>
      <c r="Y5" s="538"/>
      <c r="Z5" s="538"/>
      <c r="AA5" s="538"/>
      <c r="AB5" s="538"/>
      <c r="AC5" s="538"/>
      <c r="AD5" s="538"/>
      <c r="AO5" s="47"/>
      <c r="AP5" s="447"/>
      <c r="AQ5" s="447"/>
      <c r="AR5" s="447"/>
      <c r="AS5" s="55">
        <f>$AC$30</f>
        <v>1320</v>
      </c>
      <c r="AT5" s="55">
        <f>$AC$31</f>
        <v>1520</v>
      </c>
      <c r="AU5" s="55">
        <f>$AC$32</f>
        <v>1120</v>
      </c>
      <c r="AV5" s="509"/>
      <c r="AW5" s="47"/>
      <c r="AX5" s="47"/>
      <c r="AY5" s="47"/>
      <c r="AZ5" s="47"/>
      <c r="BA5" s="47"/>
      <c r="BB5" s="47"/>
    </row>
    <row r="6" spans="1:54" ht="19.5" customHeight="1" x14ac:dyDescent="0.25">
      <c r="K6" s="247" t="s">
        <v>370</v>
      </c>
      <c r="M6" s="376"/>
      <c r="N6" s="552"/>
      <c r="O6" s="21" t="s">
        <v>3</v>
      </c>
      <c r="P6" s="56">
        <v>2.9</v>
      </c>
      <c r="Q6" s="21" t="s">
        <v>55</v>
      </c>
      <c r="R6" s="216"/>
      <c r="U6" s="21" t="s">
        <v>29</v>
      </c>
      <c r="V6" s="538" t="s">
        <v>51</v>
      </c>
      <c r="W6" s="538"/>
      <c r="X6" s="538"/>
      <c r="Y6" s="538"/>
      <c r="Z6" s="538"/>
      <c r="AA6" s="538"/>
      <c r="AB6" s="538"/>
      <c r="AC6" s="538"/>
      <c r="AD6" s="538"/>
      <c r="AO6" s="47"/>
      <c r="AP6" s="220">
        <v>1</v>
      </c>
      <c r="AQ6" s="517">
        <f>O71</f>
        <v>0</v>
      </c>
      <c r="AR6" s="518"/>
      <c r="AS6" s="55">
        <f>IFERROR((VLOOKUP(AQ6,$V$100:$AB$179,3,0)*0.01)*AV6,0)</f>
        <v>0</v>
      </c>
      <c r="AT6" s="55">
        <f>IFERROR((VLOOKUP(AQ6,$V$100:$AB$179,5,0)*0.01)*AV6,0)</f>
        <v>0</v>
      </c>
      <c r="AU6" s="55">
        <f>IFERROR((VLOOKUP(AQ6,$V$100:$AB$179,7,0)*0.01)*AV6,0)</f>
        <v>0</v>
      </c>
      <c r="AV6" s="55">
        <f>IFERROR($AT$5*Q71/(VLOOKUP(AQ6,$V$100:$AB$179,5,0)/100),0)</f>
        <v>0</v>
      </c>
      <c r="AW6" s="47"/>
      <c r="AX6" s="47"/>
      <c r="AY6" s="47"/>
      <c r="AZ6" s="47"/>
      <c r="BA6" s="47"/>
      <c r="BB6" s="47"/>
    </row>
    <row r="7" spans="1:54" ht="19.5" customHeight="1" x14ac:dyDescent="0.25">
      <c r="K7" s="247" t="s">
        <v>371</v>
      </c>
      <c r="M7" s="376"/>
      <c r="N7" s="552"/>
      <c r="O7" s="21" t="s">
        <v>4</v>
      </c>
      <c r="P7" s="32">
        <v>0.5</v>
      </c>
      <c r="Q7" s="21" t="s">
        <v>55</v>
      </c>
      <c r="R7" s="216"/>
      <c r="U7" s="21" t="s">
        <v>23</v>
      </c>
      <c r="V7" s="21" t="s">
        <v>25</v>
      </c>
      <c r="W7" s="21" t="s">
        <v>26</v>
      </c>
      <c r="X7" s="21" t="s">
        <v>31</v>
      </c>
      <c r="Y7" s="21" t="s">
        <v>53</v>
      </c>
      <c r="Z7" s="538" t="s">
        <v>54</v>
      </c>
      <c r="AA7" s="538"/>
      <c r="AB7" s="538"/>
      <c r="AC7" s="21" t="s">
        <v>57</v>
      </c>
      <c r="AD7" s="21" t="s">
        <v>58</v>
      </c>
      <c r="AF7" s="586" t="s">
        <v>247</v>
      </c>
      <c r="AG7" s="586"/>
      <c r="AH7" s="586"/>
      <c r="AI7" s="586"/>
      <c r="AJ7" s="586"/>
      <c r="AK7" s="586"/>
      <c r="AL7" s="586"/>
      <c r="AM7" s="586"/>
      <c r="AO7" s="47"/>
      <c r="AP7" s="220">
        <v>2</v>
      </c>
      <c r="AQ7" s="517" t="str">
        <f>O72</f>
        <v>Termofosfato YOORIN</v>
      </c>
      <c r="AR7" s="518"/>
      <c r="AS7" s="55">
        <f>IFERROR((VLOOKUP(AQ7,$V$100:$AB$179,3,0)*0.01)*AV7,0)</f>
        <v>0</v>
      </c>
      <c r="AT7" s="55">
        <f>IFERROR((VLOOKUP(AQ7,$V$100:$AB$179,5,0)*0.01)*AV7,0)</f>
        <v>1520.0000000000002</v>
      </c>
      <c r="AU7" s="55">
        <f>IFERROR((VLOOKUP(AQ7,$V$100:$AB$179,7,0)*0.01)*AV7,0)</f>
        <v>0</v>
      </c>
      <c r="AV7" s="55">
        <f>IFERROR($AT$5*Q72/(VLOOKUP(AQ7,$V$100:$AB$179,5,0)/100),0)</f>
        <v>8685.7142857142862</v>
      </c>
      <c r="AW7" s="47"/>
      <c r="AX7" s="47"/>
      <c r="AY7" s="47"/>
      <c r="AZ7" s="47"/>
      <c r="BA7" s="47"/>
      <c r="BB7" s="47"/>
    </row>
    <row r="8" spans="1:54" ht="19.5" customHeight="1" thickBot="1" x14ac:dyDescent="0.3">
      <c r="K8" s="247" t="s">
        <v>335</v>
      </c>
      <c r="M8" s="376"/>
      <c r="N8" s="552"/>
      <c r="O8" s="21" t="s">
        <v>5</v>
      </c>
      <c r="P8" s="56">
        <v>0.33</v>
      </c>
      <c r="Q8" s="21" t="s">
        <v>55</v>
      </c>
      <c r="R8" s="216"/>
      <c r="U8" s="21" t="s">
        <v>37</v>
      </c>
      <c r="V8" s="21" t="s">
        <v>39</v>
      </c>
      <c r="W8" s="21" t="s">
        <v>30</v>
      </c>
      <c r="X8" s="21" t="s">
        <v>43</v>
      </c>
      <c r="Y8" s="21" t="str">
        <f>IF($P$21&lt;=15.99,"correto","erro")</f>
        <v>erro</v>
      </c>
      <c r="Z8" s="21" t="str">
        <f>IF($P$13&lt;=12,"baixo","erro")</f>
        <v>baixo</v>
      </c>
      <c r="AA8" s="21" t="str">
        <f>IF(AND($P$13&gt;=12.01,$P$13&lt;=18),"medio","erro")</f>
        <v>erro</v>
      </c>
      <c r="AB8" s="21" t="str">
        <f>IF($P$13&gt;18,"adequado","erro")</f>
        <v>erro</v>
      </c>
      <c r="AC8" s="21" t="str">
        <f>IF(Z8="baixo","baixo",IF(AA8="medio","medio",IF(AB8="adequado","adequado",0)))</f>
        <v>baixo</v>
      </c>
      <c r="AD8" s="538" t="str">
        <f>VLOOKUP("correto",Y8:AC11,5,0)</f>
        <v>baixo</v>
      </c>
      <c r="AF8" s="21" t="s">
        <v>250</v>
      </c>
      <c r="AG8" s="586" t="s">
        <v>248</v>
      </c>
      <c r="AH8" s="586"/>
      <c r="AI8" s="538" t="s">
        <v>249</v>
      </c>
      <c r="AJ8" s="538"/>
      <c r="AK8" s="21" t="s">
        <v>58</v>
      </c>
      <c r="AL8" s="21" t="s">
        <v>263</v>
      </c>
      <c r="AM8" s="21" t="s">
        <v>266</v>
      </c>
      <c r="AO8" s="47"/>
      <c r="AP8" s="220">
        <v>3</v>
      </c>
      <c r="AQ8" s="517">
        <f>O73</f>
        <v>0</v>
      </c>
      <c r="AR8" s="518"/>
      <c r="AS8" s="55">
        <f>IFERROR((VLOOKUP(AQ8,$V$100:$AB$179,3,0)*0.01)*AV8,0)</f>
        <v>0</v>
      </c>
      <c r="AT8" s="55">
        <f>IFERROR((VLOOKUP(AQ8,$V$100:$AB$179,5,0)*0.01)*AV8,0)</f>
        <v>0</v>
      </c>
      <c r="AU8" s="55">
        <f>IFERROR((VLOOKUP(AQ8,$V$100:$AB$179,7,0)*0.01)*AV8,0)</f>
        <v>0</v>
      </c>
      <c r="AV8" s="55">
        <f>IFERROR($AT$5*Q73/(VLOOKUP(AQ8,$V$100:$AB$179,5,0)/100),0)</f>
        <v>0</v>
      </c>
      <c r="AW8" s="47"/>
      <c r="AX8" s="47"/>
      <c r="AY8" s="47"/>
      <c r="AZ8" s="47"/>
      <c r="BA8" s="47"/>
      <c r="BB8" s="47"/>
    </row>
    <row r="9" spans="1:54" ht="19.5" customHeight="1" thickBot="1" x14ac:dyDescent="0.3">
      <c r="A9" s="30"/>
      <c r="B9" s="383" t="s">
        <v>119</v>
      </c>
      <c r="C9" s="384"/>
      <c r="D9" s="384"/>
      <c r="E9" s="384"/>
      <c r="F9" s="384"/>
      <c r="G9" s="384"/>
      <c r="H9" s="384"/>
      <c r="I9" s="385"/>
      <c r="K9" s="247" t="s">
        <v>336</v>
      </c>
      <c r="M9" s="376"/>
      <c r="N9" s="552"/>
      <c r="O9" s="21" t="s">
        <v>6</v>
      </c>
      <c r="P9" s="32">
        <v>0.05</v>
      </c>
      <c r="Q9" s="21" t="s">
        <v>55</v>
      </c>
      <c r="R9" s="216"/>
      <c r="U9" s="21" t="s">
        <v>27</v>
      </c>
      <c r="V9" s="21" t="s">
        <v>40</v>
      </c>
      <c r="W9" s="21" t="s">
        <v>44</v>
      </c>
      <c r="X9" s="21" t="s">
        <v>47</v>
      </c>
      <c r="Y9" s="21" t="str">
        <f>IF(AND($P$21&gt;15.99,P21&lt;34.99),"correto","erro")</f>
        <v>erro</v>
      </c>
      <c r="Z9" s="21" t="str">
        <f>IF($P$13&lt;=10,"baixo","erro")</f>
        <v>baixo</v>
      </c>
      <c r="AA9" s="21" t="str">
        <f>IF(AND($P$13&gt;=10.01,$P$13&lt;=15),"medio","erro")</f>
        <v>erro</v>
      </c>
      <c r="AB9" s="21" t="str">
        <f>IF($P$13&gt;15,"adequado","erro")</f>
        <v>erro</v>
      </c>
      <c r="AC9" s="21" t="str">
        <f>IF(Z9="baixo","baixo",IF(AA9="medio","medio",IF(AB9="adequado","adequado",0)))</f>
        <v>baixo</v>
      </c>
      <c r="AD9" s="538"/>
      <c r="AF9" s="586" t="s">
        <v>246</v>
      </c>
      <c r="AG9" s="260" t="s">
        <v>25</v>
      </c>
      <c r="AH9" s="260" t="s">
        <v>242</v>
      </c>
      <c r="AI9" s="21" t="str">
        <f>IF($P$14&lt;=0.2,"baixo","erro")</f>
        <v>baixo</v>
      </c>
      <c r="AJ9" s="538" t="str">
        <f>IF($AI$9="baixo","baixo",IF($AI$10="medio","medio",IF($AI$11="adequado","adequado",0)))</f>
        <v>baixo</v>
      </c>
      <c r="AK9" s="538">
        <f>IF(AJ9="Baixo",AL9,0)</f>
        <v>8</v>
      </c>
      <c r="AL9" s="538">
        <f>(AM9*1000)/$E$18</f>
        <v>8</v>
      </c>
      <c r="AM9" s="587">
        <v>1</v>
      </c>
      <c r="AO9" s="47"/>
      <c r="AP9" s="47"/>
      <c r="AQ9" s="47"/>
      <c r="AR9" s="47"/>
      <c r="AS9" s="59">
        <f>AS5-(SUM(AS6:AS8))</f>
        <v>1320</v>
      </c>
      <c r="AT9" s="59">
        <f>AT5-(SUM(AT6:AT8))</f>
        <v>0</v>
      </c>
      <c r="AU9" s="59">
        <f>AU5-(SUM(AU6:AU8))</f>
        <v>1120</v>
      </c>
      <c r="AV9" s="59"/>
      <c r="AW9" s="47"/>
      <c r="AX9" s="47"/>
      <c r="AY9" s="47"/>
      <c r="AZ9" s="47"/>
      <c r="BA9" s="47"/>
      <c r="BB9" s="47"/>
    </row>
    <row r="10" spans="1:54" ht="19.5" customHeight="1" x14ac:dyDescent="0.25">
      <c r="K10" s="247" t="s">
        <v>337</v>
      </c>
      <c r="M10" s="376"/>
      <c r="N10" s="552"/>
      <c r="O10" s="21" t="s">
        <v>7</v>
      </c>
      <c r="P10" s="56">
        <v>0</v>
      </c>
      <c r="Q10" s="21" t="s">
        <v>55</v>
      </c>
      <c r="R10" s="216"/>
      <c r="U10" s="21" t="s">
        <v>28</v>
      </c>
      <c r="V10" s="21" t="s">
        <v>41</v>
      </c>
      <c r="W10" s="21" t="s">
        <v>45</v>
      </c>
      <c r="X10" s="21" t="s">
        <v>48</v>
      </c>
      <c r="Y10" s="21" t="str">
        <f>IF(AND($P$21&gt;34.99,P21&lt;59.99),"correto","erro")</f>
        <v>correto</v>
      </c>
      <c r="Z10" s="21" t="str">
        <f>IF($P$13&lt;=5,"baixo","erro")</f>
        <v>baixo</v>
      </c>
      <c r="AA10" s="21" t="str">
        <f>IF(AND($P$13&gt;=5.01,$P$13&lt;=8),"medio","erro")</f>
        <v>erro</v>
      </c>
      <c r="AB10" s="21" t="str">
        <f>IF($P$13&gt;8,"adequado","erro")</f>
        <v>erro</v>
      </c>
      <c r="AC10" s="21" t="str">
        <f>IF(Z10="baixo","baixo",IF(AA10="medio","medio",IF(AB10="adequado","adequado",0)))</f>
        <v>baixo</v>
      </c>
      <c r="AD10" s="538"/>
      <c r="AF10" s="586"/>
      <c r="AG10" s="260" t="s">
        <v>26</v>
      </c>
      <c r="AH10" s="260" t="s">
        <v>238</v>
      </c>
      <c r="AI10" s="21" t="str">
        <f>IF(AND($P$14&gt;=0.201,$P$14&lt;=0.5),"medio","erro")</f>
        <v>erro</v>
      </c>
      <c r="AJ10" s="538"/>
      <c r="AK10" s="538"/>
      <c r="AL10" s="538"/>
      <c r="AM10" s="587"/>
      <c r="AO10" s="47"/>
      <c r="AP10" s="447" t="s">
        <v>258</v>
      </c>
      <c r="AQ10" s="447" t="s">
        <v>259</v>
      </c>
      <c r="AR10" s="447"/>
      <c r="AS10" s="220" t="s">
        <v>33</v>
      </c>
      <c r="AT10" s="220" t="s">
        <v>223</v>
      </c>
      <c r="AU10" s="220" t="s">
        <v>224</v>
      </c>
      <c r="AV10" s="508" t="s">
        <v>260</v>
      </c>
      <c r="AW10" s="47"/>
      <c r="AX10" s="47"/>
      <c r="AY10" s="47"/>
      <c r="AZ10" s="47"/>
      <c r="BA10" s="47"/>
      <c r="BB10" s="47"/>
    </row>
    <row r="11" spans="1:54" ht="19.5" customHeight="1" x14ac:dyDescent="0.25">
      <c r="B11" s="21" t="s">
        <v>120</v>
      </c>
      <c r="C11" s="353"/>
      <c r="D11" s="353"/>
      <c r="E11" s="353"/>
      <c r="F11" s="353"/>
      <c r="G11" s="353"/>
      <c r="H11" s="353"/>
      <c r="I11" s="354"/>
      <c r="K11" s="247" t="s">
        <v>338</v>
      </c>
      <c r="M11" s="376"/>
      <c r="N11" s="552"/>
      <c r="O11" s="21" t="s">
        <v>8</v>
      </c>
      <c r="P11" s="32">
        <v>4</v>
      </c>
      <c r="Q11" s="21" t="s">
        <v>55</v>
      </c>
      <c r="R11" s="216"/>
      <c r="U11" s="21" t="s">
        <v>38</v>
      </c>
      <c r="V11" s="21" t="s">
        <v>42</v>
      </c>
      <c r="W11" s="21" t="s">
        <v>46</v>
      </c>
      <c r="X11" s="21" t="s">
        <v>49</v>
      </c>
      <c r="Y11" s="21" t="str">
        <f>IF($P$21&gt;59.99,"correto","erro")</f>
        <v>erro</v>
      </c>
      <c r="Z11" s="21" t="str">
        <f>IF($P$13&lt;=3,"baixo","erro")</f>
        <v>baixo</v>
      </c>
      <c r="AA11" s="21" t="str">
        <f>IF(AND($P$13&gt;=3.01,$P$13&lt;=6),"medio","erro")</f>
        <v>erro</v>
      </c>
      <c r="AB11" s="21" t="str">
        <f>IF($P$13&gt;6,"adequado","erro")</f>
        <v>erro</v>
      </c>
      <c r="AC11" s="21" t="str">
        <f>IF(Z11="baixo","baixo",IF(AA11="medio","medio",IF(AB11="adequado","adequado",0)))</f>
        <v>baixo</v>
      </c>
      <c r="AD11" s="538"/>
      <c r="AF11" s="586"/>
      <c r="AG11" s="260" t="s">
        <v>234</v>
      </c>
      <c r="AH11" s="260" t="s">
        <v>233</v>
      </c>
      <c r="AI11" s="21" t="str">
        <f>IF($P$14&gt;0.5,"adequado","erro")</f>
        <v>erro</v>
      </c>
      <c r="AJ11" s="538"/>
      <c r="AK11" s="538"/>
      <c r="AL11" s="538"/>
      <c r="AM11" s="587"/>
      <c r="AO11" s="47"/>
      <c r="AP11" s="447"/>
      <c r="AQ11" s="447"/>
      <c r="AR11" s="447"/>
      <c r="AS11" s="55">
        <f>AS9</f>
        <v>1320</v>
      </c>
      <c r="AT11" s="55">
        <f t="shared" ref="AT11:AU11" si="0">AT9</f>
        <v>0</v>
      </c>
      <c r="AU11" s="55">
        <f t="shared" si="0"/>
        <v>1120</v>
      </c>
      <c r="AV11" s="509"/>
      <c r="AW11" s="47"/>
      <c r="AX11" s="47"/>
      <c r="AY11" s="47"/>
      <c r="AZ11" s="47"/>
      <c r="BA11" s="47"/>
      <c r="BB11" s="47"/>
    </row>
    <row r="12" spans="1:54" ht="19.5" customHeight="1" x14ac:dyDescent="0.25">
      <c r="B12" s="209" t="s">
        <v>121</v>
      </c>
      <c r="C12" s="352"/>
      <c r="D12" s="353"/>
      <c r="E12" s="353"/>
      <c r="F12" s="353"/>
      <c r="G12" s="353"/>
      <c r="H12" s="353"/>
      <c r="I12" s="354"/>
      <c r="K12" s="247" t="s">
        <v>339</v>
      </c>
      <c r="M12" s="376"/>
      <c r="N12" s="552"/>
      <c r="O12" s="21" t="s">
        <v>9</v>
      </c>
      <c r="P12" s="56">
        <v>18.7</v>
      </c>
      <c r="Q12" s="21" t="s">
        <v>10</v>
      </c>
      <c r="R12" s="216"/>
      <c r="AF12" s="586" t="s">
        <v>245</v>
      </c>
      <c r="AG12" s="260" t="s">
        <v>25</v>
      </c>
      <c r="AH12" s="260" t="s">
        <v>241</v>
      </c>
      <c r="AI12" s="21" t="str">
        <f>IF($P$16&lt;=0.4,"baixo","erro")</f>
        <v>erro</v>
      </c>
      <c r="AJ12" s="538" t="str">
        <f>IF($AI$12="baixo","baixo",IF($AI$13="medio","medio",IF($AI$14="adequado","adequado",0)))</f>
        <v>medio</v>
      </c>
      <c r="AK12" s="538">
        <f>IF(AJ12="Baixo",AL12,0)</f>
        <v>0</v>
      </c>
      <c r="AL12" s="538">
        <f>(AM12*1000)/$E$18</f>
        <v>4</v>
      </c>
      <c r="AM12" s="587">
        <v>0.5</v>
      </c>
      <c r="AO12" s="47"/>
      <c r="AP12" s="220">
        <v>7</v>
      </c>
      <c r="AQ12" s="447" t="str">
        <f>O79</f>
        <v>Kmag</v>
      </c>
      <c r="AR12" s="447"/>
      <c r="AS12" s="55">
        <f>IFERROR((VLOOKUP(AQ12,$V$100:$AB$179,3,0)*0.01)*AV12,0)</f>
        <v>0</v>
      </c>
      <c r="AT12" s="55">
        <f>IFERROR((VLOOKUP(AQ12,$V$100:$AB$179,5,0)*0.01)*AV12,0)</f>
        <v>0</v>
      </c>
      <c r="AU12" s="55">
        <f>IFERROR((VLOOKUP(AQ12,$V$100:$AB$179,7,0)*0.01)*AV12,0)</f>
        <v>1120</v>
      </c>
      <c r="AV12" s="55">
        <f>IFERROR($AU$11*Q79/(VLOOKUP(AQ12,$V$100:$AB$179,7,0)/100),0)</f>
        <v>5333.3333333333339</v>
      </c>
      <c r="AW12" s="47"/>
      <c r="AX12" s="47"/>
      <c r="AY12" s="47"/>
      <c r="AZ12" s="47"/>
      <c r="BA12" s="47"/>
      <c r="BB12" s="47"/>
    </row>
    <row r="13" spans="1:54" ht="19.5" customHeight="1" x14ac:dyDescent="0.25">
      <c r="B13" s="209" t="s">
        <v>122</v>
      </c>
      <c r="C13" s="352"/>
      <c r="D13" s="353"/>
      <c r="E13" s="353"/>
      <c r="F13" s="353"/>
      <c r="G13" s="353"/>
      <c r="H13" s="353"/>
      <c r="I13" s="354"/>
      <c r="K13" s="247" t="s">
        <v>340</v>
      </c>
      <c r="M13" s="376"/>
      <c r="N13" s="552"/>
      <c r="O13" s="21" t="s">
        <v>11</v>
      </c>
      <c r="P13" s="32">
        <v>2.5</v>
      </c>
      <c r="Q13" s="21" t="s">
        <v>12</v>
      </c>
      <c r="R13" s="216"/>
      <c r="AF13" s="586"/>
      <c r="AG13" s="260" t="s">
        <v>26</v>
      </c>
      <c r="AH13" s="260" t="s">
        <v>237</v>
      </c>
      <c r="AI13" s="21" t="str">
        <f>IF(AND($P$16&gt;=0.401,$P$16&lt;=0.8),"medio","erro")</f>
        <v>medio</v>
      </c>
      <c r="AJ13" s="538"/>
      <c r="AK13" s="538"/>
      <c r="AL13" s="538"/>
      <c r="AM13" s="587"/>
      <c r="AO13" s="47"/>
      <c r="AP13" s="220">
        <v>8</v>
      </c>
      <c r="AQ13" s="447">
        <f>O80</f>
        <v>0</v>
      </c>
      <c r="AR13" s="447"/>
      <c r="AS13" s="55">
        <f>IFERROR((VLOOKUP(AQ13,$V$100:$AB$179,3,0)*0.01)*AV13,0)</f>
        <v>0</v>
      </c>
      <c r="AT13" s="55">
        <f>IFERROR((VLOOKUP(AQ13,$V$100:$AB$179,5,0)*0.01)*AV13,0)</f>
        <v>0</v>
      </c>
      <c r="AU13" s="55">
        <f>IFERROR((VLOOKUP(AQ13,$V$100:$AB$179,7,0)*0.01)*AV13,0)</f>
        <v>0</v>
      </c>
      <c r="AV13" s="55">
        <f>IFERROR($AU$11*Q80/(VLOOKUP(AQ13,$V$100:$AB$179,7,0)/100),0)</f>
        <v>0</v>
      </c>
      <c r="AW13" s="47"/>
      <c r="AX13" s="47"/>
      <c r="AY13" s="47"/>
      <c r="AZ13" s="47"/>
      <c r="BA13" s="47"/>
      <c r="BB13" s="47"/>
    </row>
    <row r="14" spans="1:54" ht="19.5" customHeight="1" x14ac:dyDescent="0.25">
      <c r="B14" s="209" t="s">
        <v>123</v>
      </c>
      <c r="C14" s="352"/>
      <c r="D14" s="353"/>
      <c r="E14" s="353"/>
      <c r="F14" s="353"/>
      <c r="G14" s="354"/>
      <c r="H14" s="21" t="s">
        <v>124</v>
      </c>
      <c r="I14" s="22">
        <f ca="1">TODAY()</f>
        <v>44057</v>
      </c>
      <c r="K14" s="247" t="s">
        <v>341</v>
      </c>
      <c r="M14" s="376"/>
      <c r="N14" s="552"/>
      <c r="O14" s="21" t="s">
        <v>13</v>
      </c>
      <c r="P14" s="56">
        <v>0.05</v>
      </c>
      <c r="Q14" s="21" t="s">
        <v>12</v>
      </c>
      <c r="R14" s="216"/>
      <c r="AF14" s="586"/>
      <c r="AG14" s="260" t="s">
        <v>234</v>
      </c>
      <c r="AH14" s="260" t="s">
        <v>232</v>
      </c>
      <c r="AI14" s="21" t="str">
        <f>IF($P$16&gt;0.8,"adequado","erro")</f>
        <v>erro</v>
      </c>
      <c r="AJ14" s="538"/>
      <c r="AK14" s="538"/>
      <c r="AL14" s="538"/>
      <c r="AM14" s="587"/>
      <c r="AO14" s="47"/>
      <c r="AP14" s="220">
        <v>9</v>
      </c>
      <c r="AQ14" s="447">
        <f>O81</f>
        <v>0</v>
      </c>
      <c r="AR14" s="447"/>
      <c r="AS14" s="55">
        <f>IFERROR((VLOOKUP(AQ14,$V$100:$AB$179,3,0)*0.01)*AV14,0)</f>
        <v>0</v>
      </c>
      <c r="AT14" s="55">
        <f>IFERROR((VLOOKUP(AQ14,$V$100:$AB$179,5,0)*0.01)*AV14,0)</f>
        <v>0</v>
      </c>
      <c r="AU14" s="55">
        <f>IFERROR((VLOOKUP(AQ14,$V$100:$AB$179,7,0)*0.01)*AV14,0)</f>
        <v>0</v>
      </c>
      <c r="AV14" s="55">
        <f>IFERROR($AU$11*Q81/(VLOOKUP(AQ14,$V$100:$AB$179,7,0)/100),0)</f>
        <v>0</v>
      </c>
      <c r="AW14" s="47"/>
      <c r="AX14" s="47"/>
      <c r="AY14" s="47"/>
      <c r="AZ14" s="47"/>
      <c r="BA14" s="47"/>
      <c r="BB14" s="47"/>
    </row>
    <row r="15" spans="1:54" ht="19.5" customHeight="1" thickBot="1" x14ac:dyDescent="0.3">
      <c r="K15" s="247" t="s">
        <v>342</v>
      </c>
      <c r="M15" s="376"/>
      <c r="N15" s="552"/>
      <c r="O15" s="21" t="s">
        <v>14</v>
      </c>
      <c r="P15" s="32">
        <v>2.2999999999999998</v>
      </c>
      <c r="Q15" s="21" t="s">
        <v>12</v>
      </c>
      <c r="R15" s="216"/>
      <c r="AF15" s="586" t="s">
        <v>244</v>
      </c>
      <c r="AG15" s="260" t="s">
        <v>25</v>
      </c>
      <c r="AH15" s="260" t="s">
        <v>240</v>
      </c>
      <c r="AI15" s="21" t="str">
        <f>IF($P$18&lt;=1.9,"baixo","erro")</f>
        <v>erro</v>
      </c>
      <c r="AJ15" s="538" t="str">
        <f>IF($AI$15="baixo","baixo",IF($AI$16="medio","medio",IF($AI$17="adequado","adequado",0)))</f>
        <v>adequado</v>
      </c>
      <c r="AK15" s="538">
        <f>IF(AJ15="Baixo",AL15,0)</f>
        <v>0</v>
      </c>
      <c r="AL15" s="538">
        <f>(AM15*1000)/$E$18</f>
        <v>8</v>
      </c>
      <c r="AM15" s="587">
        <v>1</v>
      </c>
      <c r="AO15" s="47"/>
      <c r="AP15" s="47"/>
      <c r="AQ15" s="47"/>
      <c r="AR15" s="47"/>
      <c r="AS15" s="59">
        <f>AS11-(SUM(AS12:AS14))</f>
        <v>1320</v>
      </c>
      <c r="AT15" s="59">
        <f>AT11-(SUM(AT12:AT14))</f>
        <v>0</v>
      </c>
      <c r="AU15" s="59">
        <f>AU11-(SUM(AU12:AU14))</f>
        <v>0</v>
      </c>
      <c r="AV15" s="47"/>
      <c r="AW15" s="47"/>
      <c r="AX15" s="47"/>
      <c r="AY15" s="47"/>
      <c r="AZ15" s="47"/>
      <c r="BA15" s="47"/>
      <c r="BB15" s="47"/>
    </row>
    <row r="16" spans="1:54" ht="19.5" customHeight="1" thickBot="1" x14ac:dyDescent="0.3">
      <c r="B16" s="577" t="s">
        <v>309</v>
      </c>
      <c r="C16" s="578"/>
      <c r="D16" s="578"/>
      <c r="E16" s="578"/>
      <c r="F16" s="578"/>
      <c r="G16" s="578"/>
      <c r="H16" s="578"/>
      <c r="I16" s="579"/>
      <c r="K16" s="247" t="s">
        <v>343</v>
      </c>
      <c r="M16" s="376"/>
      <c r="N16" s="552"/>
      <c r="O16" s="21" t="s">
        <v>15</v>
      </c>
      <c r="P16" s="56">
        <v>0.6</v>
      </c>
      <c r="Q16" s="21" t="s">
        <v>12</v>
      </c>
      <c r="R16" s="216"/>
      <c r="AF16" s="586"/>
      <c r="AG16" s="260" t="s">
        <v>26</v>
      </c>
      <c r="AH16" s="260" t="s">
        <v>236</v>
      </c>
      <c r="AI16" s="21" t="str">
        <f>IF(AND($P$18&gt;=1.901,$P$18&lt;=5),"medio","erro")</f>
        <v>erro</v>
      </c>
      <c r="AJ16" s="538"/>
      <c r="AK16" s="538"/>
      <c r="AL16" s="538"/>
      <c r="AM16" s="587"/>
      <c r="AO16" s="47"/>
      <c r="AP16" s="447" t="s">
        <v>258</v>
      </c>
      <c r="AQ16" s="447" t="s">
        <v>259</v>
      </c>
      <c r="AR16" s="447"/>
      <c r="AS16" s="220" t="s">
        <v>33</v>
      </c>
      <c r="AT16" s="220" t="s">
        <v>223</v>
      </c>
      <c r="AU16" s="220" t="s">
        <v>224</v>
      </c>
      <c r="AV16" s="508" t="s">
        <v>260</v>
      </c>
      <c r="AW16" s="47"/>
      <c r="AX16" s="47"/>
      <c r="AY16" s="47"/>
      <c r="AZ16" s="47"/>
      <c r="BA16" s="47"/>
      <c r="BB16" s="47"/>
    </row>
    <row r="17" spans="2:54" ht="19.5" customHeight="1" x14ac:dyDescent="0.25">
      <c r="K17" s="247" t="s">
        <v>578</v>
      </c>
      <c r="M17" s="376"/>
      <c r="N17" s="552"/>
      <c r="O17" s="21" t="s">
        <v>16</v>
      </c>
      <c r="P17" s="32">
        <v>84.8</v>
      </c>
      <c r="Q17" s="21" t="s">
        <v>12</v>
      </c>
      <c r="R17" s="216"/>
      <c r="U17" s="584" t="s">
        <v>60</v>
      </c>
      <c r="V17" s="584"/>
      <c r="W17" s="584"/>
      <c r="X17" s="584"/>
      <c r="Y17" s="538" t="s">
        <v>59</v>
      </c>
      <c r="Z17" s="538"/>
      <c r="AA17" s="538"/>
      <c r="AB17" s="538"/>
      <c r="AC17" s="538"/>
      <c r="AD17" s="538"/>
      <c r="AF17" s="586"/>
      <c r="AG17" s="260" t="s">
        <v>234</v>
      </c>
      <c r="AH17" s="260" t="s">
        <v>231</v>
      </c>
      <c r="AI17" s="21" t="str">
        <f>IF($P$18&gt;5,"adequado","erro")</f>
        <v>adequado</v>
      </c>
      <c r="AJ17" s="538"/>
      <c r="AK17" s="538"/>
      <c r="AL17" s="538"/>
      <c r="AM17" s="587"/>
      <c r="AO17" s="47"/>
      <c r="AP17" s="447"/>
      <c r="AQ17" s="447"/>
      <c r="AR17" s="447"/>
      <c r="AS17" s="55">
        <f>AS15</f>
        <v>1320</v>
      </c>
      <c r="AT17" s="55">
        <f t="shared" ref="AT17:AU17" si="1">AT15</f>
        <v>0</v>
      </c>
      <c r="AU17" s="55">
        <f t="shared" si="1"/>
        <v>0</v>
      </c>
      <c r="AV17" s="509"/>
      <c r="AW17" s="47"/>
      <c r="AX17" s="47"/>
      <c r="AY17" s="47"/>
      <c r="AZ17" s="47"/>
      <c r="BA17" s="47"/>
      <c r="BB17" s="47"/>
    </row>
    <row r="18" spans="2:54" ht="19.5" customHeight="1" x14ac:dyDescent="0.25">
      <c r="B18" s="585" t="s">
        <v>134</v>
      </c>
      <c r="C18" s="585"/>
      <c r="D18" s="585"/>
      <c r="E18" s="261">
        <f>$O$35</f>
        <v>125</v>
      </c>
      <c r="F18" s="538" t="s">
        <v>125</v>
      </c>
      <c r="G18" s="538"/>
      <c r="H18" s="538"/>
      <c r="I18" s="21">
        <f>O34</f>
        <v>1</v>
      </c>
      <c r="K18" s="247" t="s">
        <v>581</v>
      </c>
      <c r="M18" s="376"/>
      <c r="N18" s="552"/>
      <c r="O18" s="21" t="s">
        <v>17</v>
      </c>
      <c r="P18" s="56">
        <v>14.9</v>
      </c>
      <c r="Q18" s="21" t="s">
        <v>12</v>
      </c>
      <c r="R18" s="216"/>
      <c r="U18" s="584"/>
      <c r="V18" s="584"/>
      <c r="W18" s="584"/>
      <c r="X18" s="584"/>
      <c r="Y18" s="538"/>
      <c r="Z18" s="538"/>
      <c r="AA18" s="538"/>
      <c r="AB18" s="538"/>
      <c r="AC18" s="538"/>
      <c r="AD18" s="538"/>
      <c r="AF18" s="586" t="s">
        <v>243</v>
      </c>
      <c r="AG18" s="260" t="s">
        <v>25</v>
      </c>
      <c r="AH18" s="260" t="s">
        <v>239</v>
      </c>
      <c r="AI18" s="21" t="str">
        <f>IF($P$19&lt;=1,"baixo","erro")</f>
        <v>erro</v>
      </c>
      <c r="AJ18" s="538" t="str">
        <f>IF($AI$18="baixo","baixo",IF($AI$19="medio","medio",IF($AI$20="adequado","adequado",0)))</f>
        <v>adequado</v>
      </c>
      <c r="AK18" s="538">
        <f>IF(AJ18="Baixo",AL18,0)</f>
        <v>0</v>
      </c>
      <c r="AL18" s="538">
        <f>(AM18*1000)/$E$18</f>
        <v>40</v>
      </c>
      <c r="AM18" s="587">
        <v>5</v>
      </c>
      <c r="AO18" s="47"/>
      <c r="AP18" s="220">
        <v>13</v>
      </c>
      <c r="AQ18" s="447" t="str">
        <f>O87</f>
        <v>Torta de mamona Hortibraz</v>
      </c>
      <c r="AR18" s="447"/>
      <c r="AS18" s="55">
        <f>IFERROR((VLOOKUP(AQ18,$V$100:$AB$179,3,0)*0.01)*AV18,0)</f>
        <v>0</v>
      </c>
      <c r="AT18" s="55">
        <f>IFERROR((VLOOKUP(AQ18,$V$100:$AB$179,5,0)*0.01)*AV18,0)</f>
        <v>0</v>
      </c>
      <c r="AU18" s="55">
        <f>IFERROR((VLOOKUP(AQ18,$V$100:$AB$179,7,0)*0.01)*AV18,0)</f>
        <v>0</v>
      </c>
      <c r="AV18" s="55">
        <f>IFERROR($AS$17*Q87/(VLOOKUP(AQ18,$V$100:$AB$179,3,0)/100),0)</f>
        <v>0</v>
      </c>
      <c r="AW18" s="47"/>
      <c r="AX18" s="47"/>
      <c r="AY18" s="47"/>
      <c r="AZ18" s="47"/>
      <c r="BA18" s="47"/>
      <c r="BB18" s="47"/>
    </row>
    <row r="19" spans="2:54" ht="19.5" customHeight="1" x14ac:dyDescent="0.25">
      <c r="K19" s="247" t="s">
        <v>583</v>
      </c>
      <c r="M19" s="376"/>
      <c r="N19" s="552"/>
      <c r="O19" s="21" t="s">
        <v>18</v>
      </c>
      <c r="P19" s="32">
        <v>1.7</v>
      </c>
      <c r="Q19" s="21" t="s">
        <v>12</v>
      </c>
      <c r="R19" s="216"/>
      <c r="S19" s="262"/>
      <c r="U19" s="584"/>
      <c r="V19" s="584"/>
      <c r="W19" s="584"/>
      <c r="X19" s="584"/>
      <c r="Y19" s="538"/>
      <c r="Z19" s="538"/>
      <c r="AA19" s="538"/>
      <c r="AB19" s="538"/>
      <c r="AC19" s="538"/>
      <c r="AD19" s="538"/>
      <c r="AF19" s="586"/>
      <c r="AG19" s="260" t="s">
        <v>26</v>
      </c>
      <c r="AH19" s="260" t="s">
        <v>235</v>
      </c>
      <c r="AI19" s="21" t="str">
        <f>IF(AND($P$19&gt;=1.01,$P$19&lt;=1.6),"medio","erro")</f>
        <v>erro</v>
      </c>
      <c r="AJ19" s="538"/>
      <c r="AK19" s="538"/>
      <c r="AL19" s="538"/>
      <c r="AM19" s="587"/>
      <c r="AO19" s="47"/>
      <c r="AP19" s="220">
        <v>14</v>
      </c>
      <c r="AQ19" s="447">
        <f>O88</f>
        <v>0</v>
      </c>
      <c r="AR19" s="447"/>
      <c r="AS19" s="55">
        <f>IFERROR((VLOOKUP(AQ19,$V$100:$AB$179,3,0)*0.01)*AV19,0)</f>
        <v>0</v>
      </c>
      <c r="AT19" s="55">
        <f>IFERROR((VLOOKUP(AQ19,$V$100:$AB$179,5,0)*0.01)*AV19,0)</f>
        <v>0</v>
      </c>
      <c r="AU19" s="55">
        <f>IFERROR((VLOOKUP(AQ19,$V$100:$AB$179,7,0)*0.01)*AV19,0)</f>
        <v>0</v>
      </c>
      <c r="AV19" s="55">
        <f>IFERROR($AS$17*Q88/(VLOOKUP(AQ19,$V$100:$AB$179,3,0)/100),0)</f>
        <v>0</v>
      </c>
      <c r="AW19" s="47"/>
      <c r="AX19" s="47"/>
      <c r="AY19" s="47"/>
      <c r="AZ19" s="47"/>
      <c r="BA19" s="47"/>
      <c r="BB19" s="47"/>
    </row>
    <row r="20" spans="2:54" ht="19.5" customHeight="1" x14ac:dyDescent="0.25">
      <c r="B20" s="352" t="s">
        <v>183</v>
      </c>
      <c r="C20" s="353"/>
      <c r="D20" s="353"/>
      <c r="E20" s="354"/>
      <c r="F20" s="263" t="s">
        <v>126</v>
      </c>
      <c r="G20" s="263">
        <f>P24</f>
        <v>48.586118251928028</v>
      </c>
      <c r="H20" s="263" t="s">
        <v>52</v>
      </c>
      <c r="I20" s="261">
        <f>P21</f>
        <v>47.5</v>
      </c>
      <c r="K20" s="247" t="s">
        <v>584</v>
      </c>
      <c r="M20" s="376"/>
      <c r="N20" s="552"/>
      <c r="O20" s="21" t="s">
        <v>19</v>
      </c>
      <c r="P20" s="56">
        <v>35</v>
      </c>
      <c r="Q20" s="21" t="s">
        <v>23</v>
      </c>
      <c r="R20" s="216"/>
      <c r="U20" s="21" t="s">
        <v>29</v>
      </c>
      <c r="V20" s="538" t="s">
        <v>74</v>
      </c>
      <c r="W20" s="538"/>
      <c r="X20" s="538"/>
      <c r="Y20" s="538"/>
      <c r="Z20" s="538"/>
      <c r="AA20" s="538"/>
      <c r="AB20" s="538"/>
      <c r="AC20" s="538"/>
      <c r="AD20" s="538"/>
      <c r="AF20" s="586"/>
      <c r="AG20" s="260" t="s">
        <v>234</v>
      </c>
      <c r="AH20" s="260" t="s">
        <v>230</v>
      </c>
      <c r="AI20" s="21" t="str">
        <f>IF($P$19&gt;1.6,"adequado","erro")</f>
        <v>adequado</v>
      </c>
      <c r="AJ20" s="538"/>
      <c r="AK20" s="538"/>
      <c r="AL20" s="538"/>
      <c r="AM20" s="587"/>
      <c r="AO20" s="47"/>
      <c r="AP20" s="220">
        <v>15</v>
      </c>
      <c r="AQ20" s="447">
        <f>O89</f>
        <v>0</v>
      </c>
      <c r="AR20" s="447"/>
      <c r="AS20" s="55">
        <f>IFERROR((VLOOKUP(AQ20,$V$100:$AB$179,3,0)*0.01)*AV20,0)</f>
        <v>0</v>
      </c>
      <c r="AT20" s="55">
        <f>IFERROR((VLOOKUP(AQ20,$V$100:$AB$179,5,0)*0.01)*AV20,0)</f>
        <v>0</v>
      </c>
      <c r="AU20" s="55">
        <f>IFERROR((VLOOKUP(AQ20,$V$100:$AB$179,7,0)*0.01)*AV20,0)</f>
        <v>0</v>
      </c>
      <c r="AV20" s="55">
        <f>IFERROR($AS$17*Q89/(VLOOKUP(AQ20,$V$100:$AB$179,3,0)/100),0)</f>
        <v>0</v>
      </c>
      <c r="AW20" s="47"/>
      <c r="AX20" s="47"/>
      <c r="AY20" s="47"/>
      <c r="AZ20" s="47"/>
      <c r="BA20" s="47"/>
      <c r="BB20" s="47"/>
    </row>
    <row r="21" spans="2:54" ht="19.5" customHeight="1" x14ac:dyDescent="0.25">
      <c r="B21" s="264" t="s">
        <v>1</v>
      </c>
      <c r="C21" s="265">
        <f>P5</f>
        <v>6.9</v>
      </c>
      <c r="D21" s="263" t="s">
        <v>127</v>
      </c>
      <c r="E21" s="263">
        <f>P9</f>
        <v>0.05</v>
      </c>
      <c r="F21" s="263" t="s">
        <v>128</v>
      </c>
      <c r="G21" s="263">
        <f>P23</f>
        <v>16.899999999999999</v>
      </c>
      <c r="H21" s="263" t="s">
        <v>85</v>
      </c>
      <c r="I21" s="263">
        <f>P18</f>
        <v>14.9</v>
      </c>
      <c r="K21" s="247" t="s">
        <v>346</v>
      </c>
      <c r="M21" s="376"/>
      <c r="N21" s="552"/>
      <c r="O21" s="21" t="s">
        <v>52</v>
      </c>
      <c r="P21" s="32">
        <v>47.5</v>
      </c>
      <c r="Q21" s="21" t="s">
        <v>23</v>
      </c>
      <c r="R21" s="216"/>
      <c r="S21" s="262"/>
      <c r="U21" s="21" t="s">
        <v>23</v>
      </c>
      <c r="V21" s="21" t="s">
        <v>25</v>
      </c>
      <c r="W21" s="21" t="s">
        <v>26</v>
      </c>
      <c r="X21" s="21" t="s">
        <v>31</v>
      </c>
      <c r="Y21" s="21" t="s">
        <v>53</v>
      </c>
      <c r="Z21" s="538" t="s">
        <v>62</v>
      </c>
      <c r="AA21" s="538"/>
      <c r="AB21" s="538"/>
      <c r="AC21" s="21" t="s">
        <v>57</v>
      </c>
      <c r="AD21" s="21" t="s">
        <v>58</v>
      </c>
      <c r="AO21" s="47"/>
      <c r="AP21" s="47"/>
      <c r="AQ21" s="47"/>
      <c r="AR21" s="47"/>
      <c r="AS21" s="59">
        <f>AS17-(SUM(AS18:AS20))</f>
        <v>1320</v>
      </c>
      <c r="AT21" s="59">
        <f t="shared" ref="AT21:AU21" si="2">AT17-(SUM(AT18:AT20))</f>
        <v>0</v>
      </c>
      <c r="AU21" s="59">
        <f t="shared" si="2"/>
        <v>0</v>
      </c>
      <c r="AV21" s="59"/>
      <c r="AW21" s="47"/>
      <c r="AX21" s="47"/>
      <c r="AY21" s="47"/>
      <c r="AZ21" s="47"/>
      <c r="BA21" s="47"/>
      <c r="BB21" s="47"/>
    </row>
    <row r="22" spans="2:54" ht="19.5" customHeight="1" x14ac:dyDescent="0.25">
      <c r="B22" s="264" t="s">
        <v>81</v>
      </c>
      <c r="C22" s="265">
        <f>P6</f>
        <v>2.9</v>
      </c>
      <c r="D22" s="263" t="s">
        <v>79</v>
      </c>
      <c r="E22" s="263">
        <f>P13</f>
        <v>2.5</v>
      </c>
      <c r="F22" s="263" t="s">
        <v>84</v>
      </c>
      <c r="G22" s="263">
        <f>P14</f>
        <v>0.05</v>
      </c>
      <c r="H22" s="263" t="s">
        <v>86</v>
      </c>
      <c r="I22" s="263">
        <f>P19</f>
        <v>1.7</v>
      </c>
      <c r="K22" s="247" t="s">
        <v>347</v>
      </c>
      <c r="M22" s="376"/>
      <c r="N22" s="552"/>
      <c r="O22" s="21" t="s">
        <v>20</v>
      </c>
      <c r="P22" s="32">
        <v>17.5</v>
      </c>
      <c r="Q22" s="21" t="s">
        <v>23</v>
      </c>
      <c r="R22" s="216"/>
      <c r="U22" s="21" t="s">
        <v>50</v>
      </c>
      <c r="V22" s="21" t="s">
        <v>274</v>
      </c>
      <c r="W22" s="21" t="s">
        <v>276</v>
      </c>
      <c r="X22" s="21" t="s">
        <v>277</v>
      </c>
      <c r="Y22" s="21" t="str">
        <f>IF($P$21&lt;=20,"correto","erro")</f>
        <v>erro</v>
      </c>
      <c r="Z22" s="21" t="str">
        <f>IF($P$8&lt;=0.04,"baixo","erro")</f>
        <v>erro</v>
      </c>
      <c r="AA22" s="21" t="str">
        <f>IF(AND($P$8&gt;=0.041,$P$8&lt;=0.1),"medio","erro")</f>
        <v>erro</v>
      </c>
      <c r="AB22" s="21" t="str">
        <f>IF($P$8&gt;0.101,"adequado","erro")</f>
        <v>adequado</v>
      </c>
      <c r="AC22" s="21" t="str">
        <f>IF(Z22="baixo","baixo",IF(AA22="medio","medio",IF(AB22="adequado","adequado",0)))</f>
        <v>adequado</v>
      </c>
      <c r="AD22" s="583" t="str">
        <f>VLOOKUP("correto",Y22:AC23,5,0)</f>
        <v>adequado</v>
      </c>
      <c r="AO22" s="47"/>
      <c r="AP22" s="47"/>
      <c r="AQ22" s="47"/>
      <c r="AR22" s="47"/>
      <c r="AS22" s="47"/>
      <c r="AT22" s="47"/>
      <c r="AU22" s="47"/>
      <c r="AV22" s="47"/>
      <c r="AW22" s="47"/>
      <c r="AX22" s="47"/>
      <c r="AY22" s="47"/>
      <c r="AZ22" s="47"/>
      <c r="BA22" s="47"/>
      <c r="BB22" s="47"/>
    </row>
    <row r="23" spans="2:54" ht="19.5" customHeight="1" x14ac:dyDescent="0.25">
      <c r="B23" s="264" t="s">
        <v>82</v>
      </c>
      <c r="C23" s="265">
        <f>P7</f>
        <v>0.5</v>
      </c>
      <c r="D23" s="263" t="s">
        <v>129</v>
      </c>
      <c r="E23" s="263">
        <f>P11</f>
        <v>4</v>
      </c>
      <c r="F23" s="263" t="s">
        <v>87</v>
      </c>
      <c r="G23" s="263">
        <f>P16</f>
        <v>0.6</v>
      </c>
      <c r="H23" s="263" t="s">
        <v>83</v>
      </c>
      <c r="I23" s="263">
        <f>P15</f>
        <v>2.2999999999999998</v>
      </c>
      <c r="K23" s="247" t="s">
        <v>348</v>
      </c>
      <c r="M23" s="376"/>
      <c r="N23" s="552"/>
      <c r="O23" s="21" t="s">
        <v>21</v>
      </c>
      <c r="P23" s="32">
        <v>16.899999999999999</v>
      </c>
      <c r="Q23" s="21" t="s">
        <v>10</v>
      </c>
      <c r="R23" s="216"/>
      <c r="U23" s="21" t="s">
        <v>61</v>
      </c>
      <c r="V23" s="21" t="s">
        <v>275</v>
      </c>
      <c r="W23" s="21" t="s">
        <v>278</v>
      </c>
      <c r="X23" s="21" t="s">
        <v>279</v>
      </c>
      <c r="Y23" s="21" t="str">
        <f>IF($P$21&gt;20,"correto","erro")</f>
        <v>correto</v>
      </c>
      <c r="Z23" s="21" t="str">
        <f>IF($P$8&lt;=0.06,"baixo","erro")</f>
        <v>erro</v>
      </c>
      <c r="AA23" s="21" t="str">
        <f>IF(AND($P$8&gt;=0.061,$P$8&lt;=0.2),"medio","erro")</f>
        <v>erro</v>
      </c>
      <c r="AB23" s="21" t="str">
        <f>IF($P$8&gt;0.201,"adequado","erro")</f>
        <v>adequado</v>
      </c>
      <c r="AC23" s="21" t="str">
        <f>IF(Z23="baixo","baixo",IF(AA23="medio","medio",IF(AB23="adequado","adequado",0)))</f>
        <v>adequado</v>
      </c>
      <c r="AD23" s="545"/>
      <c r="AO23" s="47"/>
      <c r="AP23" s="47"/>
      <c r="AQ23" s="47"/>
      <c r="AR23" s="47"/>
      <c r="AS23" s="47"/>
      <c r="AT23" s="47"/>
      <c r="AU23" s="47"/>
      <c r="AV23" s="47"/>
      <c r="AW23" s="47"/>
      <c r="AX23" s="47"/>
      <c r="AY23" s="47"/>
      <c r="AZ23" s="47"/>
      <c r="BA23" s="47"/>
      <c r="BB23" s="47"/>
    </row>
    <row r="24" spans="2:54" ht="19.5" customHeight="1" x14ac:dyDescent="0.25">
      <c r="B24" s="264" t="s">
        <v>80</v>
      </c>
      <c r="C24" s="265">
        <f>P8</f>
        <v>0.33</v>
      </c>
      <c r="D24" s="263" t="s">
        <v>130</v>
      </c>
      <c r="E24" s="263">
        <f>P10</f>
        <v>0</v>
      </c>
      <c r="F24" s="263" t="s">
        <v>89</v>
      </c>
      <c r="G24" s="263">
        <f>P17</f>
        <v>84.8</v>
      </c>
      <c r="H24" s="263" t="s">
        <v>131</v>
      </c>
      <c r="I24" s="263">
        <f>P25</f>
        <v>7.7799999999999994</v>
      </c>
      <c r="K24" s="247" t="s">
        <v>349</v>
      </c>
      <c r="M24" s="376"/>
      <c r="N24" s="552"/>
      <c r="O24" s="21" t="s">
        <v>22</v>
      </c>
      <c r="P24" s="263">
        <f>100*(P6+P7+P8+P9)/P25</f>
        <v>48.586118251928028</v>
      </c>
      <c r="Q24" s="21" t="s">
        <v>23</v>
      </c>
      <c r="R24" s="216"/>
      <c r="AO24" s="47"/>
      <c r="AP24" s="47"/>
      <c r="AQ24" s="47"/>
      <c r="AR24" s="47"/>
      <c r="AS24" s="59">
        <f>AS26-(SUM(AS27:AS36))</f>
        <v>8</v>
      </c>
      <c r="AT24" s="59">
        <f t="shared" ref="AT24:AV24" si="3">AT26-(SUM(AT27:AT36))</f>
        <v>0</v>
      </c>
      <c r="AU24" s="59">
        <f t="shared" si="3"/>
        <v>0</v>
      </c>
      <c r="AV24" s="59">
        <f t="shared" si="3"/>
        <v>0</v>
      </c>
      <c r="AW24" s="47"/>
      <c r="AX24" s="47"/>
      <c r="AY24" s="47"/>
      <c r="AZ24" s="47"/>
      <c r="BA24" s="47"/>
      <c r="BB24" s="47"/>
    </row>
    <row r="25" spans="2:54" ht="19.5" customHeight="1" thickBot="1" x14ac:dyDescent="0.3">
      <c r="K25" s="247" t="s">
        <v>588</v>
      </c>
      <c r="M25" s="376"/>
      <c r="N25" s="552"/>
      <c r="O25" s="21" t="s">
        <v>24</v>
      </c>
      <c r="P25" s="266">
        <f>(P6+P7+P8+P9+P11)</f>
        <v>7.7799999999999994</v>
      </c>
      <c r="Q25" s="21" t="s">
        <v>55</v>
      </c>
      <c r="R25" s="216"/>
      <c r="AO25" s="47"/>
      <c r="AP25" s="461" t="s">
        <v>258</v>
      </c>
      <c r="AQ25" s="461" t="s">
        <v>259</v>
      </c>
      <c r="AR25" s="461"/>
      <c r="AS25" s="222" t="s">
        <v>84</v>
      </c>
      <c r="AT25" s="222" t="s">
        <v>87</v>
      </c>
      <c r="AU25" s="222" t="s">
        <v>85</v>
      </c>
      <c r="AV25" s="222" t="s">
        <v>86</v>
      </c>
      <c r="AW25" s="47"/>
      <c r="AX25" s="47"/>
      <c r="AY25" s="47"/>
      <c r="AZ25" s="47"/>
      <c r="BA25" s="47"/>
      <c r="BB25" s="47"/>
    </row>
    <row r="26" spans="2:54" ht="19.5" customHeight="1" thickBot="1" x14ac:dyDescent="0.3">
      <c r="B26" s="373" t="s">
        <v>272</v>
      </c>
      <c r="C26" s="374"/>
      <c r="D26" s="374"/>
      <c r="E26" s="374"/>
      <c r="F26" s="374"/>
      <c r="G26" s="374"/>
      <c r="H26" s="374"/>
      <c r="I26" s="375"/>
      <c r="J26" s="267"/>
      <c r="K26" s="247" t="s">
        <v>590</v>
      </c>
      <c r="M26" s="217"/>
      <c r="N26" s="218"/>
      <c r="O26" s="218"/>
      <c r="P26" s="218"/>
      <c r="Q26" s="218"/>
      <c r="R26" s="219"/>
      <c r="U26" s="352" t="s">
        <v>312</v>
      </c>
      <c r="V26" s="353"/>
      <c r="W26" s="353"/>
      <c r="X26" s="353"/>
      <c r="Y26" s="353"/>
      <c r="Z26" s="354"/>
      <c r="AO26" s="47"/>
      <c r="AP26" s="461"/>
      <c r="AQ26" s="461"/>
      <c r="AR26" s="461"/>
      <c r="AS26" s="72">
        <f>AK9</f>
        <v>8</v>
      </c>
      <c r="AT26" s="72">
        <f>AK12</f>
        <v>0</v>
      </c>
      <c r="AU26" s="72">
        <f>AK15</f>
        <v>0</v>
      </c>
      <c r="AV26" s="72">
        <f>AK18</f>
        <v>0</v>
      </c>
      <c r="AW26" s="47"/>
      <c r="AX26" s="47"/>
      <c r="AY26" s="47"/>
      <c r="AZ26" s="47"/>
      <c r="BA26" s="47"/>
      <c r="BB26" s="47"/>
    </row>
    <row r="27" spans="2:54" ht="19.5" customHeight="1" thickBot="1" x14ac:dyDescent="0.3">
      <c r="B27" s="554" t="str">
        <f>IF($O$47&gt;0,$O$47,"-")</f>
        <v>AGROSILICIO</v>
      </c>
      <c r="C27" s="554"/>
      <c r="D27" s="268">
        <f>IF(J27&gt;0,J27,"-")</f>
        <v>3.7832817337461293</v>
      </c>
      <c r="E27" s="389" t="str">
        <f>IF(J27&gt;0,"toneladas por hectare ou,","-")</f>
        <v>toneladas por hectare ou,</v>
      </c>
      <c r="F27" s="389"/>
      <c r="G27" s="389"/>
      <c r="H27" s="269" t="s">
        <v>598</v>
      </c>
      <c r="I27" s="269">
        <f>IFERROR((D27*1000*VLOOKUP(B27,$V$56:$W$68,2,0)*$O$34),0)</f>
        <v>2118.6377708978325</v>
      </c>
      <c r="J27" s="270">
        <f>V51</f>
        <v>3.7832817337461293</v>
      </c>
      <c r="K27" s="247" t="s">
        <v>351</v>
      </c>
      <c r="U27" s="21" t="s">
        <v>300</v>
      </c>
      <c r="V27" s="21" t="s">
        <v>313</v>
      </c>
      <c r="W27" s="21" t="s">
        <v>75</v>
      </c>
      <c r="X27" s="21" t="s">
        <v>71</v>
      </c>
      <c r="Y27" s="21" t="s">
        <v>314</v>
      </c>
      <c r="Z27" s="21" t="s">
        <v>315</v>
      </c>
      <c r="AO27" s="47"/>
      <c r="AP27" s="447" t="s">
        <v>261</v>
      </c>
      <c r="AQ27" s="447" t="str">
        <f>B30</f>
        <v>-</v>
      </c>
      <c r="AR27" s="447"/>
      <c r="AS27" s="55">
        <f t="shared" ref="AS27:AS36" si="4">IFERROR(VLOOKUP(AQ27,$V$100:$AL$179,11,0)*0.01*VLOOKUP(AQ27,$B$27:$J$52,9,0),0)</f>
        <v>0</v>
      </c>
      <c r="AT27" s="55">
        <f t="shared" ref="AT27:AT36" si="5">IFERROR(VLOOKUP(AQ27,$V$100:$AL$179,12,0)*0.01*VLOOKUP(AQ27,$B$27:$J$52,9,0),0)</f>
        <v>0</v>
      </c>
      <c r="AU27" s="55">
        <f t="shared" ref="AU27:AU36" si="6">IFERROR(VLOOKUP(AQ27,$V$100:$AL$179,13,0)*0.01*VLOOKUP(AQ27,$B$27:$J$52,9,0),0)</f>
        <v>0</v>
      </c>
      <c r="AV27" s="55">
        <f t="shared" ref="AV27:AV36" si="7">IFERROR(VLOOKUP(AQ27,$V$100:$AL$179,14,0)*0.01*VLOOKUP(AQ27,$B$27:$J$52,9,0),0)</f>
        <v>0</v>
      </c>
      <c r="AW27" s="47"/>
      <c r="AX27" s="47"/>
      <c r="AY27" s="47"/>
      <c r="AZ27" s="47"/>
      <c r="BA27" s="47"/>
      <c r="BB27" s="47"/>
    </row>
    <row r="28" spans="2:54" ht="19.5" customHeight="1" x14ac:dyDescent="0.25">
      <c r="B28" s="554"/>
      <c r="C28" s="554"/>
      <c r="D28" s="271">
        <f>IF(J28&gt;0,J28,"-")</f>
        <v>0.37832817337461294</v>
      </c>
      <c r="E28" s="391" t="str">
        <f>IF(J28&gt;0,"gramas por metro quadrado","-")</f>
        <v>gramas por metro quadrado</v>
      </c>
      <c r="F28" s="391"/>
      <c r="G28" s="391"/>
      <c r="H28" s="272" t="s">
        <v>599</v>
      </c>
      <c r="I28" s="272">
        <f>I27/$E$18</f>
        <v>16.949102167182659</v>
      </c>
      <c r="J28" s="270">
        <f>J27/10</f>
        <v>0.37832817337461294</v>
      </c>
      <c r="K28" s="247" t="s">
        <v>352</v>
      </c>
      <c r="M28" s="212"/>
      <c r="N28" s="213"/>
      <c r="O28" s="213"/>
      <c r="P28" s="213"/>
      <c r="Q28" s="213"/>
      <c r="R28" s="214"/>
      <c r="U28" s="21" t="s">
        <v>50</v>
      </c>
      <c r="V28" s="21">
        <v>60000</v>
      </c>
      <c r="W28" s="21" t="s">
        <v>68</v>
      </c>
      <c r="X28" s="21" t="str">
        <f>CONCATENATE(U28," - ",W28)</f>
        <v>&lt; 20 - baixo</v>
      </c>
      <c r="Y28" s="21">
        <v>70000</v>
      </c>
      <c r="Z28" s="21">
        <v>100000</v>
      </c>
      <c r="AE28" s="273" t="s">
        <v>63</v>
      </c>
      <c r="AG28" s="21" t="s">
        <v>63</v>
      </c>
      <c r="AI28" s="274" t="s">
        <v>63</v>
      </c>
      <c r="AK28" s="274" t="s">
        <v>63</v>
      </c>
      <c r="AL28" s="21" t="s">
        <v>77</v>
      </c>
      <c r="AO28" s="47"/>
      <c r="AP28" s="447"/>
      <c r="AQ28" s="447" t="str">
        <f>B48</f>
        <v>-</v>
      </c>
      <c r="AR28" s="447"/>
      <c r="AS28" s="55">
        <f t="shared" si="4"/>
        <v>0</v>
      </c>
      <c r="AT28" s="55">
        <f t="shared" si="5"/>
        <v>0</v>
      </c>
      <c r="AU28" s="55">
        <f t="shared" si="6"/>
        <v>0</v>
      </c>
      <c r="AV28" s="55">
        <f t="shared" si="7"/>
        <v>0</v>
      </c>
      <c r="AW28" s="47"/>
      <c r="AX28" s="47"/>
      <c r="AY28" s="47"/>
      <c r="AZ28" s="47"/>
      <c r="BA28" s="47"/>
      <c r="BB28" s="47"/>
    </row>
    <row r="29" spans="2:54" ht="19.5" customHeight="1" x14ac:dyDescent="0.25">
      <c r="D29" s="271"/>
      <c r="E29" s="391"/>
      <c r="F29" s="391"/>
      <c r="G29" s="391"/>
      <c r="H29" s="550"/>
      <c r="I29" s="550"/>
      <c r="J29" s="267"/>
      <c r="K29" s="247" t="s">
        <v>592</v>
      </c>
      <c r="M29" s="376" t="s">
        <v>211</v>
      </c>
      <c r="N29" s="552"/>
      <c r="O29" s="563" t="s">
        <v>600</v>
      </c>
      <c r="P29" s="564"/>
      <c r="Q29" s="565"/>
      <c r="R29" s="216"/>
      <c r="U29" s="21" t="s">
        <v>50</v>
      </c>
      <c r="V29" s="21">
        <v>60000</v>
      </c>
      <c r="W29" s="21" t="s">
        <v>69</v>
      </c>
      <c r="X29" s="21" t="str">
        <f t="shared" ref="X29:X42" si="8">CONCATENATE(U29," - ",W29)</f>
        <v>&lt; 20 - medio</v>
      </c>
      <c r="Y29" s="21">
        <v>55000</v>
      </c>
      <c r="Z29" s="21">
        <v>80000</v>
      </c>
      <c r="AB29" s="582" t="s">
        <v>65</v>
      </c>
      <c r="AC29" s="582"/>
      <c r="AE29" s="273" t="s">
        <v>300</v>
      </c>
      <c r="AG29" s="21" t="s">
        <v>189</v>
      </c>
      <c r="AI29" s="274"/>
      <c r="AK29" s="275" t="str">
        <f>'[1]Adubos e corretivos'!E120</f>
        <v>Composto de lixo (COL)</v>
      </c>
      <c r="AL29" s="276">
        <f>'[1]Adubos e corretivos'!F120</f>
        <v>0.15</v>
      </c>
      <c r="AO29" s="47"/>
      <c r="AP29" s="447"/>
      <c r="AQ29" s="447" t="str">
        <f>B51</f>
        <v>Termofosfato YOORIN</v>
      </c>
      <c r="AR29" s="447"/>
      <c r="AS29" s="55">
        <f t="shared" si="4"/>
        <v>0</v>
      </c>
      <c r="AT29" s="55">
        <f t="shared" si="5"/>
        <v>0</v>
      </c>
      <c r="AU29" s="55">
        <f t="shared" si="6"/>
        <v>0</v>
      </c>
      <c r="AV29" s="55">
        <f t="shared" si="7"/>
        <v>0</v>
      </c>
      <c r="AW29" s="47"/>
      <c r="AX29" s="47"/>
      <c r="AY29" s="47"/>
      <c r="AZ29" s="47"/>
      <c r="BA29" s="47"/>
      <c r="BB29" s="47"/>
    </row>
    <row r="30" spans="2:54" ht="19.5" customHeight="1" x14ac:dyDescent="0.25">
      <c r="B30" s="554" t="str">
        <f>IF($O$50&gt;0,$O$50,"-")</f>
        <v>-</v>
      </c>
      <c r="C30" s="554"/>
      <c r="D30" s="268" t="str">
        <f>IF(J30&gt;0,J30,"-")</f>
        <v>-</v>
      </c>
      <c r="E30" s="391" t="str">
        <f>IF(J30&gt;0,"toneladas por hectare ou,","-")</f>
        <v>-</v>
      </c>
      <c r="F30" s="391"/>
      <c r="G30" s="391"/>
      <c r="H30" s="272" t="s">
        <v>598</v>
      </c>
      <c r="I30" s="272">
        <f>IFERROR((D30*1000*VLOOKUP(B30,$V$87:$W$95,2,0)*$O$34),0)</f>
        <v>0</v>
      </c>
      <c r="J30" s="270">
        <f>Z49</f>
        <v>0</v>
      </c>
      <c r="K30" s="247" t="s">
        <v>353</v>
      </c>
      <c r="M30" s="376"/>
      <c r="N30" s="552"/>
      <c r="O30" s="32">
        <v>10</v>
      </c>
      <c r="P30" s="277" t="s">
        <v>200</v>
      </c>
      <c r="Q30" s="32">
        <v>8</v>
      </c>
      <c r="R30" s="216"/>
      <c r="U30" s="21" t="s">
        <v>50</v>
      </c>
      <c r="V30" s="21">
        <v>60000</v>
      </c>
      <c r="W30" s="21" t="s">
        <v>70</v>
      </c>
      <c r="X30" s="21" t="str">
        <f t="shared" si="8"/>
        <v>&lt; 20 - adequado</v>
      </c>
      <c r="Y30" s="21">
        <v>15000</v>
      </c>
      <c r="Z30" s="21">
        <v>50000</v>
      </c>
      <c r="AB30" s="31" t="s">
        <v>33</v>
      </c>
      <c r="AC30" s="277">
        <f>(VLOOKUP($P$39,$U$28:$V$42,2,0)/$E$18)/AD30</f>
        <v>1320</v>
      </c>
      <c r="AD30" s="278">
        <f>'[1]Abacate produção'!AD30</f>
        <v>1</v>
      </c>
      <c r="AE30" s="273" t="s">
        <v>34</v>
      </c>
      <c r="AG30" s="21" t="s">
        <v>190</v>
      </c>
      <c r="AI30" s="274">
        <v>0</v>
      </c>
      <c r="AK30" s="279" t="str">
        <f>'[1]Adubos e corretivos'!E121</f>
        <v>Cama de frango corte</v>
      </c>
      <c r="AL30" s="280">
        <f>'[1]Adubos e corretivos'!F121</f>
        <v>0.25</v>
      </c>
      <c r="AO30" s="47"/>
      <c r="AP30" s="447"/>
      <c r="AQ30" s="447" t="str">
        <f>B54</f>
        <v>-</v>
      </c>
      <c r="AR30" s="447"/>
      <c r="AS30" s="55">
        <f t="shared" si="4"/>
        <v>0</v>
      </c>
      <c r="AT30" s="55">
        <f t="shared" si="5"/>
        <v>0</v>
      </c>
      <c r="AU30" s="55">
        <f t="shared" si="6"/>
        <v>0</v>
      </c>
      <c r="AV30" s="55">
        <f t="shared" si="7"/>
        <v>0</v>
      </c>
      <c r="AW30" s="47"/>
      <c r="AX30" s="47"/>
      <c r="AY30" s="47"/>
      <c r="AZ30" s="47"/>
      <c r="BA30" s="47"/>
      <c r="BB30" s="47"/>
    </row>
    <row r="31" spans="2:54" ht="19.5" customHeight="1" x14ac:dyDescent="0.25">
      <c r="B31" s="554"/>
      <c r="C31" s="554"/>
      <c r="D31" s="271" t="str">
        <f>IF(J31&gt;0,J31,"-")</f>
        <v>-</v>
      </c>
      <c r="E31" s="391" t="str">
        <f>IF(J31&gt;0,"gramas por metro quadrado","-")</f>
        <v>-</v>
      </c>
      <c r="F31" s="391"/>
      <c r="G31" s="391"/>
      <c r="H31" s="272" t="s">
        <v>599</v>
      </c>
      <c r="I31" s="272">
        <f>I30/E18</f>
        <v>0</v>
      </c>
      <c r="J31" s="270">
        <f>J30/10</f>
        <v>0</v>
      </c>
      <c r="K31" s="247" t="s">
        <v>354</v>
      </c>
      <c r="M31" s="376"/>
      <c r="N31" s="552"/>
      <c r="O31" s="554"/>
      <c r="P31" s="554"/>
      <c r="Q31" s="554"/>
      <c r="R31" s="216"/>
      <c r="U31" s="21" t="s">
        <v>298</v>
      </c>
      <c r="V31" s="21">
        <v>75000</v>
      </c>
      <c r="W31" s="21" t="s">
        <v>68</v>
      </c>
      <c r="X31" s="21" t="str">
        <f t="shared" si="8"/>
        <v>20,1 - 30 - baixo</v>
      </c>
      <c r="Y31" s="21">
        <v>90000</v>
      </c>
      <c r="Z31" s="21">
        <v>140000</v>
      </c>
      <c r="AB31" s="31" t="s">
        <v>66</v>
      </c>
      <c r="AC31" s="31">
        <f>(VLOOKUP(AB36,X28:Z42,2,0)/$E$18)/AD31</f>
        <v>1520</v>
      </c>
      <c r="AD31" s="278">
        <f>'[1]Abacate produção'!AD31</f>
        <v>1</v>
      </c>
      <c r="AE31" s="273" t="s">
        <v>50</v>
      </c>
      <c r="AG31" s="281" t="e">
        <f>10000/((($O$32/2)+($P$32/2))*$Q$32)</f>
        <v>#DIV/0!</v>
      </c>
      <c r="AI31" s="274">
        <v>0.1</v>
      </c>
      <c r="AK31" s="275" t="str">
        <f>'[1]Adubos e corretivos'!E122</f>
        <v>Esterco de galinha</v>
      </c>
      <c r="AL31" s="276">
        <f>'[1]Adubos e corretivos'!F122</f>
        <v>0.25</v>
      </c>
      <c r="AO31" s="47"/>
      <c r="AP31" s="447"/>
      <c r="AQ31" s="447" t="str">
        <f>B57</f>
        <v>Kmag</v>
      </c>
      <c r="AR31" s="447"/>
      <c r="AS31" s="55">
        <f t="shared" si="4"/>
        <v>0</v>
      </c>
      <c r="AT31" s="55">
        <f t="shared" si="5"/>
        <v>0</v>
      </c>
      <c r="AU31" s="55">
        <f t="shared" si="6"/>
        <v>0</v>
      </c>
      <c r="AV31" s="55">
        <f t="shared" si="7"/>
        <v>0</v>
      </c>
      <c r="AW31" s="47"/>
      <c r="AX31" s="47"/>
      <c r="AY31" s="47"/>
      <c r="AZ31" s="47"/>
      <c r="BA31" s="47"/>
      <c r="BB31" s="47"/>
    </row>
    <row r="32" spans="2:54" ht="19.5" customHeight="1" x14ac:dyDescent="0.25">
      <c r="K32" s="247" t="s">
        <v>355</v>
      </c>
      <c r="M32" s="376"/>
      <c r="N32" s="552"/>
      <c r="O32" s="80"/>
      <c r="P32" s="80"/>
      <c r="Q32" s="80"/>
      <c r="R32" s="216"/>
      <c r="U32" s="21" t="s">
        <v>298</v>
      </c>
      <c r="V32" s="21">
        <v>75000</v>
      </c>
      <c r="W32" s="21" t="s">
        <v>69</v>
      </c>
      <c r="X32" s="21" t="str">
        <f t="shared" si="8"/>
        <v>20,1 - 30 - medio</v>
      </c>
      <c r="Y32" s="21">
        <v>70000</v>
      </c>
      <c r="Z32" s="21">
        <v>90000</v>
      </c>
      <c r="AB32" s="31" t="s">
        <v>67</v>
      </c>
      <c r="AC32" s="31">
        <f>(VLOOKUP($AB$39,X28:Z42,3,0)/$E$18)/AD32</f>
        <v>1120</v>
      </c>
      <c r="AD32" s="278">
        <f>'[1]Abacate produção'!AD32</f>
        <v>1</v>
      </c>
      <c r="AE32" s="273" t="s">
        <v>298</v>
      </c>
      <c r="AI32" s="274">
        <v>0.2</v>
      </c>
      <c r="AK32" s="279" t="str">
        <f>'[1]Adubos e corretivos'!E123</f>
        <v>Esterco Bovino curtido</v>
      </c>
      <c r="AL32" s="280">
        <f>'[1]Adubos e corretivos'!F123</f>
        <v>0.25</v>
      </c>
      <c r="AO32" s="47"/>
      <c r="AP32" s="447"/>
      <c r="AQ32" s="447" t="str">
        <f>B60</f>
        <v>-</v>
      </c>
      <c r="AR32" s="447"/>
      <c r="AS32" s="55">
        <f t="shared" si="4"/>
        <v>0</v>
      </c>
      <c r="AT32" s="55">
        <f t="shared" si="5"/>
        <v>0</v>
      </c>
      <c r="AU32" s="55">
        <f t="shared" si="6"/>
        <v>0</v>
      </c>
      <c r="AV32" s="55">
        <f t="shared" si="7"/>
        <v>0</v>
      </c>
      <c r="AW32" s="47"/>
      <c r="AX32" s="47"/>
      <c r="AY32" s="47"/>
      <c r="AZ32" s="47"/>
      <c r="BA32" s="47"/>
      <c r="BB32" s="47"/>
    </row>
    <row r="33" spans="2:57" ht="19.5" customHeight="1" x14ac:dyDescent="0.25">
      <c r="B33" s="553" t="s">
        <v>533</v>
      </c>
      <c r="C33" s="553"/>
      <c r="D33" s="553"/>
      <c r="E33" s="553"/>
      <c r="F33" s="553"/>
      <c r="G33" s="553"/>
      <c r="H33" s="553"/>
      <c r="I33" s="553"/>
      <c r="K33" s="247" t="s">
        <v>593</v>
      </c>
      <c r="M33" s="376"/>
      <c r="N33" s="552"/>
      <c r="O33" s="563" t="s">
        <v>602</v>
      </c>
      <c r="P33" s="564"/>
      <c r="Q33" s="565"/>
      <c r="R33" s="216"/>
      <c r="U33" s="21" t="s">
        <v>298</v>
      </c>
      <c r="V33" s="21">
        <v>75000</v>
      </c>
      <c r="W33" s="21" t="s">
        <v>70</v>
      </c>
      <c r="X33" s="21" t="str">
        <f t="shared" si="8"/>
        <v>20,1 - 30 - adequado</v>
      </c>
      <c r="Y33" s="21">
        <v>20000</v>
      </c>
      <c r="Z33" s="21">
        <v>60000</v>
      </c>
      <c r="AE33" s="273" t="s">
        <v>318</v>
      </c>
      <c r="AI33" s="274">
        <v>0.3</v>
      </c>
      <c r="AK33" s="275" t="str">
        <f>'[1]Adubos e corretivos'!E124</f>
        <v>Esterco de equino</v>
      </c>
      <c r="AL33" s="276">
        <f>'[1]Adubos e corretivos'!F124</f>
        <v>0.12</v>
      </c>
      <c r="AO33" s="47"/>
      <c r="AP33" s="447"/>
      <c r="AQ33" s="447" t="str">
        <f>B63</f>
        <v>-</v>
      </c>
      <c r="AR33" s="447"/>
      <c r="AS33" s="55">
        <f t="shared" si="4"/>
        <v>0</v>
      </c>
      <c r="AT33" s="55">
        <f t="shared" si="5"/>
        <v>0</v>
      </c>
      <c r="AU33" s="55">
        <f t="shared" si="6"/>
        <v>0</v>
      </c>
      <c r="AV33" s="55">
        <f t="shared" si="7"/>
        <v>0</v>
      </c>
      <c r="AW33" s="47"/>
      <c r="AX33" s="47"/>
      <c r="AY33" s="47"/>
      <c r="AZ33" s="47"/>
      <c r="BA33" s="47"/>
      <c r="BB33" s="47"/>
    </row>
    <row r="34" spans="2:57" ht="19.5" customHeight="1" x14ac:dyDescent="0.25">
      <c r="B34" s="553"/>
      <c r="C34" s="553"/>
      <c r="D34" s="553"/>
      <c r="E34" s="553"/>
      <c r="F34" s="553"/>
      <c r="G34" s="553"/>
      <c r="H34" s="553"/>
      <c r="I34" s="553"/>
      <c r="J34" s="282"/>
      <c r="K34" s="247" t="s">
        <v>594</v>
      </c>
      <c r="M34" s="376"/>
      <c r="N34" s="552"/>
      <c r="O34" s="448">
        <v>1</v>
      </c>
      <c r="P34" s="448"/>
      <c r="Q34" s="448"/>
      <c r="R34" s="216"/>
      <c r="U34" s="21" t="s">
        <v>318</v>
      </c>
      <c r="V34" s="21">
        <v>105000</v>
      </c>
      <c r="W34" s="21" t="s">
        <v>68</v>
      </c>
      <c r="X34" s="21" t="str">
        <f t="shared" si="8"/>
        <v>30,1 - 40 - baixo</v>
      </c>
      <c r="Y34" s="21">
        <v>120000</v>
      </c>
      <c r="Z34" s="21">
        <v>180000</v>
      </c>
      <c r="AE34" s="273" t="s">
        <v>320</v>
      </c>
      <c r="AI34" s="274">
        <v>0.4</v>
      </c>
      <c r="AK34" s="279" t="str">
        <f>'[1]Adubos e corretivos'!E125</f>
        <v>Esterco de suínos</v>
      </c>
      <c r="AL34" s="280">
        <f>'[1]Adubos e corretivos'!F125</f>
        <v>0.04</v>
      </c>
      <c r="AO34" s="47"/>
      <c r="AP34" s="447"/>
      <c r="AQ34" s="447" t="str">
        <f>B66</f>
        <v>Torta de mamona Hortibraz</v>
      </c>
      <c r="AR34" s="447"/>
      <c r="AS34" s="55">
        <f t="shared" si="4"/>
        <v>0</v>
      </c>
      <c r="AT34" s="55">
        <f t="shared" si="5"/>
        <v>0</v>
      </c>
      <c r="AU34" s="55">
        <f t="shared" si="6"/>
        <v>0</v>
      </c>
      <c r="AV34" s="55">
        <f t="shared" si="7"/>
        <v>0</v>
      </c>
      <c r="AW34" s="47"/>
      <c r="AX34" s="47"/>
      <c r="AY34" s="47"/>
      <c r="AZ34" s="47"/>
      <c r="BA34" s="47"/>
      <c r="BB34" s="47"/>
    </row>
    <row r="35" spans="2:57" ht="19.5" customHeight="1" thickBot="1" x14ac:dyDescent="0.3">
      <c r="B35" s="553"/>
      <c r="C35" s="553"/>
      <c r="D35" s="553"/>
      <c r="E35" s="553"/>
      <c r="F35" s="553"/>
      <c r="G35" s="553"/>
      <c r="H35" s="553"/>
      <c r="I35" s="553"/>
      <c r="J35" s="282"/>
      <c r="K35" s="252"/>
      <c r="M35" s="217"/>
      <c r="N35" s="218"/>
      <c r="O35" s="283">
        <f>IFERROR(IF(ISERR(P35),Q35,IF(ISERR(Q35),P35)),"-")</f>
        <v>125</v>
      </c>
      <c r="P35" s="284">
        <f>10000/($O$30*$Q$30)</f>
        <v>125</v>
      </c>
      <c r="Q35" s="284" t="e">
        <f>10000/((($O$32/2)+($P$32/2))*$Q$32)</f>
        <v>#DIV/0!</v>
      </c>
      <c r="R35" s="219"/>
      <c r="U35" s="21" t="s">
        <v>318</v>
      </c>
      <c r="V35" s="21">
        <v>105000</v>
      </c>
      <c r="W35" s="21" t="s">
        <v>69</v>
      </c>
      <c r="X35" s="21" t="str">
        <f t="shared" si="8"/>
        <v>30,1 - 40 - medio</v>
      </c>
      <c r="Y35" s="21">
        <v>100000</v>
      </c>
      <c r="Z35" s="21">
        <v>120000</v>
      </c>
      <c r="AB35" s="538" t="s">
        <v>72</v>
      </c>
      <c r="AC35" s="538"/>
      <c r="AE35" s="273" t="s">
        <v>629</v>
      </c>
      <c r="AI35" s="274">
        <v>0.5</v>
      </c>
      <c r="AK35" s="275" t="str">
        <f>'[1]Adubos e corretivos'!E126</f>
        <v>Esterco de ovinos</v>
      </c>
      <c r="AL35" s="276">
        <f>'[1]Adubos e corretivos'!F126</f>
        <v>0.04</v>
      </c>
      <c r="AO35" s="47"/>
      <c r="AP35" s="447"/>
      <c r="AQ35" s="447" t="str">
        <f>B69</f>
        <v>-</v>
      </c>
      <c r="AR35" s="447"/>
      <c r="AS35" s="55">
        <f t="shared" si="4"/>
        <v>0</v>
      </c>
      <c r="AT35" s="55">
        <f t="shared" si="5"/>
        <v>0</v>
      </c>
      <c r="AU35" s="55">
        <f t="shared" si="6"/>
        <v>0</v>
      </c>
      <c r="AV35" s="55">
        <f t="shared" si="7"/>
        <v>0</v>
      </c>
      <c r="AW35" s="47"/>
      <c r="AX35" s="47"/>
      <c r="AY35" s="47"/>
      <c r="AZ35" s="47"/>
      <c r="BA35" s="47"/>
      <c r="BB35" s="47"/>
    </row>
    <row r="36" spans="2:57" ht="19.5" customHeight="1" thickBot="1" x14ac:dyDescent="0.3">
      <c r="J36" s="267"/>
      <c r="K36" s="282"/>
      <c r="M36" s="394"/>
      <c r="N36" s="394"/>
      <c r="O36" s="394"/>
      <c r="P36" s="394"/>
      <c r="Q36" s="394"/>
      <c r="R36" s="394"/>
      <c r="U36" s="21" t="s">
        <v>318</v>
      </c>
      <c r="V36" s="21">
        <v>105000</v>
      </c>
      <c r="W36" s="21" t="s">
        <v>70</v>
      </c>
      <c r="X36" s="21" t="str">
        <f t="shared" si="8"/>
        <v>30,1 - 40 - adequado</v>
      </c>
      <c r="Y36" s="21">
        <v>25000</v>
      </c>
      <c r="Z36" s="21">
        <v>80000</v>
      </c>
      <c r="AB36" s="538" t="str">
        <f>CONCATENATE($P$39," - ",$AD$8)</f>
        <v>50,1  - 60 - baixo</v>
      </c>
      <c r="AC36" s="538"/>
      <c r="AI36" s="274">
        <v>0.6</v>
      </c>
      <c r="AK36" s="279" t="str">
        <f>'[1]Adubos e corretivos'!E127</f>
        <v>Lodo de esgosto</v>
      </c>
      <c r="AL36" s="280">
        <f>'[1]Adubos e corretivos'!F127</f>
        <v>0.1</v>
      </c>
      <c r="AO36" s="47"/>
      <c r="AP36" s="447"/>
      <c r="AQ36" s="447" t="str">
        <f>B72</f>
        <v>-</v>
      </c>
      <c r="AR36" s="447"/>
      <c r="AS36" s="55">
        <f t="shared" si="4"/>
        <v>0</v>
      </c>
      <c r="AT36" s="55">
        <f t="shared" si="5"/>
        <v>0</v>
      </c>
      <c r="AU36" s="55">
        <f t="shared" si="6"/>
        <v>0</v>
      </c>
      <c r="AV36" s="55">
        <f t="shared" si="7"/>
        <v>0</v>
      </c>
      <c r="AW36" s="47"/>
      <c r="AX36" s="47"/>
      <c r="AY36" s="47"/>
      <c r="AZ36" s="47"/>
      <c r="BA36" s="47"/>
      <c r="BB36" s="47"/>
    </row>
    <row r="37" spans="2:57" ht="19.5" customHeight="1" thickBot="1" x14ac:dyDescent="0.3">
      <c r="B37" s="373" t="s">
        <v>184</v>
      </c>
      <c r="C37" s="374"/>
      <c r="D37" s="374"/>
      <c r="E37" s="374"/>
      <c r="F37" s="374"/>
      <c r="G37" s="374"/>
      <c r="H37" s="374"/>
      <c r="I37" s="375"/>
      <c r="J37" s="267"/>
      <c r="K37" s="282"/>
      <c r="M37" s="212"/>
      <c r="N37" s="213"/>
      <c r="O37" s="213"/>
      <c r="P37" s="213"/>
      <c r="Q37" s="213"/>
      <c r="R37" s="214"/>
      <c r="U37" s="21" t="s">
        <v>320</v>
      </c>
      <c r="V37" s="21">
        <v>135000</v>
      </c>
      <c r="W37" s="21" t="s">
        <v>68</v>
      </c>
      <c r="X37" s="21" t="str">
        <f t="shared" si="8"/>
        <v>40,1 - 50 - baixo</v>
      </c>
      <c r="Y37" s="21">
        <v>155000</v>
      </c>
      <c r="Z37" s="21">
        <v>220000</v>
      </c>
      <c r="AI37" s="274">
        <v>0.7</v>
      </c>
      <c r="AK37" s="275" t="str">
        <f>'[1]Adubos e corretivos'!E128</f>
        <v>Compostos orgânicos</v>
      </c>
      <c r="AL37" s="276">
        <f>'[1]Adubos e corretivos'!F128</f>
        <v>0.7</v>
      </c>
      <c r="AO37" s="85"/>
      <c r="AP37" s="85"/>
      <c r="AQ37" s="85"/>
      <c r="AR37" s="85"/>
      <c r="AS37" s="59">
        <f>IF(AS24&gt;0,AS24,0)</f>
        <v>8</v>
      </c>
      <c r="AT37" s="59">
        <f>IF(AT24&gt;0,AT24,0)</f>
        <v>0</v>
      </c>
      <c r="AU37" s="59">
        <f>IF(AU24&gt;0,AU24,0)</f>
        <v>0</v>
      </c>
      <c r="AV37" s="59">
        <f>IF(AV24&gt;0,AV24,0)</f>
        <v>0</v>
      </c>
      <c r="AW37" s="47"/>
      <c r="AX37" s="47"/>
      <c r="AY37" s="47"/>
      <c r="AZ37" s="47"/>
      <c r="BA37" s="47"/>
      <c r="BB37" s="47"/>
    </row>
    <row r="38" spans="2:57" ht="19.5" customHeight="1" x14ac:dyDescent="0.25">
      <c r="B38" s="554" t="str">
        <f>IF($O$56&gt;0,$O$56,"-")</f>
        <v>Gesso Agronelli</v>
      </c>
      <c r="C38" s="554"/>
      <c r="D38" s="285">
        <f>IF(J38&gt;0,J38,"-")</f>
        <v>356.25</v>
      </c>
      <c r="E38" s="389" t="str">
        <f>IF(J38&gt;0,"quilos por hectare ou,","-")</f>
        <v>quilos por hectare ou,</v>
      </c>
      <c r="F38" s="389"/>
      <c r="G38" s="389"/>
      <c r="H38" s="269" t="s">
        <v>598</v>
      </c>
      <c r="I38" s="269">
        <f>IFERROR((D38*VLOOKUP(B38,$V$73:$W$82,2,0)*$O$34),0)</f>
        <v>270.75</v>
      </c>
      <c r="J38" s="286">
        <f>IF(O60="Não",P21*7.5, AE46)</f>
        <v>356.25</v>
      </c>
      <c r="K38" s="282"/>
      <c r="M38" s="376" t="s">
        <v>212</v>
      </c>
      <c r="N38" s="391"/>
      <c r="O38" s="582" t="s">
        <v>301</v>
      </c>
      <c r="P38" s="582"/>
      <c r="Q38" s="582"/>
      <c r="R38" s="216"/>
      <c r="U38" s="21" t="s">
        <v>320</v>
      </c>
      <c r="V38" s="21">
        <v>135000</v>
      </c>
      <c r="W38" s="21" t="s">
        <v>69</v>
      </c>
      <c r="X38" s="21" t="str">
        <f t="shared" si="8"/>
        <v>40,1 - 50 - medio</v>
      </c>
      <c r="Y38" s="21">
        <v>120000</v>
      </c>
      <c r="Z38" s="21">
        <v>160000</v>
      </c>
      <c r="AB38" s="538" t="s">
        <v>73</v>
      </c>
      <c r="AC38" s="538"/>
      <c r="AI38" s="274">
        <v>0.8</v>
      </c>
      <c r="AO38" s="47"/>
      <c r="AP38" s="47"/>
      <c r="AQ38" s="47"/>
      <c r="AR38" s="47"/>
      <c r="AS38" s="47"/>
      <c r="AT38" s="47"/>
      <c r="AU38" s="47"/>
      <c r="AV38" s="47"/>
      <c r="AW38" s="47"/>
      <c r="AX38" s="47"/>
      <c r="AY38" s="47"/>
      <c r="AZ38" s="47"/>
      <c r="BA38" s="47"/>
      <c r="BB38" s="47"/>
    </row>
    <row r="39" spans="2:57" ht="19.5" customHeight="1" x14ac:dyDescent="0.25">
      <c r="B39" s="554"/>
      <c r="C39" s="554"/>
      <c r="D39" s="285">
        <f>IF(J39&gt;0,J39,"-")</f>
        <v>35.625</v>
      </c>
      <c r="E39" s="391" t="str">
        <f>IF(J39&gt;0,"gramas por metro quadrado","-")</f>
        <v>gramas por metro quadrado</v>
      </c>
      <c r="F39" s="391"/>
      <c r="G39" s="391"/>
      <c r="H39" s="272" t="s">
        <v>603</v>
      </c>
      <c r="I39" s="272">
        <f>I38/$E$18</f>
        <v>2.1659999999999999</v>
      </c>
      <c r="J39" s="286">
        <f>J38/10</f>
        <v>35.625</v>
      </c>
      <c r="K39" s="282"/>
      <c r="M39" s="376"/>
      <c r="N39" s="391"/>
      <c r="O39" s="21" t="s">
        <v>303</v>
      </c>
      <c r="P39" s="448" t="s">
        <v>629</v>
      </c>
      <c r="Q39" s="448"/>
      <c r="R39" s="216"/>
      <c r="U39" s="21" t="s">
        <v>320</v>
      </c>
      <c r="V39" s="21">
        <v>135000</v>
      </c>
      <c r="W39" s="21" t="s">
        <v>70</v>
      </c>
      <c r="X39" s="21" t="str">
        <f t="shared" si="8"/>
        <v>40,1 - 50 - adequado</v>
      </c>
      <c r="Y39" s="21">
        <v>30000</v>
      </c>
      <c r="Z39" s="21">
        <v>100000</v>
      </c>
      <c r="AB39" s="538" t="str">
        <f>CONCATENATE($P$39," - ",$AD$22)</f>
        <v>50,1  - 60 - adequado</v>
      </c>
      <c r="AC39" s="538"/>
      <c r="AI39" s="274">
        <v>0.9</v>
      </c>
      <c r="AO39" s="47"/>
      <c r="AP39" s="447" t="s">
        <v>261</v>
      </c>
      <c r="AQ39" s="447"/>
      <c r="AR39" s="220" t="s">
        <v>84</v>
      </c>
      <c r="AS39" s="220" t="s">
        <v>87</v>
      </c>
      <c r="AT39" s="220" t="s">
        <v>85</v>
      </c>
      <c r="AU39" s="220" t="s">
        <v>86</v>
      </c>
      <c r="AV39" s="220" t="s">
        <v>225</v>
      </c>
      <c r="AW39" s="220" t="s">
        <v>84</v>
      </c>
      <c r="AX39" s="220" t="s">
        <v>87</v>
      </c>
      <c r="AY39" s="220" t="s">
        <v>85</v>
      </c>
      <c r="AZ39" s="220" t="s">
        <v>86</v>
      </c>
      <c r="BA39" s="47"/>
      <c r="BB39" s="47"/>
    </row>
    <row r="40" spans="2:57" ht="19.5" customHeight="1" x14ac:dyDescent="0.25">
      <c r="J40" s="267"/>
      <c r="K40" s="282"/>
      <c r="M40" s="376"/>
      <c r="N40" s="391"/>
      <c r="O40" s="215"/>
      <c r="P40" s="215"/>
      <c r="Q40" s="215"/>
      <c r="R40" s="216"/>
      <c r="U40" s="273" t="s">
        <v>629</v>
      </c>
      <c r="V40" s="21">
        <v>165000</v>
      </c>
      <c r="W40" s="21" t="s">
        <v>68</v>
      </c>
      <c r="X40" s="21" t="str">
        <f t="shared" si="8"/>
        <v>50,1  - 60 - baixo</v>
      </c>
      <c r="Y40" s="21">
        <v>190000</v>
      </c>
      <c r="Z40" s="21">
        <v>260000</v>
      </c>
      <c r="AI40" s="274">
        <v>1</v>
      </c>
      <c r="AO40" s="47"/>
      <c r="AP40" s="447" t="str">
        <f>O102</f>
        <v>Ácido Bórico</v>
      </c>
      <c r="AQ40" s="447"/>
      <c r="AR40" s="55">
        <f>IFERROR($AS$37/((VLOOKUP(AP40,$V$100:$AO$179,11,0)*0.01)),0)</f>
        <v>45.714285714285708</v>
      </c>
      <c r="AS40" s="55">
        <f>IFERROR($AT$37/((VLOOKUP(AP40,$V$100:$AO$179,14,0)*0.01)),0)</f>
        <v>0</v>
      </c>
      <c r="AT40" s="55">
        <f>IFERROR($AU$37/((VLOOKUP(AP40,$V$100:$AO$179,12,0)*0.01)),0)</f>
        <v>0</v>
      </c>
      <c r="AU40" s="55">
        <f>IFERROR($AV$37/((VLOOKUP(AP40,$V$100:$AO$179,13,0)*0.01)),0)</f>
        <v>0</v>
      </c>
      <c r="AV40" s="55">
        <f>MAX(AR40:AU40)</f>
        <v>45.714285714285708</v>
      </c>
      <c r="AW40" s="55">
        <f>IFERROR(AV40*(VLOOKUP(AP40,$V$100:$AO$179,11,0)*0.01),0)</f>
        <v>8</v>
      </c>
      <c r="AX40" s="55">
        <f>IFERROR(AV40*(VLOOKUP(AP40,$V$100:$AO$179,14,0)*0.01),0)</f>
        <v>0</v>
      </c>
      <c r="AY40" s="55">
        <f>IFERROR(AV40*(VLOOKUP(AP40,$V$100:$AO$179,12,0)*0.01),0)</f>
        <v>0</v>
      </c>
      <c r="AZ40" s="55">
        <f>IFERROR(AV40*(VLOOKUP(AP40,$V$100:$AO$179,13,0)*0.01),0)</f>
        <v>0</v>
      </c>
      <c r="BA40" s="47"/>
      <c r="BB40" s="47"/>
    </row>
    <row r="41" spans="2:57" ht="19.5" customHeight="1" x14ac:dyDescent="0.25">
      <c r="B41" s="553" t="s">
        <v>534</v>
      </c>
      <c r="C41" s="553"/>
      <c r="D41" s="553"/>
      <c r="E41" s="553"/>
      <c r="F41" s="553"/>
      <c r="G41" s="553"/>
      <c r="H41" s="553"/>
      <c r="I41" s="553"/>
      <c r="J41" s="267"/>
      <c r="K41" s="282"/>
      <c r="M41" s="376"/>
      <c r="N41" s="391"/>
      <c r="O41" s="582" t="s">
        <v>308</v>
      </c>
      <c r="P41" s="582"/>
      <c r="Q41" s="582"/>
      <c r="R41" s="216"/>
      <c r="U41" s="273" t="s">
        <v>629</v>
      </c>
      <c r="V41" s="21">
        <v>165000</v>
      </c>
      <c r="W41" s="21" t="s">
        <v>69</v>
      </c>
      <c r="X41" s="21" t="str">
        <f t="shared" si="8"/>
        <v>50,1  - 60 - medio</v>
      </c>
      <c r="Y41" s="21">
        <v>150000</v>
      </c>
      <c r="Z41" s="21">
        <v>200000</v>
      </c>
      <c r="AO41" s="47"/>
      <c r="AP41" s="447" t="str">
        <f>O103</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9">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15"/>
      <c r="BD41" s="215"/>
      <c r="BE41" s="215"/>
    </row>
    <row r="42" spans="2:57" ht="19.5" customHeight="1" x14ac:dyDescent="0.25">
      <c r="B42" s="553"/>
      <c r="C42" s="553"/>
      <c r="D42" s="553"/>
      <c r="E42" s="553"/>
      <c r="F42" s="553"/>
      <c r="G42" s="553"/>
      <c r="H42" s="553"/>
      <c r="I42" s="553"/>
      <c r="J42" s="267"/>
      <c r="K42" s="282"/>
      <c r="M42" s="376"/>
      <c r="N42" s="391"/>
      <c r="O42" s="483"/>
      <c r="P42" s="513"/>
      <c r="Q42" s="484"/>
      <c r="R42" s="216"/>
      <c r="U42" s="273" t="s">
        <v>629</v>
      </c>
      <c r="V42" s="21">
        <v>165000</v>
      </c>
      <c r="W42" s="21" t="s">
        <v>70</v>
      </c>
      <c r="X42" s="21" t="str">
        <f t="shared" si="8"/>
        <v>50,1  - 60 - adequado</v>
      </c>
      <c r="Y42" s="21">
        <v>40000</v>
      </c>
      <c r="Z42" s="21">
        <v>140000</v>
      </c>
      <c r="AO42" s="47"/>
      <c r="AP42" s="447" t="str">
        <f>O104</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9"/>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19.5" customHeight="1" thickBot="1" x14ac:dyDescent="0.3">
      <c r="J43" s="267"/>
      <c r="K43" s="282"/>
      <c r="M43" s="217"/>
      <c r="N43" s="218"/>
      <c r="O43" s="218"/>
      <c r="P43" s="218"/>
      <c r="Q43" s="218"/>
      <c r="R43" s="219"/>
      <c r="AO43" s="47"/>
      <c r="AP43" s="447" t="str">
        <f>O105</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9"/>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19.5" customHeight="1" thickBot="1" x14ac:dyDescent="0.3">
      <c r="B44" s="577" t="s">
        <v>267</v>
      </c>
      <c r="C44" s="578"/>
      <c r="D44" s="578"/>
      <c r="E44" s="578"/>
      <c r="F44" s="578"/>
      <c r="G44" s="578"/>
      <c r="H44" s="578"/>
      <c r="I44" s="579"/>
      <c r="J44" s="286">
        <f>AV6</f>
        <v>0</v>
      </c>
      <c r="K44" s="282"/>
      <c r="M44" s="389"/>
      <c r="N44" s="389"/>
      <c r="O44" s="389"/>
      <c r="P44" s="389"/>
      <c r="Q44" s="389"/>
      <c r="R44" s="389"/>
      <c r="AO44" s="47"/>
      <c r="AP44" s="447">
        <f>O106</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19.5" customHeight="1" x14ac:dyDescent="0.25">
      <c r="B45" s="580" t="str">
        <f>IF(O42&gt;0,O42,"-")</f>
        <v>-</v>
      </c>
      <c r="C45" s="580"/>
      <c r="D45" s="287">
        <f>IFERROR((D46*$E$18),0)</f>
        <v>0</v>
      </c>
      <c r="E45" s="389" t="str">
        <f>IF(AQ58&gt;0,"quilos para área total","-")</f>
        <v>-</v>
      </c>
      <c r="F45" s="389"/>
      <c r="G45" s="389"/>
      <c r="H45" s="269" t="s">
        <v>598</v>
      </c>
      <c r="I45" s="272">
        <f>I46*$E$18*$I$18</f>
        <v>0</v>
      </c>
      <c r="J45" s="286">
        <f>AV7</f>
        <v>8685.7142857142862</v>
      </c>
      <c r="K45" s="282"/>
      <c r="M45" s="212"/>
      <c r="N45" s="213"/>
      <c r="O45" s="581" t="s">
        <v>604</v>
      </c>
      <c r="P45" s="581"/>
      <c r="Q45" s="581"/>
      <c r="R45" s="214"/>
      <c r="U45" s="352" t="s">
        <v>108</v>
      </c>
      <c r="V45" s="354"/>
      <c r="X45" s="538" t="s">
        <v>202</v>
      </c>
      <c r="Y45" s="538"/>
      <c r="Z45" s="538"/>
      <c r="AB45" s="21" t="s">
        <v>605</v>
      </c>
      <c r="AC45" s="21" t="str">
        <f>IF($P$63&lt;=0.5,"Sim","Não")</f>
        <v>Não</v>
      </c>
      <c r="AD45" s="21" t="s">
        <v>190</v>
      </c>
      <c r="AE45" s="21">
        <f>P21*7.5</f>
        <v>356.25</v>
      </c>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19.5" customHeight="1" x14ac:dyDescent="0.25">
      <c r="B46" s="554"/>
      <c r="C46" s="554"/>
      <c r="D46" s="288" t="str">
        <f>IF(AQ58&gt;0,AQ58,"-")</f>
        <v>-</v>
      </c>
      <c r="E46" s="391" t="str">
        <f>IF(AQ58&gt;0,"quilos por cova ou planta","-")</f>
        <v>-</v>
      </c>
      <c r="F46" s="391"/>
      <c r="G46" s="391"/>
      <c r="H46" s="272" t="s">
        <v>603</v>
      </c>
      <c r="I46" s="272">
        <f>IFERROR(D46*VLOOKUP(B45,$AK$29:$AL$38,2,0),0)</f>
        <v>0</v>
      </c>
      <c r="J46" s="286">
        <f>AV8</f>
        <v>0</v>
      </c>
      <c r="K46" s="282"/>
      <c r="M46" s="376" t="s">
        <v>213</v>
      </c>
      <c r="N46" s="391"/>
      <c r="O46" s="576"/>
      <c r="P46" s="576"/>
      <c r="Q46" s="576"/>
      <c r="R46" s="216"/>
      <c r="U46" s="21" t="s">
        <v>109</v>
      </c>
      <c r="V46" s="289">
        <f>'[1]Adubos e corretivos'!C126</f>
        <v>80</v>
      </c>
      <c r="X46" s="574" t="s">
        <v>268</v>
      </c>
      <c r="Y46" s="574"/>
      <c r="Z46" s="263">
        <f>IFERROR(VLOOKUP(O50,$V$87:$AE$95,10,0),0)</f>
        <v>0</v>
      </c>
      <c r="AB46" s="21" t="s">
        <v>606</v>
      </c>
      <c r="AC46" s="21" t="str">
        <f>IF($P$64&gt;=0.5,"Sim","Não")</f>
        <v>Não</v>
      </c>
      <c r="AD46" s="21" t="s">
        <v>189</v>
      </c>
      <c r="AE46" s="21">
        <f>IF(OR(AC45="Sim",AC46="Sim",AC47="Sim"),P21*7.5,0)</f>
        <v>356.25</v>
      </c>
      <c r="AO46" s="47"/>
      <c r="AP46" s="47"/>
      <c r="AQ46" s="47"/>
      <c r="AR46" s="47"/>
      <c r="AS46" s="47"/>
      <c r="AT46" s="47"/>
      <c r="AU46" s="47"/>
      <c r="AV46" s="47"/>
      <c r="AW46" s="47"/>
      <c r="AX46" s="47"/>
      <c r="AY46" s="47"/>
      <c r="AZ46" s="47"/>
      <c r="BA46" s="47"/>
      <c r="BB46" s="47"/>
    </row>
    <row r="47" spans="2:57" ht="19.5" customHeight="1" x14ac:dyDescent="0.25">
      <c r="D47" s="290"/>
      <c r="J47" s="286">
        <f>AV12</f>
        <v>5333.3333333333339</v>
      </c>
      <c r="K47" s="282"/>
      <c r="M47" s="376"/>
      <c r="N47" s="391"/>
      <c r="O47" s="483" t="s">
        <v>607</v>
      </c>
      <c r="P47" s="484"/>
      <c r="Q47" s="92">
        <v>1</v>
      </c>
      <c r="R47" s="216"/>
      <c r="U47" s="21" t="s">
        <v>111</v>
      </c>
      <c r="V47" s="263">
        <f>IFERROR((((V46-P24)*P25)/V49),0)</f>
        <v>3.7832817337461293</v>
      </c>
      <c r="X47" s="574" t="s">
        <v>203</v>
      </c>
      <c r="Y47" s="574"/>
      <c r="Z47" s="263">
        <f>IFERROR((($V$50/$Z$46)*$V$47),0)</f>
        <v>0</v>
      </c>
      <c r="AB47" s="21" t="s">
        <v>608</v>
      </c>
      <c r="AC47" s="21" t="str">
        <f>IF($P$65&gt;=20,"Sim","Não")</f>
        <v>Sim</v>
      </c>
      <c r="AD47" s="21"/>
      <c r="AE47" s="21"/>
      <c r="AO47" s="47"/>
      <c r="BA47" s="47"/>
      <c r="BB47" s="47"/>
    </row>
    <row r="48" spans="2:57" ht="19.5" customHeight="1" x14ac:dyDescent="0.25">
      <c r="B48" s="554" t="str">
        <f>IF(AQ6&gt;0,AQ6,"-")</f>
        <v>-</v>
      </c>
      <c r="C48" s="554"/>
      <c r="D48" s="287">
        <f>IFERROR(((D49/1000)*$E$18),0)</f>
        <v>0</v>
      </c>
      <c r="E48" s="391" t="str">
        <f>IF(J44&gt;0,"quilos para área total","-")</f>
        <v>-</v>
      </c>
      <c r="F48" s="391"/>
      <c r="G48" s="391"/>
      <c r="H48" s="272" t="s">
        <v>598</v>
      </c>
      <c r="I48" s="272">
        <f>I49*$E$18*$I$18</f>
        <v>0</v>
      </c>
      <c r="J48" s="286">
        <f>AV13</f>
        <v>0</v>
      </c>
      <c r="K48" s="282"/>
      <c r="M48" s="376"/>
      <c r="N48" s="391"/>
      <c r="O48" s="575"/>
      <c r="P48" s="575"/>
      <c r="Q48" s="575"/>
      <c r="R48" s="216"/>
      <c r="U48" s="21" t="s">
        <v>201</v>
      </c>
      <c r="V48" s="263">
        <f>IF(V47&lt;0,(0),IF(V47&gt;=0,(V47)))</f>
        <v>3.7832817337461293</v>
      </c>
      <c r="X48" s="574" t="s">
        <v>201</v>
      </c>
      <c r="Y48" s="574"/>
      <c r="Z48" s="263">
        <f>IFERROR(IF(Z47&lt;0,(0),IF(Z47&gt;=0,(Z47))),0)</f>
        <v>0</v>
      </c>
    </row>
    <row r="49" spans="2:50" ht="19.5" customHeight="1" x14ac:dyDescent="0.25">
      <c r="B49" s="554"/>
      <c r="C49" s="554"/>
      <c r="D49" s="288" t="str">
        <f>IF(J44&gt;0,J44,"-")</f>
        <v>-</v>
      </c>
      <c r="E49" s="391" t="str">
        <f>IF(J44&gt;0,"gramas por cova ou planta","-")</f>
        <v>-</v>
      </c>
      <c r="F49" s="391"/>
      <c r="G49" s="391"/>
      <c r="H49" s="272" t="s">
        <v>603</v>
      </c>
      <c r="I49" s="272">
        <f>IFERROR((D49/1000)*VLOOKUP(B48,$V$100:$W$179,2,0),0)</f>
        <v>0</v>
      </c>
      <c r="J49" s="286">
        <f>AV14</f>
        <v>0</v>
      </c>
      <c r="K49" s="282"/>
      <c r="M49" s="376"/>
      <c r="N49" s="391"/>
      <c r="O49" s="576"/>
      <c r="P49" s="576"/>
      <c r="Q49" s="576"/>
      <c r="R49" s="216"/>
      <c r="U49" s="21" t="s">
        <v>110</v>
      </c>
      <c r="V49" s="263">
        <f>IFERROR(VLOOKUP($O$47,$V$56:$AA$68,5,0),0)</f>
        <v>64.599999999999994</v>
      </c>
      <c r="X49" s="574" t="s">
        <v>273</v>
      </c>
      <c r="Y49" s="574"/>
      <c r="Z49" s="263">
        <f>Z48*$Q$50</f>
        <v>0</v>
      </c>
    </row>
    <row r="50" spans="2:50" ht="19.5" customHeight="1" x14ac:dyDescent="0.25">
      <c r="J50" s="286">
        <f>AV18</f>
        <v>0</v>
      </c>
      <c r="K50" s="282"/>
      <c r="L50" s="215"/>
      <c r="M50" s="376"/>
      <c r="N50" s="391"/>
      <c r="O50" s="483"/>
      <c r="P50" s="484"/>
      <c r="Q50" s="92"/>
      <c r="R50" s="216"/>
      <c r="U50" s="21" t="s">
        <v>193</v>
      </c>
      <c r="V50" s="263">
        <f>IFERROR(VLOOKUP($O$47,$V$56:$AA$68,6,0),0)</f>
        <v>45</v>
      </c>
      <c r="AT50" s="538" t="s">
        <v>280</v>
      </c>
      <c r="AU50" s="538"/>
      <c r="AV50" s="538"/>
    </row>
    <row r="51" spans="2:50" ht="19.5" customHeight="1" thickBot="1" x14ac:dyDescent="0.3">
      <c r="B51" s="554" t="str">
        <f>IF(AQ7&gt;0,AQ7,"-")</f>
        <v>Termofosfato YOORIN</v>
      </c>
      <c r="C51" s="554"/>
      <c r="D51" s="287">
        <f>IFERROR(((D52/1000)*$E$18),0)</f>
        <v>1085.7142857142858</v>
      </c>
      <c r="E51" s="391" t="str">
        <f>IF(J45&gt;0,"quilos para área total","-")</f>
        <v>quilos para área total</v>
      </c>
      <c r="F51" s="391"/>
      <c r="G51" s="391"/>
      <c r="H51" s="272" t="s">
        <v>598</v>
      </c>
      <c r="I51" s="272">
        <f>I52*$E$18*$I$18</f>
        <v>2524.2857142857151</v>
      </c>
      <c r="J51" s="286">
        <f>AV19</f>
        <v>0</v>
      </c>
      <c r="K51" s="282"/>
      <c r="L51" s="215"/>
      <c r="M51" s="217"/>
      <c r="N51" s="218"/>
      <c r="O51" s="218"/>
      <c r="P51" s="218"/>
      <c r="Q51" s="218"/>
      <c r="R51" s="219"/>
      <c r="U51" s="21" t="s">
        <v>273</v>
      </c>
      <c r="V51" s="263">
        <f>V48*$Q$47</f>
        <v>3.7832817337461293</v>
      </c>
      <c r="AT51" s="221" t="s">
        <v>291</v>
      </c>
      <c r="AU51" s="291" t="str">
        <f>AK29</f>
        <v>Composto de lixo (COL)</v>
      </c>
      <c r="AV51" s="221">
        <v>12</v>
      </c>
    </row>
    <row r="52" spans="2:50" ht="19.5" customHeight="1" x14ac:dyDescent="0.25">
      <c r="B52" s="554"/>
      <c r="C52" s="554"/>
      <c r="D52" s="288">
        <f>IF(J45&gt;0,J45,"-")</f>
        <v>8685.7142857142862</v>
      </c>
      <c r="E52" s="391" t="str">
        <f>IF(J45&gt;0,"gramas por planta","-")</f>
        <v>gramas por planta</v>
      </c>
      <c r="F52" s="391"/>
      <c r="G52" s="391"/>
      <c r="H52" s="272" t="s">
        <v>603</v>
      </c>
      <c r="I52" s="272">
        <f>IFERROR((D52/1000)*VLOOKUP(B51,$V$100:$W$179,2,0),0)</f>
        <v>20.194285714285719</v>
      </c>
      <c r="J52" s="286">
        <f>AV20</f>
        <v>0</v>
      </c>
      <c r="K52" s="282"/>
      <c r="L52" s="215"/>
      <c r="AT52" s="221" t="s">
        <v>291</v>
      </c>
      <c r="AU52" s="291" t="str">
        <f t="shared" ref="AU52:AU59" si="10">AK30</f>
        <v>Cama de frango corte</v>
      </c>
      <c r="AV52" s="221">
        <v>4</v>
      </c>
    </row>
    <row r="53" spans="2:50" ht="19.5" customHeight="1" thickBot="1" x14ac:dyDescent="0.3">
      <c r="J53" s="292"/>
      <c r="K53" s="282"/>
      <c r="L53" s="215"/>
      <c r="AP53" s="215"/>
      <c r="AQ53" s="215"/>
      <c r="AS53" s="215"/>
      <c r="AT53" s="221" t="s">
        <v>291</v>
      </c>
      <c r="AU53" s="291" t="str">
        <f t="shared" si="10"/>
        <v>Esterco de galinha</v>
      </c>
      <c r="AV53" s="221">
        <v>4</v>
      </c>
    </row>
    <row r="54" spans="2:50" ht="19.5" customHeight="1" x14ac:dyDescent="0.25">
      <c r="B54" s="554" t="str">
        <f>IF(AQ8&gt;0,AQ8,"-")</f>
        <v>-</v>
      </c>
      <c r="C54" s="554"/>
      <c r="D54" s="287">
        <f>IFERROR(((D55/1000)*$E$18),0)</f>
        <v>0</v>
      </c>
      <c r="E54" s="391" t="str">
        <f>IF(J46&gt;0,"quilos para área total","-")</f>
        <v>-</v>
      </c>
      <c r="F54" s="391"/>
      <c r="G54" s="391"/>
      <c r="H54" s="272" t="s">
        <v>598</v>
      </c>
      <c r="I54" s="272">
        <f>I55*$E$18*$I$18</f>
        <v>0</v>
      </c>
      <c r="J54" s="282"/>
      <c r="K54" s="282"/>
      <c r="M54" s="212"/>
      <c r="N54" s="213"/>
      <c r="O54" s="213"/>
      <c r="P54" s="213"/>
      <c r="Q54" s="213"/>
      <c r="R54" s="214"/>
      <c r="U54" s="572" t="s">
        <v>136</v>
      </c>
      <c r="V54" s="572" t="s">
        <v>76</v>
      </c>
      <c r="W54" s="572" t="s">
        <v>77</v>
      </c>
      <c r="X54" s="572" t="s">
        <v>78</v>
      </c>
      <c r="Y54" s="572"/>
      <c r="Z54" s="572"/>
      <c r="AA54" s="572"/>
      <c r="AP54" s="540"/>
      <c r="AQ54" s="540"/>
      <c r="AS54" s="540"/>
      <c r="AT54" s="221" t="s">
        <v>291</v>
      </c>
      <c r="AU54" s="291" t="str">
        <f t="shared" si="10"/>
        <v>Esterco Bovino curtido</v>
      </c>
      <c r="AV54" s="221">
        <v>12</v>
      </c>
    </row>
    <row r="55" spans="2:50" ht="19.5" customHeight="1" x14ac:dyDescent="0.25">
      <c r="B55" s="554"/>
      <c r="C55" s="554"/>
      <c r="D55" s="288" t="str">
        <f>IF(J46&gt;0,J46,"-")</f>
        <v>-</v>
      </c>
      <c r="E55" s="391" t="str">
        <f>IF(J46&gt;0,"gramas por planta","-")</f>
        <v>-</v>
      </c>
      <c r="F55" s="391"/>
      <c r="G55" s="391"/>
      <c r="H55" s="272" t="s">
        <v>603</v>
      </c>
      <c r="I55" s="272">
        <f>IFERROR((D55/1000)*VLOOKUP(B54,$V$100:$W$179,2,0),0)</f>
        <v>0</v>
      </c>
      <c r="J55" s="282"/>
      <c r="K55" s="282"/>
      <c r="M55" s="376" t="s">
        <v>214</v>
      </c>
      <c r="N55" s="391"/>
      <c r="O55" s="563" t="s">
        <v>307</v>
      </c>
      <c r="P55" s="564"/>
      <c r="Q55" s="565"/>
      <c r="R55" s="216"/>
      <c r="U55" s="572"/>
      <c r="V55" s="572"/>
      <c r="W55" s="572"/>
      <c r="X55" s="293" t="s">
        <v>105</v>
      </c>
      <c r="Y55" s="293" t="s">
        <v>106</v>
      </c>
      <c r="Z55" s="293" t="s">
        <v>107</v>
      </c>
      <c r="AA55" s="293" t="s">
        <v>195</v>
      </c>
      <c r="AP55" s="540"/>
      <c r="AQ55" s="540"/>
      <c r="AS55" s="540"/>
      <c r="AT55" s="221" t="s">
        <v>291</v>
      </c>
      <c r="AU55" s="291" t="str">
        <f t="shared" si="10"/>
        <v>Esterco de equino</v>
      </c>
      <c r="AV55" s="221">
        <v>12</v>
      </c>
    </row>
    <row r="56" spans="2:50" ht="19.5" customHeight="1" x14ac:dyDescent="0.25">
      <c r="J56" s="282"/>
      <c r="K56" s="282"/>
      <c r="M56" s="376"/>
      <c r="N56" s="391"/>
      <c r="O56" s="448" t="s">
        <v>188</v>
      </c>
      <c r="P56" s="448"/>
      <c r="Q56" s="448"/>
      <c r="R56" s="216"/>
      <c r="U56" s="573" t="s">
        <v>185</v>
      </c>
      <c r="V56" s="294" t="str">
        <f>'[1]Adubos e corretivos'!C87</f>
        <v>AGROSILICIO</v>
      </c>
      <c r="W56" s="294">
        <f>'[1]Adubos e corretivos'!D87</f>
        <v>0.56000000000000005</v>
      </c>
      <c r="X56" s="294">
        <f>'[1]Adubos e corretivos'!E87</f>
        <v>36</v>
      </c>
      <c r="Y56" s="294">
        <f>'[1]Adubos e corretivos'!F87</f>
        <v>9</v>
      </c>
      <c r="Z56" s="294">
        <f>'[1]Adubos e corretivos'!G87</f>
        <v>64.599999999999994</v>
      </c>
      <c r="AA56" s="294">
        <f>'[1]Adubos e corretivos'!H87</f>
        <v>45</v>
      </c>
      <c r="AP56" s="215"/>
      <c r="AQ56" s="215"/>
      <c r="AS56" s="215"/>
      <c r="AT56" s="221" t="s">
        <v>291</v>
      </c>
      <c r="AU56" s="291" t="str">
        <f t="shared" si="10"/>
        <v>Esterco de suínos</v>
      </c>
      <c r="AV56" s="221">
        <v>4</v>
      </c>
    </row>
    <row r="57" spans="2:50" ht="19.5" customHeight="1" x14ac:dyDescent="0.25">
      <c r="B57" s="554" t="str">
        <f>IF(AQ12&gt;0,AQ12,"-")</f>
        <v>Kmag</v>
      </c>
      <c r="C57" s="554"/>
      <c r="D57" s="287">
        <f>IFERROR(((D58/1000)*$E$18),0)</f>
        <v>666.66666666666674</v>
      </c>
      <c r="E57" s="555" t="str">
        <f>IF(J47&gt;0,"quilos para área total","-")</f>
        <v>quilos para área total</v>
      </c>
      <c r="F57" s="555"/>
      <c r="G57" s="555"/>
      <c r="H57" s="272" t="s">
        <v>598</v>
      </c>
      <c r="I57" s="272">
        <f>I58*$E$18*$I$18</f>
        <v>1933.3333333333335</v>
      </c>
      <c r="J57" s="282"/>
      <c r="K57" s="282"/>
      <c r="M57" s="376"/>
      <c r="N57" s="391"/>
      <c r="R57" s="216"/>
      <c r="U57" s="573"/>
      <c r="V57" s="294" t="str">
        <f>'[1]Adubos e corretivos'!C88</f>
        <v>BRITACAL Dolomítico</v>
      </c>
      <c r="W57" s="294">
        <f>'[1]Adubos e corretivos'!D88</f>
        <v>0</v>
      </c>
      <c r="X57" s="294">
        <f>'[1]Adubos e corretivos'!E88</f>
        <v>28</v>
      </c>
      <c r="Y57" s="294">
        <f>'[1]Adubos e corretivos'!F88</f>
        <v>15</v>
      </c>
      <c r="Z57" s="294">
        <f>'[1]Adubos e corretivos'!G88</f>
        <v>80</v>
      </c>
      <c r="AA57" s="294">
        <f>'[1]Adubos e corretivos'!H88</f>
        <v>43</v>
      </c>
      <c r="AP57" s="215"/>
      <c r="AQ57" s="448" t="s">
        <v>302</v>
      </c>
      <c r="AR57" s="448"/>
      <c r="AS57" s="215"/>
      <c r="AT57" s="221" t="s">
        <v>291</v>
      </c>
      <c r="AU57" s="291" t="str">
        <f t="shared" si="10"/>
        <v>Esterco de ovinos</v>
      </c>
      <c r="AV57" s="221">
        <v>4</v>
      </c>
    </row>
    <row r="58" spans="2:50" ht="19.5" customHeight="1" x14ac:dyDescent="0.25">
      <c r="B58" s="554"/>
      <c r="C58" s="554"/>
      <c r="D58" s="287">
        <f>IF(J47&gt;0,J47,"-")</f>
        <v>5333.3333333333339</v>
      </c>
      <c r="E58" s="391" t="str">
        <f>IF(J47&gt;0,"gramas por planta","-")</f>
        <v>gramas por planta</v>
      </c>
      <c r="F58" s="391"/>
      <c r="G58" s="391"/>
      <c r="H58" s="272" t="s">
        <v>603</v>
      </c>
      <c r="I58" s="272">
        <f>IFERROR((D58/1000)*VLOOKUP(B57,$V$100:$W$179,2,0),0)</f>
        <v>15.466666666666669</v>
      </c>
      <c r="J58" s="282"/>
      <c r="K58" s="282"/>
      <c r="M58" s="376"/>
      <c r="N58" s="391"/>
      <c r="O58" s="566" t="s">
        <v>609</v>
      </c>
      <c r="P58" s="567"/>
      <c r="Q58" s="568"/>
      <c r="R58" s="216"/>
      <c r="U58" s="573"/>
      <c r="V58" s="294" t="str">
        <f>'[1]Adubos e corretivos'!C89</f>
        <v>BRITACAL Filler</v>
      </c>
      <c r="W58" s="294">
        <f>'[1]Adubos e corretivos'!D89</f>
        <v>0</v>
      </c>
      <c r="X58" s="294">
        <f>'[1]Adubos e corretivos'!E89</f>
        <v>32</v>
      </c>
      <c r="Y58" s="294">
        <f>'[1]Adubos e corretivos'!F89</f>
        <v>15</v>
      </c>
      <c r="Z58" s="294">
        <f>'[1]Adubos e corretivos'!G89</f>
        <v>94</v>
      </c>
      <c r="AA58" s="294">
        <f>'[1]Adubos e corretivos'!H89</f>
        <v>47</v>
      </c>
      <c r="AP58" s="215"/>
      <c r="AQ58" s="448">
        <f>IFERROR(VLOOKUP($O$42,AU51:AV59,2,0),0)</f>
        <v>0</v>
      </c>
      <c r="AR58" s="448"/>
      <c r="AS58" s="215"/>
      <c r="AT58" s="221" t="s">
        <v>291</v>
      </c>
      <c r="AU58" s="291" t="str">
        <f t="shared" si="10"/>
        <v>Lodo de esgosto</v>
      </c>
      <c r="AV58" s="221">
        <v>4</v>
      </c>
    </row>
    <row r="59" spans="2:50" ht="19.5" customHeight="1" x14ac:dyDescent="0.25">
      <c r="J59" s="282"/>
      <c r="K59" s="282"/>
      <c r="M59" s="376"/>
      <c r="N59" s="391"/>
      <c r="O59" s="569"/>
      <c r="P59" s="570"/>
      <c r="Q59" s="571"/>
      <c r="R59" s="216"/>
      <c r="U59" s="573"/>
      <c r="V59" s="294">
        <f>'[1]Adubos e corretivos'!C90</f>
        <v>0</v>
      </c>
      <c r="W59" s="294">
        <f>'[1]Adubos e corretivos'!D90</f>
        <v>0</v>
      </c>
      <c r="X59" s="294">
        <f>'[1]Adubos e corretivos'!E90</f>
        <v>0</v>
      </c>
      <c r="Y59" s="294">
        <f>'[1]Adubos e corretivos'!F90</f>
        <v>0</v>
      </c>
      <c r="Z59" s="294">
        <f>'[1]Adubos e corretivos'!G90</f>
        <v>0</v>
      </c>
      <c r="AA59" s="294">
        <f>'[1]Adubos e corretivos'!H90</f>
        <v>0</v>
      </c>
      <c r="AP59" s="215"/>
      <c r="AS59" s="215"/>
      <c r="AT59" s="221" t="s">
        <v>291</v>
      </c>
      <c r="AU59" s="291" t="str">
        <f t="shared" si="10"/>
        <v>Compostos orgânicos</v>
      </c>
      <c r="AV59" s="221">
        <v>4</v>
      </c>
    </row>
    <row r="60" spans="2:50" ht="19.5" customHeight="1" x14ac:dyDescent="0.25">
      <c r="B60" s="554" t="str">
        <f>IF(AQ13&gt;0,AQ13,"-")</f>
        <v>-</v>
      </c>
      <c r="C60" s="554"/>
      <c r="D60" s="287">
        <f>IFERROR(((D61/1000)*$E$18),0)</f>
        <v>0</v>
      </c>
      <c r="E60" s="555" t="str">
        <f>IF(J48&gt;0,"quilos para área total","-")</f>
        <v>-</v>
      </c>
      <c r="F60" s="555"/>
      <c r="G60" s="555"/>
      <c r="H60" s="272" t="s">
        <v>598</v>
      </c>
      <c r="I60" s="272">
        <f>I61*$E$18*$I$18</f>
        <v>0</v>
      </c>
      <c r="J60" s="282"/>
      <c r="K60" s="282"/>
      <c r="M60" s="376"/>
      <c r="N60" s="391"/>
      <c r="O60" s="483" t="s">
        <v>189</v>
      </c>
      <c r="P60" s="513"/>
      <c r="Q60" s="484"/>
      <c r="R60" s="216"/>
      <c r="U60" s="573"/>
      <c r="V60" s="294">
        <f>'[1]Adubos e corretivos'!C91</f>
        <v>0</v>
      </c>
      <c r="W60" s="294">
        <f>'[1]Adubos e corretivos'!D91</f>
        <v>0</v>
      </c>
      <c r="X60" s="294">
        <f>'[1]Adubos e corretivos'!E91</f>
        <v>0</v>
      </c>
      <c r="Y60" s="294">
        <f>'[1]Adubos e corretivos'!F91</f>
        <v>0</v>
      </c>
      <c r="Z60" s="294">
        <f>'[1]Adubos e corretivos'!G91</f>
        <v>0</v>
      </c>
      <c r="AA60" s="294">
        <f>'[1]Adubos e corretivos'!H91</f>
        <v>0</v>
      </c>
      <c r="AP60" s="215"/>
      <c r="AQ60" s="215"/>
      <c r="AS60" s="215"/>
      <c r="AT60" s="215"/>
      <c r="AU60" s="215"/>
      <c r="AV60" s="215"/>
      <c r="AW60" s="215"/>
      <c r="AX60" s="215"/>
    </row>
    <row r="61" spans="2:50" ht="19.5" customHeight="1" x14ac:dyDescent="0.25">
      <c r="B61" s="554"/>
      <c r="C61" s="554"/>
      <c r="D61" s="287" t="str">
        <f>IF(J48&gt;0,J48,"-")</f>
        <v>-</v>
      </c>
      <c r="E61" s="391" t="str">
        <f>IF(J48&gt;0,"gramas por planta","-")</f>
        <v>-</v>
      </c>
      <c r="F61" s="391"/>
      <c r="G61" s="391"/>
      <c r="H61" s="272" t="s">
        <v>603</v>
      </c>
      <c r="I61" s="272">
        <f>IFERROR((D61/1000)*VLOOKUP(B60,$V$100:$W$179,2,0),0)</f>
        <v>0</v>
      </c>
      <c r="J61" s="282"/>
      <c r="K61" s="282"/>
      <c r="M61" s="376"/>
      <c r="N61" s="391"/>
      <c r="R61" s="216"/>
      <c r="U61" s="573"/>
      <c r="V61" s="294">
        <f>'[1]Adubos e corretivos'!C92</f>
        <v>0</v>
      </c>
      <c r="W61" s="294">
        <f>'[1]Adubos e corretivos'!D92</f>
        <v>0</v>
      </c>
      <c r="X61" s="294">
        <f>'[1]Adubos e corretivos'!E92</f>
        <v>0</v>
      </c>
      <c r="Y61" s="294">
        <f>'[1]Adubos e corretivos'!F92</f>
        <v>0</v>
      </c>
      <c r="Z61" s="294">
        <f>'[1]Adubos e corretivos'!G92</f>
        <v>0</v>
      </c>
      <c r="AA61" s="294">
        <f>'[1]Adubos e corretivos'!H92</f>
        <v>0</v>
      </c>
      <c r="AP61" s="215"/>
      <c r="AQ61" s="215"/>
      <c r="AS61" s="215"/>
      <c r="AT61" s="215"/>
      <c r="AU61" s="215"/>
      <c r="AV61" s="215"/>
      <c r="AW61" s="215"/>
      <c r="AX61" s="215"/>
    </row>
    <row r="62" spans="2:50" ht="19.5" customHeight="1" x14ac:dyDescent="0.25">
      <c r="J62" s="282"/>
      <c r="K62" s="282"/>
      <c r="M62" s="376"/>
      <c r="N62" s="391"/>
      <c r="O62" s="563" t="s">
        <v>610</v>
      </c>
      <c r="P62" s="564"/>
      <c r="Q62" s="565"/>
      <c r="R62" s="216"/>
      <c r="U62" s="573"/>
      <c r="V62" s="294">
        <f>'[1]Adubos e corretivos'!C93</f>
        <v>0</v>
      </c>
      <c r="W62" s="294">
        <f>'[1]Adubos e corretivos'!D93</f>
        <v>0</v>
      </c>
      <c r="X62" s="294">
        <f>'[1]Adubos e corretivos'!E93</f>
        <v>0</v>
      </c>
      <c r="Y62" s="294">
        <f>'[1]Adubos e corretivos'!F93</f>
        <v>0</v>
      </c>
      <c r="Z62" s="294">
        <f>'[1]Adubos e corretivos'!G93</f>
        <v>0</v>
      </c>
      <c r="AA62" s="294">
        <f>'[1]Adubos e corretivos'!H93</f>
        <v>0</v>
      </c>
      <c r="AS62" s="215"/>
      <c r="AT62" s="215"/>
      <c r="AU62" s="215"/>
      <c r="AV62" s="215"/>
      <c r="AW62" s="215"/>
      <c r="AX62" s="215"/>
    </row>
    <row r="63" spans="2:50" ht="19.5" customHeight="1" x14ac:dyDescent="0.25">
      <c r="B63" s="554" t="str">
        <f>IF(AQ14&gt;0,AQ14,"-")</f>
        <v>-</v>
      </c>
      <c r="C63" s="554"/>
      <c r="D63" s="287">
        <f>IFERROR(((D64/1000)*$E$18),0)</f>
        <v>0</v>
      </c>
      <c r="E63" s="555" t="str">
        <f>IF(J49&gt;0,"quilos para área total","-")</f>
        <v>-</v>
      </c>
      <c r="F63" s="555"/>
      <c r="G63" s="555"/>
      <c r="H63" s="272" t="s">
        <v>598</v>
      </c>
      <c r="I63" s="272">
        <f>I64*$E$18*$I$18</f>
        <v>0</v>
      </c>
      <c r="J63" s="282"/>
      <c r="K63" s="282"/>
      <c r="M63" s="376"/>
      <c r="N63" s="391"/>
      <c r="O63" s="21" t="s">
        <v>3</v>
      </c>
      <c r="P63" s="56">
        <v>2</v>
      </c>
      <c r="Q63" s="21" t="s">
        <v>55</v>
      </c>
      <c r="R63" s="216"/>
      <c r="U63" s="573"/>
      <c r="V63" s="294">
        <f>'[1]Adubos e corretivos'!C94</f>
        <v>0</v>
      </c>
      <c r="W63" s="294">
        <f>'[1]Adubos e corretivos'!D94</f>
        <v>0</v>
      </c>
      <c r="X63" s="294">
        <f>'[1]Adubos e corretivos'!E94</f>
        <v>0</v>
      </c>
      <c r="Y63" s="294">
        <f>'[1]Adubos e corretivos'!F94</f>
        <v>0</v>
      </c>
      <c r="Z63" s="294">
        <f>'[1]Adubos e corretivos'!G94</f>
        <v>0</v>
      </c>
      <c r="AA63" s="294">
        <f>'[1]Adubos e corretivos'!H94</f>
        <v>0</v>
      </c>
      <c r="AS63" s="215"/>
      <c r="AT63" s="215"/>
      <c r="AU63" s="215"/>
      <c r="AV63" s="215"/>
      <c r="AW63" s="215"/>
      <c r="AX63" s="215"/>
    </row>
    <row r="64" spans="2:50" ht="19.5" customHeight="1" x14ac:dyDescent="0.25">
      <c r="B64" s="554"/>
      <c r="C64" s="554"/>
      <c r="D64" s="287" t="str">
        <f>IF(J49&gt;0,J49,"-")</f>
        <v>-</v>
      </c>
      <c r="E64" s="391" t="str">
        <f>IF(J49&gt;0,"gramas por planta","-")</f>
        <v>-</v>
      </c>
      <c r="F64" s="391"/>
      <c r="G64" s="391"/>
      <c r="H64" s="272" t="s">
        <v>603</v>
      </c>
      <c r="I64" s="272">
        <f>IFERROR((D64/1000)*VLOOKUP(B63,$V$100:$W$179,2,0),0)</f>
        <v>0</v>
      </c>
      <c r="J64" s="282"/>
      <c r="K64" s="282"/>
      <c r="M64" s="376"/>
      <c r="N64" s="391"/>
      <c r="O64" s="21" t="s">
        <v>7</v>
      </c>
      <c r="P64" s="56">
        <v>0.4</v>
      </c>
      <c r="Q64" s="21" t="s">
        <v>55</v>
      </c>
      <c r="R64" s="216"/>
      <c r="U64" s="573"/>
      <c r="V64" s="294">
        <f>'[1]Adubos e corretivos'!C95</f>
        <v>0</v>
      </c>
      <c r="W64" s="294">
        <f>'[1]Adubos e corretivos'!D95</f>
        <v>0</v>
      </c>
      <c r="X64" s="294">
        <f>'[1]Adubos e corretivos'!E95</f>
        <v>0</v>
      </c>
      <c r="Y64" s="294">
        <f>'[1]Adubos e corretivos'!F95</f>
        <v>0</v>
      </c>
      <c r="Z64" s="294">
        <f>'[1]Adubos e corretivos'!G95</f>
        <v>0</v>
      </c>
      <c r="AA64" s="294">
        <f>'[1]Adubos e corretivos'!H95</f>
        <v>0</v>
      </c>
      <c r="AS64" s="215"/>
      <c r="AT64" s="215"/>
      <c r="AU64" s="215"/>
      <c r="AV64" s="215"/>
      <c r="AW64" s="215"/>
      <c r="AX64" s="215"/>
    </row>
    <row r="65" spans="2:50" ht="19.5" customHeight="1" x14ac:dyDescent="0.25">
      <c r="H65" s="272"/>
      <c r="I65" s="45"/>
      <c r="J65" s="282"/>
      <c r="K65" s="282"/>
      <c r="M65" s="376"/>
      <c r="N65" s="391"/>
      <c r="O65" s="21" t="s">
        <v>611</v>
      </c>
      <c r="P65" s="32">
        <v>25</v>
      </c>
      <c r="Q65" s="21" t="s">
        <v>23</v>
      </c>
      <c r="R65" s="216"/>
      <c r="U65" s="573"/>
      <c r="V65" s="294">
        <f>'[1]Adubos e corretivos'!C96</f>
        <v>0</v>
      </c>
      <c r="W65" s="294">
        <f>'[1]Adubos e corretivos'!D96</f>
        <v>0</v>
      </c>
      <c r="X65" s="294">
        <f>'[1]Adubos e corretivos'!E96</f>
        <v>0</v>
      </c>
      <c r="Y65" s="294">
        <f>'[1]Adubos e corretivos'!F96</f>
        <v>0</v>
      </c>
      <c r="Z65" s="294">
        <f>'[1]Adubos e corretivos'!G96</f>
        <v>0</v>
      </c>
      <c r="AA65" s="294">
        <f>'[1]Adubos e corretivos'!H96</f>
        <v>0</v>
      </c>
      <c r="AS65" s="215"/>
      <c r="AT65" s="215"/>
      <c r="AU65" s="215"/>
      <c r="AV65" s="215"/>
      <c r="AW65" s="215"/>
      <c r="AX65" s="215"/>
    </row>
    <row r="66" spans="2:50" ht="19.5" customHeight="1" thickBot="1" x14ac:dyDescent="0.3">
      <c r="B66" s="554" t="str">
        <f>IF(AQ18&gt;0,AQ18,"-")</f>
        <v>Torta de mamona Hortibraz</v>
      </c>
      <c r="C66" s="554"/>
      <c r="D66" s="287">
        <f>IFERROR(((D67/1000)*$E$18),0)</f>
        <v>0</v>
      </c>
      <c r="E66" s="555" t="str">
        <f>IF(J50&gt;0,"quilos para área total","-")</f>
        <v>-</v>
      </c>
      <c r="F66" s="555"/>
      <c r="G66" s="555"/>
      <c r="H66" s="272" t="s">
        <v>598</v>
      </c>
      <c r="I66" s="272">
        <f>I67*$E$18*$I$18</f>
        <v>0</v>
      </c>
      <c r="M66" s="217"/>
      <c r="N66" s="218"/>
      <c r="O66" s="218"/>
      <c r="P66" s="218"/>
      <c r="Q66" s="218"/>
      <c r="R66" s="219"/>
      <c r="U66" s="573"/>
      <c r="V66" s="294">
        <f>'[1]Adubos e corretivos'!C97</f>
        <v>0</v>
      </c>
      <c r="W66" s="294">
        <f>'[1]Adubos e corretivos'!D97</f>
        <v>0</v>
      </c>
      <c r="X66" s="294">
        <f>'[1]Adubos e corretivos'!E97</f>
        <v>0</v>
      </c>
      <c r="Y66" s="294">
        <f>'[1]Adubos e corretivos'!F97</f>
        <v>0</v>
      </c>
      <c r="Z66" s="294">
        <f>'[1]Adubos e corretivos'!G97</f>
        <v>0</v>
      </c>
      <c r="AA66" s="294">
        <f>'[1]Adubos e corretivos'!H97</f>
        <v>0</v>
      </c>
      <c r="AS66" s="215"/>
      <c r="AT66" s="215"/>
      <c r="AU66" s="215"/>
      <c r="AV66" s="215"/>
      <c r="AW66" s="215"/>
      <c r="AX66" s="215"/>
    </row>
    <row r="67" spans="2:50" ht="19.5" customHeight="1" thickBot="1" x14ac:dyDescent="0.3">
      <c r="B67" s="554"/>
      <c r="C67" s="554"/>
      <c r="D67" s="287" t="str">
        <f>IF(J50&gt;0,J50,"-")</f>
        <v>-</v>
      </c>
      <c r="E67" s="391" t="str">
        <f>IF(J50&gt;0,"gramas por planta","-")</f>
        <v>-</v>
      </c>
      <c r="F67" s="391"/>
      <c r="G67" s="391"/>
      <c r="H67" s="272" t="s">
        <v>603</v>
      </c>
      <c r="I67" s="272">
        <f>IFERROR((D67/1000)*VLOOKUP(B66,$V$100:$W$179,2,0),0)</f>
        <v>0</v>
      </c>
      <c r="U67" s="573"/>
      <c r="V67" s="294">
        <f>'[1]Adubos e corretivos'!C98</f>
        <v>0</v>
      </c>
      <c r="W67" s="294">
        <f>'[1]Adubos e corretivos'!D98</f>
        <v>0</v>
      </c>
      <c r="X67" s="294">
        <f>'[1]Adubos e corretivos'!E98</f>
        <v>0</v>
      </c>
      <c r="Y67" s="294">
        <f>'[1]Adubos e corretivos'!F98</f>
        <v>0</v>
      </c>
      <c r="Z67" s="294">
        <f>'[1]Adubos e corretivos'!G98</f>
        <v>0</v>
      </c>
      <c r="AA67" s="294">
        <f>'[1]Adubos e corretivos'!H98</f>
        <v>0</v>
      </c>
      <c r="AS67" s="215"/>
      <c r="AT67" s="215"/>
      <c r="AU67" s="215"/>
      <c r="AV67" s="215"/>
      <c r="AW67" s="215"/>
      <c r="AX67" s="215"/>
    </row>
    <row r="68" spans="2:50" ht="19.5" customHeight="1" x14ac:dyDescent="0.25">
      <c r="H68" s="272"/>
      <c r="I68" s="45"/>
      <c r="M68" s="212"/>
      <c r="N68" s="213"/>
      <c r="O68" s="213"/>
      <c r="P68" s="213"/>
      <c r="Q68" s="213"/>
      <c r="R68" s="214"/>
      <c r="U68" s="573"/>
      <c r="V68" s="294">
        <f>'[1]Adubos e corretivos'!C99</f>
        <v>0</v>
      </c>
      <c r="W68" s="294">
        <f>'[1]Adubos e corretivos'!D99</f>
        <v>0</v>
      </c>
      <c r="X68" s="294">
        <f>'[1]Adubos e corretivos'!E99</f>
        <v>0</v>
      </c>
      <c r="Y68" s="294">
        <f>'[1]Adubos e corretivos'!F99</f>
        <v>0</v>
      </c>
      <c r="Z68" s="294">
        <f>'[1]Adubos e corretivos'!G99</f>
        <v>0</v>
      </c>
      <c r="AA68" s="294">
        <f>'[1]Adubos e corretivos'!H99</f>
        <v>0</v>
      </c>
      <c r="AS68" s="215"/>
      <c r="AT68" s="215"/>
      <c r="AU68" s="215"/>
      <c r="AV68" s="215"/>
      <c r="AW68" s="215"/>
      <c r="AX68" s="215"/>
    </row>
    <row r="69" spans="2:50" ht="19.5" customHeight="1" x14ac:dyDescent="0.25">
      <c r="B69" s="554" t="str">
        <f>IF(AQ19&gt;0,AQ19,"-")</f>
        <v>-</v>
      </c>
      <c r="C69" s="554"/>
      <c r="D69" s="287">
        <f>IFERROR(((D70/1000)*$E$18),0)</f>
        <v>0</v>
      </c>
      <c r="E69" s="555" t="str">
        <f>IF(J51&gt;0,"quilos para área total","-")</f>
        <v>-</v>
      </c>
      <c r="F69" s="555"/>
      <c r="G69" s="555"/>
      <c r="H69" s="272" t="s">
        <v>598</v>
      </c>
      <c r="I69" s="272">
        <f>I70*$E$18*$I$18</f>
        <v>0</v>
      </c>
      <c r="M69" s="376" t="s">
        <v>215</v>
      </c>
      <c r="N69" s="391"/>
      <c r="O69" s="557" t="s">
        <v>252</v>
      </c>
      <c r="P69" s="558"/>
      <c r="Q69" s="559"/>
      <c r="R69" s="216"/>
      <c r="AS69" s="215"/>
      <c r="AT69" s="215"/>
      <c r="AU69" s="215"/>
      <c r="AV69" s="215"/>
      <c r="AW69" s="215"/>
      <c r="AX69" s="215"/>
    </row>
    <row r="70" spans="2:50" ht="19.5" customHeight="1" x14ac:dyDescent="0.25">
      <c r="B70" s="554"/>
      <c r="C70" s="554"/>
      <c r="D70" s="287" t="str">
        <f>IF(J51&gt;0,J51,"-")</f>
        <v>-</v>
      </c>
      <c r="E70" s="391" t="str">
        <f>IF(J51&gt;0,"gramas por planta","-")</f>
        <v>-</v>
      </c>
      <c r="F70" s="391"/>
      <c r="G70" s="391"/>
      <c r="H70" s="272" t="s">
        <v>603</v>
      </c>
      <c r="I70" s="272">
        <f>IFERROR((D70/1000)*VLOOKUP(B69,$V$100:$W$179,2,0),0)</f>
        <v>0</v>
      </c>
      <c r="M70" s="376"/>
      <c r="N70" s="391"/>
      <c r="O70" s="557" t="s">
        <v>251</v>
      </c>
      <c r="P70" s="558"/>
      <c r="Q70" s="559"/>
      <c r="R70" s="216"/>
      <c r="AS70" s="215"/>
      <c r="AT70" s="215"/>
      <c r="AU70" s="215"/>
      <c r="AV70" s="215"/>
      <c r="AW70" s="215"/>
      <c r="AX70" s="215"/>
    </row>
    <row r="71" spans="2:50" ht="19.5" customHeight="1" x14ac:dyDescent="0.25">
      <c r="M71" s="376"/>
      <c r="N71" s="391"/>
      <c r="O71" s="448"/>
      <c r="P71" s="448"/>
      <c r="Q71" s="92"/>
      <c r="R71" s="216"/>
      <c r="U71" s="561" t="s">
        <v>136</v>
      </c>
      <c r="V71" s="561" t="s">
        <v>76</v>
      </c>
      <c r="W71" s="561" t="s">
        <v>77</v>
      </c>
      <c r="X71" s="561" t="s">
        <v>284</v>
      </c>
      <c r="Y71" s="561"/>
      <c r="Z71" s="561"/>
      <c r="AS71" s="215"/>
      <c r="AT71" s="215"/>
      <c r="AU71" s="215"/>
      <c r="AV71" s="215"/>
      <c r="AW71" s="215"/>
      <c r="AX71" s="215"/>
    </row>
    <row r="72" spans="2:50" ht="19.5" customHeight="1" x14ac:dyDescent="0.25">
      <c r="B72" s="554" t="str">
        <f>IF(AQ20&gt;0,AQ20,"-")</f>
        <v>-</v>
      </c>
      <c r="C72" s="554"/>
      <c r="D72" s="287">
        <f>IFERROR(((D73/1000)*$E$18),0)</f>
        <v>0</v>
      </c>
      <c r="E72" s="555" t="str">
        <f>IF(J52&gt;0,"quilos para área total","-")</f>
        <v>-</v>
      </c>
      <c r="F72" s="555"/>
      <c r="G72" s="555"/>
      <c r="H72" s="272" t="s">
        <v>598</v>
      </c>
      <c r="I72" s="272">
        <f>I73*$E$18*$I$18</f>
        <v>0</v>
      </c>
      <c r="M72" s="376"/>
      <c r="N72" s="391"/>
      <c r="O72" s="448" t="s">
        <v>229</v>
      </c>
      <c r="P72" s="448"/>
      <c r="Q72" s="92">
        <v>1</v>
      </c>
      <c r="R72" s="216"/>
      <c r="U72" s="561"/>
      <c r="V72" s="561"/>
      <c r="W72" s="561"/>
      <c r="X72" s="295" t="s">
        <v>81</v>
      </c>
      <c r="Y72" s="295" t="s">
        <v>82</v>
      </c>
      <c r="Z72" s="295" t="s">
        <v>83</v>
      </c>
      <c r="AS72" s="215"/>
      <c r="AT72" s="215"/>
      <c r="AU72" s="215"/>
      <c r="AV72" s="215"/>
      <c r="AW72" s="215"/>
      <c r="AX72" s="215"/>
    </row>
    <row r="73" spans="2:50" ht="19.5" customHeight="1" x14ac:dyDescent="0.25">
      <c r="B73" s="554"/>
      <c r="C73" s="554"/>
      <c r="D73" s="287" t="str">
        <f>IF(J52&gt;0,J52,"-")</f>
        <v>-</v>
      </c>
      <c r="E73" s="391" t="str">
        <f>IF(J52&gt;0,"gramas por planta","-")</f>
        <v>-</v>
      </c>
      <c r="F73" s="391"/>
      <c r="G73" s="391"/>
      <c r="H73" s="272" t="s">
        <v>603</v>
      </c>
      <c r="I73" s="272">
        <f>IFERROR((D73/1000)*VLOOKUP(B72,$V$100:$W$179,2,0),0)</f>
        <v>0</v>
      </c>
      <c r="M73" s="376"/>
      <c r="N73" s="391"/>
      <c r="O73" s="448"/>
      <c r="P73" s="448"/>
      <c r="Q73" s="92"/>
      <c r="R73" s="216"/>
      <c r="U73" s="562" t="s">
        <v>152</v>
      </c>
      <c r="V73" s="296" t="str">
        <f>'[1]Adubos e corretivos'!C104</f>
        <v>Gesso Agronelli</v>
      </c>
      <c r="W73" s="296">
        <f>'[1]Adubos e corretivos'!D104</f>
        <v>0.76</v>
      </c>
      <c r="X73" s="296">
        <f>'[1]Adubos e corretivos'!E104</f>
        <v>14</v>
      </c>
      <c r="Y73" s="296">
        <f>'[1]Adubos e corretivos'!F104</f>
        <v>0</v>
      </c>
      <c r="Z73" s="296">
        <f>'[1]Adubos e corretivos'!G104</f>
        <v>17</v>
      </c>
      <c r="AS73" s="215"/>
      <c r="AT73" s="215"/>
      <c r="AU73" s="215"/>
      <c r="AV73" s="215"/>
      <c r="AW73" s="215"/>
      <c r="AX73" s="215"/>
    </row>
    <row r="74" spans="2:50" ht="19.5" customHeight="1" x14ac:dyDescent="0.25">
      <c r="M74" s="376"/>
      <c r="N74" s="391"/>
      <c r="O74" s="215"/>
      <c r="P74" s="215"/>
      <c r="Q74" s="215"/>
      <c r="R74" s="216"/>
      <c r="U74" s="562"/>
      <c r="V74" s="296" t="str">
        <f>'[1]Adubos e corretivos'!C105</f>
        <v>Siligesso Agronelli</v>
      </c>
      <c r="W74" s="296">
        <f>'[1]Adubos e corretivos'!D105</f>
        <v>0</v>
      </c>
      <c r="X74" s="296">
        <f>'[1]Adubos e corretivos'!E105</f>
        <v>9.9</v>
      </c>
      <c r="Y74" s="296">
        <f>'[1]Adubos e corretivos'!F105</f>
        <v>0</v>
      </c>
      <c r="Z74" s="296">
        <f>'[1]Adubos e corretivos'!G105</f>
        <v>20.3</v>
      </c>
      <c r="AS74" s="215"/>
      <c r="AT74" s="215"/>
      <c r="AU74" s="215"/>
      <c r="AV74" s="215"/>
      <c r="AW74" s="215"/>
      <c r="AX74" s="215"/>
    </row>
    <row r="75" spans="2:50" ht="19.5" customHeight="1" x14ac:dyDescent="0.25">
      <c r="B75" s="553" t="s">
        <v>535</v>
      </c>
      <c r="C75" s="553"/>
      <c r="D75" s="553"/>
      <c r="E75" s="553"/>
      <c r="F75" s="553"/>
      <c r="G75" s="553"/>
      <c r="H75" s="553"/>
      <c r="I75" s="553"/>
      <c r="M75" s="376"/>
      <c r="N75" s="391"/>
      <c r="O75" s="391" t="s">
        <v>264</v>
      </c>
      <c r="P75" s="391"/>
      <c r="Q75" s="391"/>
      <c r="R75" s="216"/>
      <c r="U75" s="562"/>
      <c r="V75" s="296">
        <f>'[1]Adubos e corretivos'!C106</f>
        <v>0</v>
      </c>
      <c r="W75" s="296">
        <f>'[1]Adubos e corretivos'!D106</f>
        <v>0</v>
      </c>
      <c r="X75" s="296">
        <f>'[1]Adubos e corretivos'!E106</f>
        <v>0</v>
      </c>
      <c r="Y75" s="296">
        <f>'[1]Adubos e corretivos'!F106</f>
        <v>0</v>
      </c>
      <c r="Z75" s="296">
        <f>'[1]Adubos e corretivos'!G106</f>
        <v>0</v>
      </c>
      <c r="AS75" s="215"/>
      <c r="AT75" s="215"/>
      <c r="AU75" s="215"/>
      <c r="AV75" s="215"/>
      <c r="AW75" s="215"/>
      <c r="AX75" s="215"/>
    </row>
    <row r="76" spans="2:50" ht="19.5" customHeight="1" x14ac:dyDescent="0.25">
      <c r="B76" s="553"/>
      <c r="C76" s="553"/>
      <c r="D76" s="553"/>
      <c r="E76" s="553"/>
      <c r="F76" s="553"/>
      <c r="G76" s="553"/>
      <c r="H76" s="553"/>
      <c r="I76" s="553"/>
      <c r="M76" s="376"/>
      <c r="N76" s="391"/>
      <c r="O76" s="215"/>
      <c r="P76" s="215"/>
      <c r="Q76" s="215"/>
      <c r="R76" s="216"/>
      <c r="U76" s="562"/>
      <c r="V76" s="296">
        <f>'[1]Adubos e corretivos'!C107</f>
        <v>0</v>
      </c>
      <c r="W76" s="296">
        <f>'[1]Adubos e corretivos'!D107</f>
        <v>0</v>
      </c>
      <c r="X76" s="296">
        <f>'[1]Adubos e corretivos'!E107</f>
        <v>0</v>
      </c>
      <c r="Y76" s="296">
        <f>'[1]Adubos e corretivos'!F107</f>
        <v>0</v>
      </c>
      <c r="Z76" s="296">
        <f>'[1]Adubos e corretivos'!G107</f>
        <v>0</v>
      </c>
      <c r="AS76" s="215"/>
      <c r="AT76" s="215"/>
      <c r="AU76" s="215"/>
      <c r="AV76" s="215"/>
      <c r="AW76" s="215"/>
      <c r="AX76" s="215"/>
    </row>
    <row r="77" spans="2:50" ht="19.5" customHeight="1" x14ac:dyDescent="0.25">
      <c r="B77" s="553"/>
      <c r="C77" s="553"/>
      <c r="D77" s="553"/>
      <c r="E77" s="553"/>
      <c r="F77" s="553"/>
      <c r="G77" s="553"/>
      <c r="H77" s="553"/>
      <c r="I77" s="553"/>
      <c r="M77" s="376"/>
      <c r="N77" s="391"/>
      <c r="O77" s="557" t="s">
        <v>253</v>
      </c>
      <c r="P77" s="558"/>
      <c r="Q77" s="559"/>
      <c r="R77" s="216"/>
      <c r="U77" s="562"/>
      <c r="V77" s="296">
        <f>'[1]Adubos e corretivos'!C108</f>
        <v>0</v>
      </c>
      <c r="W77" s="296">
        <f>'[1]Adubos e corretivos'!D108</f>
        <v>0</v>
      </c>
      <c r="X77" s="296">
        <f>'[1]Adubos e corretivos'!E108</f>
        <v>0</v>
      </c>
      <c r="Y77" s="296">
        <f>'[1]Adubos e corretivos'!F108</f>
        <v>0</v>
      </c>
      <c r="Z77" s="296">
        <f>'[1]Adubos e corretivos'!G108</f>
        <v>0</v>
      </c>
      <c r="AS77" s="215"/>
      <c r="AT77" s="215"/>
      <c r="AU77" s="215"/>
      <c r="AV77" s="215"/>
      <c r="AW77" s="215"/>
      <c r="AX77" s="215"/>
    </row>
    <row r="78" spans="2:50" ht="19.5" customHeight="1" x14ac:dyDescent="0.25">
      <c r="B78" s="553"/>
      <c r="C78" s="553"/>
      <c r="D78" s="553"/>
      <c r="E78" s="553"/>
      <c r="F78" s="553"/>
      <c r="G78" s="553"/>
      <c r="H78" s="553"/>
      <c r="I78" s="553"/>
      <c r="M78" s="376"/>
      <c r="N78" s="391"/>
      <c r="O78" s="557" t="s">
        <v>251</v>
      </c>
      <c r="P78" s="558"/>
      <c r="Q78" s="559"/>
      <c r="R78" s="216"/>
      <c r="U78" s="562"/>
      <c r="V78" s="296">
        <f>'[1]Adubos e corretivos'!C109</f>
        <v>0</v>
      </c>
      <c r="W78" s="296">
        <f>'[1]Adubos e corretivos'!D109</f>
        <v>0</v>
      </c>
      <c r="X78" s="296">
        <f>'[1]Adubos e corretivos'!E109</f>
        <v>0</v>
      </c>
      <c r="Y78" s="296">
        <f>'[1]Adubos e corretivos'!F109</f>
        <v>0</v>
      </c>
      <c r="Z78" s="296">
        <f>'[1]Adubos e corretivos'!G109</f>
        <v>0</v>
      </c>
      <c r="AS78" s="215"/>
      <c r="AT78" s="215"/>
      <c r="AU78" s="215"/>
      <c r="AV78" s="215"/>
      <c r="AW78" s="215"/>
      <c r="AX78" s="215"/>
    </row>
    <row r="79" spans="2:50" ht="19.5" customHeight="1" thickBot="1" x14ac:dyDescent="0.3">
      <c r="M79" s="376"/>
      <c r="N79" s="391"/>
      <c r="O79" s="448" t="s">
        <v>161</v>
      </c>
      <c r="P79" s="448"/>
      <c r="Q79" s="92">
        <v>1</v>
      </c>
      <c r="R79" s="216"/>
      <c r="U79" s="562"/>
      <c r="V79" s="296">
        <f>'[1]Adubos e corretivos'!C110</f>
        <v>0</v>
      </c>
      <c r="W79" s="296">
        <f>'[1]Adubos e corretivos'!D110</f>
        <v>0</v>
      </c>
      <c r="X79" s="296">
        <f>'[1]Adubos e corretivos'!E110</f>
        <v>0</v>
      </c>
      <c r="Y79" s="296">
        <f>'[1]Adubos e corretivos'!F110</f>
        <v>0</v>
      </c>
      <c r="Z79" s="296">
        <f>'[1]Adubos e corretivos'!G110</f>
        <v>0</v>
      </c>
      <c r="AS79" s="215"/>
      <c r="AT79" s="215"/>
      <c r="AU79" s="215"/>
      <c r="AV79" s="215"/>
      <c r="AW79" s="215"/>
      <c r="AX79" s="215"/>
    </row>
    <row r="80" spans="2:50" ht="19.5" customHeight="1" thickBot="1" x14ac:dyDescent="0.3">
      <c r="B80" s="373" t="s">
        <v>256</v>
      </c>
      <c r="C80" s="374"/>
      <c r="D80" s="374"/>
      <c r="E80" s="374"/>
      <c r="F80" s="374"/>
      <c r="G80" s="374"/>
      <c r="H80" s="374"/>
      <c r="I80" s="375"/>
      <c r="M80" s="376"/>
      <c r="N80" s="391"/>
      <c r="O80" s="448"/>
      <c r="P80" s="448"/>
      <c r="Q80" s="92"/>
      <c r="R80" s="216"/>
      <c r="U80" s="562"/>
      <c r="V80" s="296">
        <f>'[1]Adubos e corretivos'!C111</f>
        <v>0</v>
      </c>
      <c r="W80" s="296">
        <f>'[1]Adubos e corretivos'!D111</f>
        <v>0</v>
      </c>
      <c r="X80" s="296">
        <f>'[1]Adubos e corretivos'!E111</f>
        <v>0</v>
      </c>
      <c r="Y80" s="296">
        <f>'[1]Adubos e corretivos'!F111</f>
        <v>0</v>
      </c>
      <c r="Z80" s="296">
        <f>'[1]Adubos e corretivos'!G111</f>
        <v>0</v>
      </c>
      <c r="AS80" s="215"/>
      <c r="AT80" s="215"/>
      <c r="AU80" s="215"/>
      <c r="AV80" s="215"/>
      <c r="AW80" s="215"/>
      <c r="AX80" s="215"/>
    </row>
    <row r="81" spans="2:50" ht="19.5" customHeight="1" x14ac:dyDescent="0.25">
      <c r="M81" s="376"/>
      <c r="N81" s="391"/>
      <c r="O81" s="448"/>
      <c r="P81" s="448"/>
      <c r="Q81" s="92"/>
      <c r="R81" s="216"/>
      <c r="U81" s="562"/>
      <c r="V81" s="296">
        <f>'[1]Adubos e corretivos'!C112</f>
        <v>0</v>
      </c>
      <c r="W81" s="296">
        <f>'[1]Adubos e corretivos'!D112</f>
        <v>0</v>
      </c>
      <c r="X81" s="296">
        <f>'[1]Adubos e corretivos'!E112</f>
        <v>0</v>
      </c>
      <c r="Y81" s="296">
        <f>'[1]Adubos e corretivos'!F112</f>
        <v>0</v>
      </c>
      <c r="Z81" s="296">
        <f>'[1]Adubos e corretivos'!G112</f>
        <v>0</v>
      </c>
      <c r="AS81" s="215"/>
      <c r="AT81" s="215"/>
      <c r="AU81" s="215"/>
      <c r="AV81" s="215"/>
      <c r="AW81" s="215"/>
      <c r="AX81" s="215"/>
    </row>
    <row r="82" spans="2:50" ht="19.5" customHeight="1" x14ac:dyDescent="0.25">
      <c r="B82" s="554" t="str">
        <f>IF(AP40&gt;0,AP40,"-")</f>
        <v>Ácido Bórico</v>
      </c>
      <c r="C82" s="554"/>
      <c r="D82" s="287">
        <f>IFERROR(((D83/1000)*$E$18),0)</f>
        <v>5.7142857142857135</v>
      </c>
      <c r="E82" s="555" t="str">
        <f>IF(AV40&gt;0,"quilos para área total","-")</f>
        <v>quilos para área total</v>
      </c>
      <c r="F82" s="555"/>
      <c r="G82" s="555"/>
      <c r="H82" s="272" t="s">
        <v>598</v>
      </c>
      <c r="I82" s="272">
        <f>I83*$E$18*$I$18</f>
        <v>31.542857142857137</v>
      </c>
      <c r="M82" s="376"/>
      <c r="N82" s="391"/>
      <c r="O82" s="215"/>
      <c r="P82" s="215"/>
      <c r="Q82" s="215"/>
      <c r="R82" s="216"/>
      <c r="U82" s="562"/>
      <c r="V82" s="296">
        <f>'[1]Adubos e corretivos'!C113</f>
        <v>0</v>
      </c>
      <c r="W82" s="296">
        <f>'[1]Adubos e corretivos'!D113</f>
        <v>0</v>
      </c>
      <c r="X82" s="296">
        <f>'[1]Adubos e corretivos'!E113</f>
        <v>0</v>
      </c>
      <c r="Y82" s="296">
        <f>'[1]Adubos e corretivos'!F113</f>
        <v>0</v>
      </c>
      <c r="Z82" s="296">
        <f>'[1]Adubos e corretivos'!G113</f>
        <v>0</v>
      </c>
      <c r="AS82" s="215"/>
      <c r="AT82" s="215"/>
      <c r="AU82" s="215"/>
      <c r="AV82" s="215"/>
      <c r="AW82" s="215"/>
      <c r="AX82" s="215"/>
    </row>
    <row r="83" spans="2:50" ht="19.5" customHeight="1" x14ac:dyDescent="0.25">
      <c r="B83" s="554"/>
      <c r="C83" s="554"/>
      <c r="D83" s="287">
        <f>IF(AV40&gt;0,AV40,"-")</f>
        <v>45.714285714285708</v>
      </c>
      <c r="E83" s="391" t="str">
        <f>IF(AV40&gt;0,"gramas por planta","-")</f>
        <v>gramas por planta</v>
      </c>
      <c r="F83" s="391"/>
      <c r="G83" s="391"/>
      <c r="H83" s="272" t="s">
        <v>603</v>
      </c>
      <c r="I83" s="272">
        <f>IFERROR((D83/1000)*VLOOKUP(B82,$V$100:$W$179,2,0),0)</f>
        <v>0.25234285714285709</v>
      </c>
      <c r="M83" s="376"/>
      <c r="N83" s="391"/>
      <c r="O83" s="391" t="s">
        <v>264</v>
      </c>
      <c r="P83" s="391"/>
      <c r="Q83" s="391"/>
      <c r="R83" s="216"/>
      <c r="AS83" s="215"/>
      <c r="AT83" s="215"/>
      <c r="AU83" s="215"/>
      <c r="AV83" s="215"/>
      <c r="AW83" s="215"/>
      <c r="AX83" s="215"/>
    </row>
    <row r="84" spans="2:50" ht="19.5" customHeight="1" x14ac:dyDescent="0.25">
      <c r="M84" s="376"/>
      <c r="N84" s="391"/>
      <c r="O84" s="215"/>
      <c r="P84" s="215"/>
      <c r="Q84" s="215"/>
      <c r="R84" s="216"/>
      <c r="AS84" s="215"/>
      <c r="AT84" s="215"/>
      <c r="AU84" s="215"/>
      <c r="AV84" s="215"/>
      <c r="AW84" s="215"/>
      <c r="AX84" s="215"/>
    </row>
    <row r="85" spans="2:50" ht="19.5" customHeight="1" x14ac:dyDescent="0.25">
      <c r="B85" s="554" t="str">
        <f>IF(AP41&gt;0,AP41,"-")</f>
        <v>Sulfato de cobre</v>
      </c>
      <c r="C85" s="554"/>
      <c r="D85" s="287">
        <f>IFERROR(((D86/1000)*$E$18),0)</f>
        <v>0</v>
      </c>
      <c r="E85" s="555" t="str">
        <f>IF(AV41&gt;0,"quilos para área total","-")</f>
        <v>-</v>
      </c>
      <c r="F85" s="555"/>
      <c r="G85" s="555"/>
      <c r="H85" s="272" t="s">
        <v>598</v>
      </c>
      <c r="I85" s="272">
        <f>I86*$E$18*$I$18</f>
        <v>0</v>
      </c>
      <c r="M85" s="376"/>
      <c r="N85" s="391"/>
      <c r="O85" s="557" t="s">
        <v>254</v>
      </c>
      <c r="P85" s="558"/>
      <c r="Q85" s="559"/>
      <c r="R85" s="216"/>
      <c r="U85" s="556" t="s">
        <v>136</v>
      </c>
      <c r="V85" s="556" t="s">
        <v>76</v>
      </c>
      <c r="W85" s="556" t="s">
        <v>77</v>
      </c>
      <c r="X85" s="556" t="s">
        <v>78</v>
      </c>
      <c r="Y85" s="556"/>
      <c r="Z85" s="556"/>
      <c r="AA85" s="556"/>
      <c r="AB85" s="556"/>
      <c r="AC85" s="556"/>
      <c r="AD85" s="556"/>
      <c r="AE85" s="556"/>
      <c r="AS85" s="215"/>
      <c r="AT85" s="215"/>
      <c r="AU85" s="215"/>
      <c r="AV85" s="215"/>
      <c r="AW85" s="215"/>
      <c r="AX85" s="215"/>
    </row>
    <row r="86" spans="2:50" ht="19.5" customHeight="1" x14ac:dyDescent="0.25">
      <c r="B86" s="554"/>
      <c r="C86" s="554"/>
      <c r="D86" s="287" t="str">
        <f>IF(AV41&gt;0,AV41,"-")</f>
        <v>-</v>
      </c>
      <c r="E86" s="391" t="str">
        <f>IF(AV41&gt;0,"gramas por planta","-")</f>
        <v>-</v>
      </c>
      <c r="F86" s="391"/>
      <c r="G86" s="391"/>
      <c r="H86" s="272" t="s">
        <v>603</v>
      </c>
      <c r="I86" s="272">
        <f>IFERROR(((D86/1000)*VLOOKUP(B85,$V$100:$W$179,2,0)),0)</f>
        <v>0</v>
      </c>
      <c r="M86" s="376"/>
      <c r="N86" s="391"/>
      <c r="O86" s="557" t="s">
        <v>251</v>
      </c>
      <c r="P86" s="558"/>
      <c r="Q86" s="559"/>
      <c r="R86" s="216"/>
      <c r="U86" s="556"/>
      <c r="V86" s="556"/>
      <c r="W86" s="556"/>
      <c r="X86" s="297" t="s">
        <v>117</v>
      </c>
      <c r="Y86" s="297" t="s">
        <v>79</v>
      </c>
      <c r="Z86" s="297" t="s">
        <v>66</v>
      </c>
      <c r="AA86" s="297" t="s">
        <v>80</v>
      </c>
      <c r="AB86" s="297" t="s">
        <v>67</v>
      </c>
      <c r="AC86" s="297" t="s">
        <v>191</v>
      </c>
      <c r="AD86" s="297" t="s">
        <v>192</v>
      </c>
      <c r="AE86" s="297" t="s">
        <v>204</v>
      </c>
      <c r="AS86" s="215"/>
      <c r="AT86" s="215"/>
      <c r="AU86" s="215"/>
      <c r="AV86" s="215"/>
      <c r="AW86" s="215"/>
      <c r="AX86" s="215"/>
    </row>
    <row r="87" spans="2:50" ht="19.5" customHeight="1" x14ac:dyDescent="0.25">
      <c r="J87" s="298"/>
      <c r="M87" s="376"/>
      <c r="N87" s="391"/>
      <c r="O87" s="448" t="s">
        <v>612</v>
      </c>
      <c r="P87" s="448"/>
      <c r="Q87" s="92">
        <v>1</v>
      </c>
      <c r="R87" s="216"/>
      <c r="U87" s="560" t="s">
        <v>194</v>
      </c>
      <c r="V87" s="299" t="str">
        <f>V160</f>
        <v>Micaxisto</v>
      </c>
      <c r="W87" s="299">
        <f>W160</f>
        <v>0.12</v>
      </c>
      <c r="X87" s="299">
        <f>AL160</f>
        <v>0</v>
      </c>
      <c r="Y87" s="299">
        <f t="shared" ref="Y87:AB95" si="11">Y160</f>
        <v>4.4999999999999998E-2</v>
      </c>
      <c r="Z87" s="299">
        <f t="shared" si="11"/>
        <v>0.1</v>
      </c>
      <c r="AA87" s="299">
        <f t="shared" si="11"/>
        <v>4.32</v>
      </c>
      <c r="AB87" s="299">
        <f t="shared" si="11"/>
        <v>5.2</v>
      </c>
      <c r="AC87" s="300">
        <f>AC160*0.602</f>
        <v>0.75776223776223772</v>
      </c>
      <c r="AD87" s="300">
        <f>AD160*0.715</f>
        <v>0.83139534883720934</v>
      </c>
      <c r="AE87" s="300">
        <f t="shared" ref="AE87:AE95" si="12">AB87+AC87+AD87</f>
        <v>6.7891575865994476</v>
      </c>
      <c r="AS87" s="215"/>
      <c r="AT87" s="215"/>
      <c r="AU87" s="215"/>
      <c r="AV87" s="215"/>
      <c r="AW87" s="215"/>
      <c r="AX87" s="215"/>
    </row>
    <row r="88" spans="2:50" ht="19.5" customHeight="1" x14ac:dyDescent="0.25">
      <c r="B88" s="554" t="str">
        <f>IF(AP42&gt;0,AP42,"-")</f>
        <v>Sulfato de zinco</v>
      </c>
      <c r="C88" s="554"/>
      <c r="D88" s="287">
        <f>IFERROR(((D89/1000)*$E$18),0)</f>
        <v>0</v>
      </c>
      <c r="E88" s="555" t="str">
        <f>IF(AV42&gt;0,"quilos para área total","-")</f>
        <v>-</v>
      </c>
      <c r="F88" s="555"/>
      <c r="G88" s="555"/>
      <c r="H88" s="272" t="s">
        <v>598</v>
      </c>
      <c r="I88" s="272">
        <f>I89*$E$18*$I$18</f>
        <v>0</v>
      </c>
      <c r="J88" s="298"/>
      <c r="M88" s="376"/>
      <c r="N88" s="391"/>
      <c r="O88" s="448"/>
      <c r="P88" s="448"/>
      <c r="Q88" s="92"/>
      <c r="R88" s="216"/>
      <c r="U88" s="560"/>
      <c r="V88" s="299" t="str">
        <f t="shared" ref="V88:W95" si="13">V161</f>
        <v xml:space="preserve"> Remax Mistel</v>
      </c>
      <c r="W88" s="299">
        <f t="shared" si="13"/>
        <v>0</v>
      </c>
      <c r="X88" s="299">
        <f t="shared" ref="X88:X95" si="14">AL161</f>
        <v>43.8</v>
      </c>
      <c r="Y88" s="299">
        <f t="shared" si="11"/>
        <v>4.4999999999999998E-2</v>
      </c>
      <c r="Z88" s="299">
        <f t="shared" si="11"/>
        <v>0.1</v>
      </c>
      <c r="AA88" s="299">
        <f t="shared" si="11"/>
        <v>2.1949999999999998</v>
      </c>
      <c r="AB88" s="299">
        <f t="shared" si="11"/>
        <v>2.6</v>
      </c>
      <c r="AC88" s="300">
        <f t="shared" ref="AC88:AC95" si="15">AC161*0.602</f>
        <v>11.282237762237763</v>
      </c>
      <c r="AD88" s="300">
        <f t="shared" ref="AD88:AD95" si="16">AD161*0.715</f>
        <v>8.8959302325581397</v>
      </c>
      <c r="AE88" s="300">
        <f t="shared" si="12"/>
        <v>22.778167994795901</v>
      </c>
      <c r="AS88" s="215"/>
      <c r="AT88" s="215"/>
      <c r="AU88" s="215"/>
      <c r="AV88" s="215"/>
      <c r="AW88" s="215"/>
      <c r="AX88" s="215"/>
    </row>
    <row r="89" spans="2:50" ht="19.5" customHeight="1" x14ac:dyDescent="0.25">
      <c r="B89" s="554"/>
      <c r="C89" s="554"/>
      <c r="D89" s="287" t="str">
        <f>IF(AV42&gt;0,AV42,"-")</f>
        <v>-</v>
      </c>
      <c r="E89" s="391" t="str">
        <f>IF(AV42&gt;0,"gramas por planta","-")</f>
        <v>-</v>
      </c>
      <c r="F89" s="391"/>
      <c r="G89" s="391"/>
      <c r="H89" s="272" t="s">
        <v>603</v>
      </c>
      <c r="I89" s="272">
        <f>IFERROR((D89/1000)*VLOOKUP(B88,$V$100:$W$179,2,0),0)</f>
        <v>0</v>
      </c>
      <c r="J89" s="298"/>
      <c r="M89" s="376"/>
      <c r="N89" s="391"/>
      <c r="O89" s="448"/>
      <c r="P89" s="448"/>
      <c r="Q89" s="92"/>
      <c r="R89" s="216"/>
      <c r="U89" s="560"/>
      <c r="V89" s="299" t="str">
        <f t="shared" si="13"/>
        <v>Pó de brita Fmx</v>
      </c>
      <c r="W89" s="299">
        <f t="shared" si="13"/>
        <v>0</v>
      </c>
      <c r="X89" s="299">
        <f t="shared" si="14"/>
        <v>0</v>
      </c>
      <c r="Y89" s="299">
        <f t="shared" si="11"/>
        <v>0</v>
      </c>
      <c r="Z89" s="299">
        <f t="shared" si="11"/>
        <v>0</v>
      </c>
      <c r="AA89" s="299">
        <f t="shared" si="11"/>
        <v>4.99</v>
      </c>
      <c r="AB89" s="299">
        <f t="shared" si="11"/>
        <v>6</v>
      </c>
      <c r="AC89" s="300">
        <f t="shared" si="15"/>
        <v>2.5258741258741257</v>
      </c>
      <c r="AD89" s="300">
        <f t="shared" si="16"/>
        <v>0.59385382059800662</v>
      </c>
      <c r="AE89" s="300">
        <f t="shared" si="12"/>
        <v>9.1197279464721319</v>
      </c>
      <c r="AS89" s="215"/>
      <c r="AT89" s="215"/>
      <c r="AU89" s="215"/>
      <c r="AV89" s="215"/>
      <c r="AW89" s="215"/>
      <c r="AX89" s="215"/>
    </row>
    <row r="90" spans="2:50" ht="19.5" customHeight="1" x14ac:dyDescent="0.25">
      <c r="M90" s="211"/>
      <c r="N90" s="215"/>
      <c r="O90" s="215"/>
      <c r="P90" s="215"/>
      <c r="Q90" s="215"/>
      <c r="R90" s="216"/>
      <c r="U90" s="560"/>
      <c r="V90" s="299" t="str">
        <f t="shared" si="13"/>
        <v>Biotita Xisto</v>
      </c>
      <c r="W90" s="299">
        <f t="shared" si="13"/>
        <v>0</v>
      </c>
      <c r="X90" s="299">
        <f t="shared" si="14"/>
        <v>57.8</v>
      </c>
      <c r="Y90" s="299">
        <f t="shared" si="11"/>
        <v>8.7999999999999995E-2</v>
      </c>
      <c r="Z90" s="299">
        <f t="shared" si="11"/>
        <v>0.2</v>
      </c>
      <c r="AA90" s="299">
        <f t="shared" si="11"/>
        <v>2.83</v>
      </c>
      <c r="AB90" s="299">
        <f t="shared" si="11"/>
        <v>3.4</v>
      </c>
      <c r="AC90" s="300">
        <f t="shared" si="15"/>
        <v>1.5155244755244754</v>
      </c>
      <c r="AD90" s="300">
        <f t="shared" si="16"/>
        <v>5.4634551495016606</v>
      </c>
      <c r="AE90" s="300">
        <f t="shared" si="12"/>
        <v>10.378979625026137</v>
      </c>
      <c r="AS90" s="215"/>
      <c r="AT90" s="215"/>
      <c r="AU90" s="215"/>
      <c r="AV90" s="215"/>
      <c r="AW90" s="215"/>
      <c r="AX90" s="215"/>
    </row>
    <row r="91" spans="2:50" ht="19.5" customHeight="1" x14ac:dyDescent="0.25">
      <c r="B91" s="554" t="str">
        <f>IF(AP43&gt;0,AP43,"-")</f>
        <v>Sulfato de manganês</v>
      </c>
      <c r="C91" s="554"/>
      <c r="D91" s="287">
        <f>IFERROR(((D92/1000)*$E$18),0)</f>
        <v>0</v>
      </c>
      <c r="E91" s="555" t="str">
        <f>IF(AV43&gt;0,"quilos para área total","-")</f>
        <v>-</v>
      </c>
      <c r="F91" s="555"/>
      <c r="G91" s="555"/>
      <c r="H91" s="272" t="s">
        <v>598</v>
      </c>
      <c r="I91" s="272">
        <f>I92*$E$18*$I$18</f>
        <v>0</v>
      </c>
      <c r="M91" s="211"/>
      <c r="N91" s="215"/>
      <c r="O91" s="391" t="s">
        <v>264</v>
      </c>
      <c r="P91" s="391"/>
      <c r="Q91" s="391"/>
      <c r="R91" s="216"/>
      <c r="U91" s="560"/>
      <c r="V91" s="299" t="str">
        <f t="shared" si="13"/>
        <v>Kamafugito</v>
      </c>
      <c r="W91" s="299">
        <f t="shared" si="13"/>
        <v>0</v>
      </c>
      <c r="X91" s="299">
        <f t="shared" si="14"/>
        <v>0</v>
      </c>
      <c r="Y91" s="299">
        <f t="shared" si="11"/>
        <v>1.5069999999999999</v>
      </c>
      <c r="Z91" s="299">
        <f t="shared" si="11"/>
        <v>3.5</v>
      </c>
      <c r="AA91" s="299">
        <f t="shared" si="11"/>
        <v>3.3250000000000002</v>
      </c>
      <c r="AB91" s="299">
        <f t="shared" si="11"/>
        <v>4</v>
      </c>
      <c r="AC91" s="300">
        <f t="shared" si="15"/>
        <v>1.7217199999999999</v>
      </c>
      <c r="AD91" s="300">
        <f t="shared" si="16"/>
        <v>0</v>
      </c>
      <c r="AE91" s="300">
        <f t="shared" si="12"/>
        <v>5.7217199999999995</v>
      </c>
      <c r="AS91" s="215"/>
      <c r="AT91" s="215"/>
      <c r="AU91" s="215"/>
      <c r="AV91" s="215"/>
      <c r="AW91" s="215"/>
      <c r="AX91" s="215"/>
    </row>
    <row r="92" spans="2:50" ht="19.5" customHeight="1" thickBot="1" x14ac:dyDescent="0.3">
      <c r="B92" s="554"/>
      <c r="C92" s="554"/>
      <c r="D92" s="287" t="str">
        <f>IF(AV43&gt;0,AV43,"-")</f>
        <v>-</v>
      </c>
      <c r="E92" s="391" t="str">
        <f>IF(AV43&gt;0,"gramas por planta","-")</f>
        <v>-</v>
      </c>
      <c r="F92" s="391"/>
      <c r="G92" s="391"/>
      <c r="H92" s="272" t="s">
        <v>603</v>
      </c>
      <c r="I92" s="272">
        <f>IFERROR((D92/1000)*VLOOKUP(B91,$V$100:$W$179,2,0),0)</f>
        <v>0</v>
      </c>
      <c r="M92" s="217"/>
      <c r="N92" s="218"/>
      <c r="O92" s="218"/>
      <c r="P92" s="218"/>
      <c r="Q92" s="218"/>
      <c r="R92" s="219"/>
      <c r="U92" s="560"/>
      <c r="V92" s="299">
        <f t="shared" si="13"/>
        <v>0</v>
      </c>
      <c r="W92" s="299">
        <f t="shared" si="13"/>
        <v>0</v>
      </c>
      <c r="X92" s="299">
        <f t="shared" si="14"/>
        <v>0</v>
      </c>
      <c r="Y92" s="299">
        <f t="shared" si="11"/>
        <v>0</v>
      </c>
      <c r="Z92" s="299">
        <f t="shared" si="11"/>
        <v>0</v>
      </c>
      <c r="AA92" s="299">
        <f t="shared" si="11"/>
        <v>0</v>
      </c>
      <c r="AB92" s="299">
        <f t="shared" si="11"/>
        <v>0</v>
      </c>
      <c r="AC92" s="300">
        <f t="shared" si="15"/>
        <v>0</v>
      </c>
      <c r="AD92" s="300">
        <f t="shared" si="16"/>
        <v>0</v>
      </c>
      <c r="AE92" s="300">
        <f t="shared" si="12"/>
        <v>0</v>
      </c>
      <c r="AS92" s="215"/>
      <c r="AT92" s="215"/>
      <c r="AU92" s="215"/>
      <c r="AV92" s="215"/>
      <c r="AW92" s="215"/>
      <c r="AX92" s="215"/>
    </row>
    <row r="93" spans="2:50" ht="19.5" customHeight="1" thickBot="1" x14ac:dyDescent="0.3">
      <c r="J93" s="301"/>
      <c r="U93" s="560"/>
      <c r="V93" s="299">
        <f t="shared" si="13"/>
        <v>0</v>
      </c>
      <c r="W93" s="299">
        <f t="shared" si="13"/>
        <v>0</v>
      </c>
      <c r="X93" s="299">
        <f t="shared" si="14"/>
        <v>0</v>
      </c>
      <c r="Y93" s="299">
        <f t="shared" si="11"/>
        <v>0</v>
      </c>
      <c r="Z93" s="299">
        <f t="shared" si="11"/>
        <v>0</v>
      </c>
      <c r="AA93" s="299">
        <f t="shared" si="11"/>
        <v>0</v>
      </c>
      <c r="AB93" s="299">
        <f t="shared" si="11"/>
        <v>0</v>
      </c>
      <c r="AC93" s="300">
        <f t="shared" si="15"/>
        <v>0</v>
      </c>
      <c r="AD93" s="300">
        <f t="shared" si="16"/>
        <v>0</v>
      </c>
      <c r="AE93" s="300">
        <f t="shared" si="12"/>
        <v>0</v>
      </c>
      <c r="AS93" s="215"/>
      <c r="AT93" s="215"/>
      <c r="AU93" s="215"/>
      <c r="AV93" s="215"/>
      <c r="AW93" s="215"/>
      <c r="AX93" s="215"/>
    </row>
    <row r="94" spans="2:50" ht="19.5" customHeight="1" x14ac:dyDescent="0.25">
      <c r="B94" s="554" t="str">
        <f>IF(AP44&gt;0,AP44,"-")</f>
        <v>-</v>
      </c>
      <c r="C94" s="554"/>
      <c r="D94" s="287">
        <f>IFERROR(((D95/1000)*$E$18),0)</f>
        <v>0</v>
      </c>
      <c r="E94" s="555" t="str">
        <f>IF(AV44&gt;0,"quilos para área total","-")</f>
        <v>-</v>
      </c>
      <c r="F94" s="555"/>
      <c r="G94" s="555"/>
      <c r="H94" s="272" t="s">
        <v>598</v>
      </c>
      <c r="I94" s="272">
        <f>I95*$E$18*$I$18</f>
        <v>0</v>
      </c>
      <c r="J94" s="301"/>
      <c r="M94" s="212"/>
      <c r="N94" s="213"/>
      <c r="O94" s="213"/>
      <c r="P94" s="213"/>
      <c r="Q94" s="213"/>
      <c r="R94" s="214"/>
      <c r="U94" s="560"/>
      <c r="V94" s="299">
        <f t="shared" si="13"/>
        <v>0</v>
      </c>
      <c r="W94" s="299">
        <f t="shared" si="13"/>
        <v>0</v>
      </c>
      <c r="X94" s="299">
        <f t="shared" si="14"/>
        <v>0</v>
      </c>
      <c r="Y94" s="299">
        <f t="shared" si="11"/>
        <v>0</v>
      </c>
      <c r="Z94" s="299">
        <f t="shared" si="11"/>
        <v>0</v>
      </c>
      <c r="AA94" s="299">
        <f t="shared" si="11"/>
        <v>0</v>
      </c>
      <c r="AB94" s="299">
        <f t="shared" si="11"/>
        <v>0</v>
      </c>
      <c r="AC94" s="300">
        <f t="shared" si="15"/>
        <v>0</v>
      </c>
      <c r="AD94" s="300">
        <f t="shared" si="16"/>
        <v>0</v>
      </c>
      <c r="AE94" s="300">
        <f t="shared" si="12"/>
        <v>0</v>
      </c>
      <c r="AS94" s="215"/>
      <c r="AT94" s="215"/>
      <c r="AU94" s="215"/>
      <c r="AV94" s="215"/>
      <c r="AW94" s="215"/>
      <c r="AX94" s="215"/>
    </row>
    <row r="95" spans="2:50" ht="19.5" customHeight="1" x14ac:dyDescent="0.25">
      <c r="B95" s="554"/>
      <c r="C95" s="554"/>
      <c r="D95" s="287" t="str">
        <f>IF(AV44&gt;0,AV44,"-")</f>
        <v>-</v>
      </c>
      <c r="E95" s="391" t="str">
        <f>IF(AV44&gt;0,"gramas por planta","-")</f>
        <v>-</v>
      </c>
      <c r="F95" s="391"/>
      <c r="G95" s="391"/>
      <c r="H95" s="272" t="s">
        <v>603</v>
      </c>
      <c r="I95" s="272">
        <f>IFERROR((D95/1000)*VLOOKUP(B94,$V$100:$W$179,2,0),0)</f>
        <v>0</v>
      </c>
      <c r="M95" s="376" t="s">
        <v>269</v>
      </c>
      <c r="N95" s="552"/>
      <c r="O95" s="302" t="s">
        <v>33</v>
      </c>
      <c r="P95" s="302" t="s">
        <v>223</v>
      </c>
      <c r="Q95" s="302" t="s">
        <v>224</v>
      </c>
      <c r="R95" s="216"/>
      <c r="U95" s="560"/>
      <c r="V95" s="299">
        <f t="shared" si="13"/>
        <v>0</v>
      </c>
      <c r="W95" s="299">
        <f t="shared" si="13"/>
        <v>0</v>
      </c>
      <c r="X95" s="299">
        <f t="shared" si="14"/>
        <v>0</v>
      </c>
      <c r="Y95" s="299">
        <f t="shared" si="11"/>
        <v>0</v>
      </c>
      <c r="Z95" s="299">
        <f t="shared" si="11"/>
        <v>0</v>
      </c>
      <c r="AA95" s="299">
        <f t="shared" si="11"/>
        <v>0</v>
      </c>
      <c r="AB95" s="299">
        <f t="shared" si="11"/>
        <v>0</v>
      </c>
      <c r="AC95" s="300">
        <f t="shared" si="15"/>
        <v>0</v>
      </c>
      <c r="AD95" s="300">
        <f t="shared" si="16"/>
        <v>0</v>
      </c>
      <c r="AE95" s="300">
        <f t="shared" si="12"/>
        <v>0</v>
      </c>
      <c r="AS95" s="215"/>
      <c r="AT95" s="215"/>
      <c r="AU95" s="215"/>
      <c r="AV95" s="215"/>
      <c r="AW95" s="215"/>
      <c r="AX95" s="215"/>
    </row>
    <row r="96" spans="2:50" ht="19.5" customHeight="1" x14ac:dyDescent="0.25">
      <c r="G96" s="45"/>
      <c r="H96" s="45"/>
      <c r="I96" s="45"/>
      <c r="M96" s="376" t="s">
        <v>262</v>
      </c>
      <c r="N96" s="552"/>
      <c r="O96" s="303">
        <f>$AC$30</f>
        <v>1320</v>
      </c>
      <c r="P96" s="303">
        <f>$AC$31</f>
        <v>1520</v>
      </c>
      <c r="Q96" s="303">
        <f>$AC$32</f>
        <v>1120</v>
      </c>
      <c r="R96" s="216"/>
      <c r="AS96" s="215"/>
      <c r="AT96" s="215"/>
      <c r="AU96" s="215"/>
      <c r="AV96" s="215"/>
      <c r="AW96" s="215"/>
      <c r="AX96" s="215"/>
    </row>
    <row r="97" spans="1:50" ht="19.5" customHeight="1" x14ac:dyDescent="0.25">
      <c r="A97" s="42"/>
      <c r="B97" s="553" t="s">
        <v>536</v>
      </c>
      <c r="C97" s="553"/>
      <c r="D97" s="553"/>
      <c r="E97" s="553"/>
      <c r="F97" s="553"/>
      <c r="G97" s="553"/>
      <c r="H97" s="553"/>
      <c r="I97" s="553"/>
      <c r="M97" s="376" t="s">
        <v>270</v>
      </c>
      <c r="N97" s="552"/>
      <c r="O97" s="263">
        <f>AS21</f>
        <v>1320</v>
      </c>
      <c r="P97" s="263">
        <f>AT21</f>
        <v>0</v>
      </c>
      <c r="Q97" s="263">
        <f>AU21</f>
        <v>0</v>
      </c>
      <c r="R97" s="216"/>
      <c r="AS97" s="215"/>
      <c r="AT97" s="215"/>
      <c r="AU97" s="215"/>
      <c r="AV97" s="215"/>
      <c r="AW97" s="215"/>
      <c r="AX97" s="215"/>
    </row>
    <row r="98" spans="1:50" ht="19.5" customHeight="1" thickBot="1" x14ac:dyDescent="0.3">
      <c r="A98" s="43"/>
      <c r="B98" s="553"/>
      <c r="C98" s="553"/>
      <c r="D98" s="553"/>
      <c r="E98" s="553"/>
      <c r="F98" s="553"/>
      <c r="G98" s="553"/>
      <c r="H98" s="553"/>
      <c r="I98" s="553"/>
      <c r="M98" s="217"/>
      <c r="N98" s="218"/>
      <c r="O98" s="218"/>
      <c r="P98" s="218"/>
      <c r="Q98" s="218"/>
      <c r="R98" s="219"/>
      <c r="U98" s="551" t="s">
        <v>136</v>
      </c>
      <c r="V98" s="551" t="s">
        <v>76</v>
      </c>
      <c r="W98" s="551" t="s">
        <v>77</v>
      </c>
      <c r="X98" s="551" t="s">
        <v>78</v>
      </c>
      <c r="Y98" s="551"/>
      <c r="Z98" s="551"/>
      <c r="AA98" s="551"/>
      <c r="AB98" s="551"/>
      <c r="AC98" s="551"/>
      <c r="AD98" s="551"/>
      <c r="AE98" s="551"/>
      <c r="AF98" s="551"/>
      <c r="AG98" s="551"/>
      <c r="AH98" s="551"/>
      <c r="AI98" s="551"/>
      <c r="AJ98" s="551"/>
      <c r="AK98" s="551"/>
      <c r="AL98" s="551"/>
      <c r="AM98" s="551"/>
      <c r="AN98" s="551"/>
      <c r="AO98" s="551"/>
      <c r="AS98" s="215"/>
      <c r="AT98" s="215"/>
      <c r="AU98" s="215"/>
      <c r="AV98" s="215"/>
      <c r="AW98" s="215"/>
      <c r="AX98" s="215"/>
    </row>
    <row r="99" spans="1:50" ht="19.5" customHeight="1" thickBot="1" x14ac:dyDescent="0.3">
      <c r="A99" s="43"/>
      <c r="B99" s="553"/>
      <c r="C99" s="553"/>
      <c r="D99" s="553"/>
      <c r="E99" s="553"/>
      <c r="F99" s="553"/>
      <c r="G99" s="553"/>
      <c r="H99" s="553"/>
      <c r="I99" s="553"/>
      <c r="U99" s="551"/>
      <c r="V99" s="551"/>
      <c r="W99" s="551"/>
      <c r="X99" s="304" t="s">
        <v>33</v>
      </c>
      <c r="Y99" s="304" t="s">
        <v>79</v>
      </c>
      <c r="Z99" s="304" t="s">
        <v>66</v>
      </c>
      <c r="AA99" s="304" t="s">
        <v>80</v>
      </c>
      <c r="AB99" s="304" t="s">
        <v>67</v>
      </c>
      <c r="AC99" s="304" t="s">
        <v>81</v>
      </c>
      <c r="AD99" s="304" t="s">
        <v>82</v>
      </c>
      <c r="AE99" s="304" t="s">
        <v>83</v>
      </c>
      <c r="AF99" s="304" t="s">
        <v>84</v>
      </c>
      <c r="AG99" s="304" t="s">
        <v>85</v>
      </c>
      <c r="AH99" s="304" t="s">
        <v>86</v>
      </c>
      <c r="AI99" s="304" t="s">
        <v>87</v>
      </c>
      <c r="AJ99" s="304" t="s">
        <v>88</v>
      </c>
      <c r="AK99" s="304" t="s">
        <v>89</v>
      </c>
      <c r="AL99" s="304" t="s">
        <v>117</v>
      </c>
      <c r="AM99" s="304" t="s">
        <v>90</v>
      </c>
      <c r="AN99" s="304" t="s">
        <v>91</v>
      </c>
      <c r="AO99" s="304" t="s">
        <v>92</v>
      </c>
      <c r="AS99" s="215"/>
      <c r="AT99" s="215"/>
      <c r="AU99" s="215"/>
      <c r="AV99" s="215"/>
      <c r="AW99" s="215"/>
      <c r="AX99" s="215"/>
    </row>
    <row r="100" spans="1:50" ht="19.5" customHeight="1" x14ac:dyDescent="0.25">
      <c r="A100" s="215"/>
      <c r="B100" s="553"/>
      <c r="C100" s="553"/>
      <c r="D100" s="553"/>
      <c r="E100" s="553"/>
      <c r="F100" s="553"/>
      <c r="G100" s="553"/>
      <c r="H100" s="553"/>
      <c r="I100" s="553"/>
      <c r="M100" s="212"/>
      <c r="N100" s="213"/>
      <c r="O100" s="213"/>
      <c r="P100" s="213"/>
      <c r="Q100" s="213"/>
      <c r="R100" s="214"/>
      <c r="U100" s="544" t="s">
        <v>227</v>
      </c>
      <c r="V100" s="305" t="str">
        <f>'[1]Adubos e corretivos'!C3</f>
        <v>Uréia</v>
      </c>
      <c r="W100" s="305">
        <f>'[1]Adubos e corretivos'!D3</f>
        <v>2.8</v>
      </c>
      <c r="X100" s="305">
        <f>'[1]Adubos e corretivos'!E3</f>
        <v>45</v>
      </c>
      <c r="Y100" s="305">
        <f>'[1]Adubos e corretivos'!F3</f>
        <v>0</v>
      </c>
      <c r="Z100" s="305">
        <f>'[1]Adubos e corretivos'!G3</f>
        <v>0</v>
      </c>
      <c r="AA100" s="305">
        <f>'[1]Adubos e corretivos'!H3</f>
        <v>0</v>
      </c>
      <c r="AB100" s="305">
        <f>'[1]Adubos e corretivos'!I3</f>
        <v>0</v>
      </c>
      <c r="AC100" s="305">
        <f>'[1]Adubos e corretivos'!J3</f>
        <v>0</v>
      </c>
      <c r="AD100" s="305">
        <f>'[1]Adubos e corretivos'!K3</f>
        <v>0</v>
      </c>
      <c r="AE100" s="305">
        <f>'[1]Adubos e corretivos'!L3</f>
        <v>0</v>
      </c>
      <c r="AF100" s="305">
        <f>'[1]Adubos e corretivos'!M3</f>
        <v>0</v>
      </c>
      <c r="AG100" s="305">
        <f>'[1]Adubos e corretivos'!N3</f>
        <v>0</v>
      </c>
      <c r="AH100" s="305">
        <f>'[1]Adubos e corretivos'!O3</f>
        <v>0</v>
      </c>
      <c r="AI100" s="305">
        <f>'[1]Adubos e corretivos'!P3</f>
        <v>0</v>
      </c>
      <c r="AJ100" s="305">
        <f>'[1]Adubos e corretivos'!Q3</f>
        <v>0</v>
      </c>
      <c r="AK100" s="305">
        <f>'[1]Adubos e corretivos'!R3</f>
        <v>0</v>
      </c>
      <c r="AL100" s="305">
        <f>'[1]Adubos e corretivos'!S3</f>
        <v>0</v>
      </c>
      <c r="AM100" s="305">
        <f>'[1]Adubos e corretivos'!T3</f>
        <v>45</v>
      </c>
      <c r="AN100" s="305">
        <f>'[1]Adubos e corretivos'!U3</f>
        <v>0</v>
      </c>
      <c r="AO100" s="305">
        <f>'[1]Adubos e corretivos'!V3</f>
        <v>0</v>
      </c>
      <c r="AS100" s="215"/>
      <c r="AT100" s="215"/>
      <c r="AU100" s="215"/>
      <c r="AV100" s="215"/>
      <c r="AW100" s="215"/>
      <c r="AX100" s="215"/>
    </row>
    <row r="101" spans="1:50" ht="19.5" customHeight="1" thickBot="1" x14ac:dyDescent="0.3">
      <c r="A101" s="215"/>
      <c r="B101" s="306"/>
      <c r="C101" s="306"/>
      <c r="D101" s="287"/>
      <c r="H101" s="272"/>
      <c r="I101" s="272"/>
      <c r="M101" s="376" t="s">
        <v>265</v>
      </c>
      <c r="N101" s="552"/>
      <c r="O101" s="548" t="s">
        <v>255</v>
      </c>
      <c r="P101" s="548"/>
      <c r="Q101" s="548"/>
      <c r="R101" s="216"/>
      <c r="U101" s="544"/>
      <c r="V101" s="305" t="str">
        <f>'[1]Adubos e corretivos'!C4</f>
        <v>Sulfato de amônio</v>
      </c>
      <c r="W101" s="305">
        <f>'[1]Adubos e corretivos'!D4</f>
        <v>1.72</v>
      </c>
      <c r="X101" s="305">
        <f>'[1]Adubos e corretivos'!E4</f>
        <v>20</v>
      </c>
      <c r="Y101" s="305">
        <f>'[1]Adubos e corretivos'!F4</f>
        <v>0</v>
      </c>
      <c r="Z101" s="305">
        <f>'[1]Adubos e corretivos'!G4</f>
        <v>0</v>
      </c>
      <c r="AA101" s="305">
        <f>'[1]Adubos e corretivos'!H4</f>
        <v>0</v>
      </c>
      <c r="AB101" s="305">
        <f>'[1]Adubos e corretivos'!I4</f>
        <v>0</v>
      </c>
      <c r="AC101" s="305">
        <f>'[1]Adubos e corretivos'!J4</f>
        <v>0</v>
      </c>
      <c r="AD101" s="305">
        <f>'[1]Adubos e corretivos'!K4</f>
        <v>0</v>
      </c>
      <c r="AE101" s="305">
        <f>'[1]Adubos e corretivos'!L4</f>
        <v>24</v>
      </c>
      <c r="AF101" s="305">
        <f>'[1]Adubos e corretivos'!M4</f>
        <v>0</v>
      </c>
      <c r="AG101" s="305">
        <f>'[1]Adubos e corretivos'!N4</f>
        <v>0</v>
      </c>
      <c r="AH101" s="305">
        <f>'[1]Adubos e corretivos'!O4</f>
        <v>0</v>
      </c>
      <c r="AI101" s="305">
        <f>'[1]Adubos e corretivos'!P4</f>
        <v>0</v>
      </c>
      <c r="AJ101" s="305">
        <f>'[1]Adubos e corretivos'!Q4</f>
        <v>0</v>
      </c>
      <c r="AK101" s="305">
        <f>'[1]Adubos e corretivos'!R4</f>
        <v>0</v>
      </c>
      <c r="AL101" s="305">
        <f>'[1]Adubos e corretivos'!S4</f>
        <v>0</v>
      </c>
      <c r="AM101" s="305">
        <f>'[1]Adubos e corretivos'!T4</f>
        <v>20</v>
      </c>
      <c r="AN101" s="305">
        <f>'[1]Adubos e corretivos'!U4</f>
        <v>0</v>
      </c>
      <c r="AO101" s="305">
        <f>'[1]Adubos e corretivos'!V4</f>
        <v>0</v>
      </c>
      <c r="AS101" s="215"/>
      <c r="AT101" s="215"/>
      <c r="AU101" s="215"/>
      <c r="AV101" s="215"/>
      <c r="AW101" s="215"/>
      <c r="AX101" s="215"/>
    </row>
    <row r="102" spans="1:50" ht="19.5" customHeight="1" thickBot="1" x14ac:dyDescent="0.3">
      <c r="A102" s="215"/>
      <c r="B102" s="373" t="s">
        <v>613</v>
      </c>
      <c r="C102" s="374"/>
      <c r="D102" s="374"/>
      <c r="E102" s="374"/>
      <c r="F102" s="374"/>
      <c r="G102" s="374"/>
      <c r="H102" s="374"/>
      <c r="I102" s="375"/>
      <c r="M102" s="376"/>
      <c r="N102" s="552"/>
      <c r="O102" s="448" t="s">
        <v>316</v>
      </c>
      <c r="P102" s="448"/>
      <c r="Q102" s="448"/>
      <c r="R102" s="216"/>
      <c r="U102" s="544"/>
      <c r="V102" s="305" t="str">
        <f>'[1]Adubos e corretivos'!C5</f>
        <v>Nitrato de Amônio</v>
      </c>
      <c r="W102" s="305">
        <f>'[1]Adubos e corretivos'!D5</f>
        <v>0</v>
      </c>
      <c r="X102" s="305">
        <f>'[1]Adubos e corretivos'!E5</f>
        <v>29</v>
      </c>
      <c r="Y102" s="305">
        <f>'[1]Adubos e corretivos'!F5</f>
        <v>0</v>
      </c>
      <c r="Z102" s="305">
        <f>'[1]Adubos e corretivos'!G5</f>
        <v>0</v>
      </c>
      <c r="AA102" s="305">
        <f>'[1]Adubos e corretivos'!H5</f>
        <v>0</v>
      </c>
      <c r="AB102" s="305">
        <f>'[1]Adubos e corretivos'!I5</f>
        <v>0</v>
      </c>
      <c r="AC102" s="305">
        <f>'[1]Adubos e corretivos'!J5</f>
        <v>0</v>
      </c>
      <c r="AD102" s="305">
        <f>'[1]Adubos e corretivos'!K5</f>
        <v>1</v>
      </c>
      <c r="AE102" s="305">
        <f>'[1]Adubos e corretivos'!L5</f>
        <v>1</v>
      </c>
      <c r="AF102" s="305">
        <f>'[1]Adubos e corretivos'!M5</f>
        <v>0</v>
      </c>
      <c r="AG102" s="305">
        <f>'[1]Adubos e corretivos'!N5</f>
        <v>0</v>
      </c>
      <c r="AH102" s="305">
        <f>'[1]Adubos e corretivos'!O5</f>
        <v>1</v>
      </c>
      <c r="AI102" s="305">
        <f>'[1]Adubos e corretivos'!P5</f>
        <v>0</v>
      </c>
      <c r="AJ102" s="305">
        <f>'[1]Adubos e corretivos'!Q5</f>
        <v>0</v>
      </c>
      <c r="AK102" s="305">
        <f>'[1]Adubos e corretivos'!R5</f>
        <v>0</v>
      </c>
      <c r="AL102" s="305">
        <f>'[1]Adubos e corretivos'!S5</f>
        <v>0</v>
      </c>
      <c r="AM102" s="305">
        <f>'[1]Adubos e corretivos'!T5</f>
        <v>14.5</v>
      </c>
      <c r="AN102" s="305">
        <f>'[1]Adubos e corretivos'!U5</f>
        <v>14.5</v>
      </c>
      <c r="AO102" s="305">
        <f>'[1]Adubos e corretivos'!V5</f>
        <v>1.5</v>
      </c>
      <c r="AS102" s="215"/>
      <c r="AT102" s="215"/>
      <c r="AU102" s="215"/>
      <c r="AV102" s="215"/>
      <c r="AW102" s="215"/>
      <c r="AX102" s="215"/>
    </row>
    <row r="103" spans="1:50" ht="19.5" customHeight="1" x14ac:dyDescent="0.25">
      <c r="M103" s="376"/>
      <c r="N103" s="552"/>
      <c r="O103" s="448" t="s">
        <v>257</v>
      </c>
      <c r="P103" s="448"/>
      <c r="Q103" s="448"/>
      <c r="R103" s="216"/>
      <c r="U103" s="544"/>
      <c r="V103" s="305" t="str">
        <f>'[1]Adubos e corretivos'!C6</f>
        <v>Nitrato de cálcio</v>
      </c>
      <c r="W103" s="305">
        <f>'[1]Adubos e corretivos'!D6</f>
        <v>2.56</v>
      </c>
      <c r="X103" s="305">
        <f>'[1]Adubos e corretivos'!E6</f>
        <v>15</v>
      </c>
      <c r="Y103" s="305">
        <f>'[1]Adubos e corretivos'!F6</f>
        <v>0</v>
      </c>
      <c r="Z103" s="305">
        <f>'[1]Adubos e corretivos'!G6</f>
        <v>0</v>
      </c>
      <c r="AA103" s="305">
        <f>'[1]Adubos e corretivos'!H6</f>
        <v>0</v>
      </c>
      <c r="AB103" s="305">
        <f>'[1]Adubos e corretivos'!I6</f>
        <v>0</v>
      </c>
      <c r="AC103" s="305">
        <f>'[1]Adubos e corretivos'!J6</f>
        <v>19</v>
      </c>
      <c r="AD103" s="305">
        <f>'[1]Adubos e corretivos'!K6</f>
        <v>0</v>
      </c>
      <c r="AE103" s="305">
        <f>'[1]Adubos e corretivos'!L6</f>
        <v>0</v>
      </c>
      <c r="AF103" s="305">
        <f>'[1]Adubos e corretivos'!M6</f>
        <v>0</v>
      </c>
      <c r="AG103" s="305">
        <f>'[1]Adubos e corretivos'!N6</f>
        <v>0</v>
      </c>
      <c r="AH103" s="305">
        <f>'[1]Adubos e corretivos'!O6</f>
        <v>0</v>
      </c>
      <c r="AI103" s="305">
        <f>'[1]Adubos e corretivos'!P6</f>
        <v>0</v>
      </c>
      <c r="AJ103" s="305">
        <f>'[1]Adubos e corretivos'!Q6</f>
        <v>0</v>
      </c>
      <c r="AK103" s="305">
        <f>'[1]Adubos e corretivos'!R6</f>
        <v>0</v>
      </c>
      <c r="AL103" s="305">
        <f>'[1]Adubos e corretivos'!S6</f>
        <v>0</v>
      </c>
      <c r="AM103" s="305">
        <f>'[1]Adubos e corretivos'!T6</f>
        <v>1</v>
      </c>
      <c r="AN103" s="305">
        <f>'[1]Adubos e corretivos'!U6</f>
        <v>14</v>
      </c>
      <c r="AO103" s="305">
        <f>'[1]Adubos e corretivos'!V6</f>
        <v>1.18</v>
      </c>
      <c r="AS103" s="215"/>
      <c r="AT103" s="215"/>
      <c r="AU103" s="215"/>
      <c r="AV103" s="215"/>
      <c r="AW103" s="215"/>
      <c r="AX103" s="215"/>
    </row>
    <row r="104" spans="1:50" ht="19.5" customHeight="1" x14ac:dyDescent="0.25">
      <c r="C104" s="272" t="s">
        <v>614</v>
      </c>
      <c r="D104" s="272"/>
      <c r="G104" s="549">
        <f>IFERROR((I27+I30+I38+I45+I48+I51+I54+I57+I60+I63+I66+I69+I72+I82+I85+I88+I91+I94),0)</f>
        <v>6878.5496756597395</v>
      </c>
      <c r="H104" s="549"/>
      <c r="I104" s="307"/>
      <c r="M104" s="376"/>
      <c r="N104" s="552"/>
      <c r="O104" s="448" t="s">
        <v>103</v>
      </c>
      <c r="P104" s="448"/>
      <c r="Q104" s="448"/>
      <c r="R104" s="216"/>
      <c r="U104" s="544"/>
      <c r="V104" s="305" t="str">
        <f>'[1]Adubos e corretivos'!C7</f>
        <v>Nitrato de magnésio</v>
      </c>
      <c r="W104" s="305">
        <f>'[1]Adubos e corretivos'!D7</f>
        <v>4.5999999999999996</v>
      </c>
      <c r="X104" s="305">
        <f>'[1]Adubos e corretivos'!E7</f>
        <v>11</v>
      </c>
      <c r="Y104" s="305">
        <f>'[1]Adubos e corretivos'!F7</f>
        <v>0</v>
      </c>
      <c r="Z104" s="305">
        <f>'[1]Adubos e corretivos'!G7</f>
        <v>0</v>
      </c>
      <c r="AA104" s="305">
        <f>'[1]Adubos e corretivos'!H7</f>
        <v>0</v>
      </c>
      <c r="AB104" s="305">
        <f>'[1]Adubos e corretivos'!I7</f>
        <v>0</v>
      </c>
      <c r="AC104" s="305">
        <f>'[1]Adubos e corretivos'!J7</f>
        <v>0</v>
      </c>
      <c r="AD104" s="305">
        <f>'[1]Adubos e corretivos'!K7</f>
        <v>9.5</v>
      </c>
      <c r="AE104" s="305">
        <f>'[1]Adubos e corretivos'!L7</f>
        <v>0</v>
      </c>
      <c r="AF104" s="305">
        <f>'[1]Adubos e corretivos'!M7</f>
        <v>0</v>
      </c>
      <c r="AG104" s="305">
        <f>'[1]Adubos e corretivos'!N7</f>
        <v>0</v>
      </c>
      <c r="AH104" s="305">
        <f>'[1]Adubos e corretivos'!O7</f>
        <v>0</v>
      </c>
      <c r="AI104" s="305">
        <f>'[1]Adubos e corretivos'!P7</f>
        <v>0</v>
      </c>
      <c r="AJ104" s="305">
        <f>'[1]Adubos e corretivos'!Q7</f>
        <v>0</v>
      </c>
      <c r="AK104" s="305">
        <f>'[1]Adubos e corretivos'!R7</f>
        <v>0</v>
      </c>
      <c r="AL104" s="305">
        <f>'[1]Adubos e corretivos'!S7</f>
        <v>0</v>
      </c>
      <c r="AM104" s="305">
        <f>'[1]Adubos e corretivos'!T7</f>
        <v>0</v>
      </c>
      <c r="AN104" s="305">
        <f>'[1]Adubos e corretivos'!U7</f>
        <v>11</v>
      </c>
      <c r="AO104" s="305">
        <f>'[1]Adubos e corretivos'!V7</f>
        <v>0.9</v>
      </c>
      <c r="AS104" s="215"/>
      <c r="AT104" s="215"/>
      <c r="AU104" s="215"/>
      <c r="AV104" s="215"/>
      <c r="AW104" s="215"/>
      <c r="AX104" s="215"/>
    </row>
    <row r="105" spans="1:50" ht="19.5" customHeight="1" x14ac:dyDescent="0.25">
      <c r="M105" s="376"/>
      <c r="N105" s="552"/>
      <c r="O105" s="448" t="s">
        <v>102</v>
      </c>
      <c r="P105" s="448"/>
      <c r="Q105" s="448"/>
      <c r="R105" s="216"/>
      <c r="U105" s="544"/>
      <c r="V105" s="305" t="str">
        <f>'[1]Adubos e corretivos'!C8</f>
        <v>Nitrato de potássio</v>
      </c>
      <c r="W105" s="305">
        <f>'[1]Adubos e corretivos'!D8</f>
        <v>5.92</v>
      </c>
      <c r="X105" s="305">
        <f>'[1]Adubos e corretivos'!E8</f>
        <v>12</v>
      </c>
      <c r="Y105" s="305">
        <f>'[1]Adubos e corretivos'!F8</f>
        <v>0</v>
      </c>
      <c r="Z105" s="305">
        <f>'[1]Adubos e corretivos'!G8</f>
        <v>0</v>
      </c>
      <c r="AA105" s="305">
        <f>'[1]Adubos e corretivos'!H8</f>
        <v>38</v>
      </c>
      <c r="AB105" s="305">
        <f>'[1]Adubos e corretivos'!I8</f>
        <v>0</v>
      </c>
      <c r="AC105" s="305">
        <f>'[1]Adubos e corretivos'!J8</f>
        <v>0</v>
      </c>
      <c r="AD105" s="305">
        <f>'[1]Adubos e corretivos'!K8</f>
        <v>0</v>
      </c>
      <c r="AE105" s="305">
        <f>'[1]Adubos e corretivos'!L8</f>
        <v>0</v>
      </c>
      <c r="AF105" s="305">
        <f>'[1]Adubos e corretivos'!M8</f>
        <v>0</v>
      </c>
      <c r="AG105" s="305">
        <f>'[1]Adubos e corretivos'!N8</f>
        <v>0</v>
      </c>
      <c r="AH105" s="305">
        <f>'[1]Adubos e corretivos'!O8</f>
        <v>0</v>
      </c>
      <c r="AI105" s="305">
        <f>'[1]Adubos e corretivos'!P8</f>
        <v>0</v>
      </c>
      <c r="AJ105" s="305">
        <f>'[1]Adubos e corretivos'!Q8</f>
        <v>0</v>
      </c>
      <c r="AK105" s="305">
        <f>'[1]Adubos e corretivos'!R8</f>
        <v>0</v>
      </c>
      <c r="AL105" s="305">
        <f>'[1]Adubos e corretivos'!S8</f>
        <v>0</v>
      </c>
      <c r="AM105" s="305">
        <f>'[1]Adubos e corretivos'!T8</f>
        <v>0</v>
      </c>
      <c r="AN105" s="305">
        <f>'[1]Adubos e corretivos'!U8</f>
        <v>12</v>
      </c>
      <c r="AO105" s="305">
        <f>'[1]Adubos e corretivos'!V8</f>
        <v>1.28</v>
      </c>
      <c r="AS105" s="215"/>
      <c r="AT105" s="215"/>
      <c r="AU105" s="215"/>
      <c r="AV105" s="215"/>
      <c r="AW105" s="215"/>
      <c r="AX105" s="215"/>
    </row>
    <row r="106" spans="1:50" ht="19.5" customHeight="1" x14ac:dyDescent="0.25">
      <c r="C106" s="272" t="s">
        <v>615</v>
      </c>
      <c r="D106" s="272"/>
      <c r="G106" s="549">
        <f>IFERROR((I27+I30+I38+I48+I51+I54+I57+I60+I63+I66+I69+I72+I82+I85+I88+I91+I94),0)</f>
        <v>6878.5496756597395</v>
      </c>
      <c r="H106" s="549"/>
      <c r="M106" s="376"/>
      <c r="N106" s="552"/>
      <c r="O106" s="448"/>
      <c r="P106" s="448"/>
      <c r="Q106" s="448"/>
      <c r="R106" s="216"/>
      <c r="U106" s="544"/>
      <c r="V106" s="305" t="str">
        <f>'[1]Adubos e corretivos'!C9</f>
        <v>Superfosfato simples</v>
      </c>
      <c r="W106" s="305">
        <f>'[1]Adubos e corretivos'!D9</f>
        <v>1.68</v>
      </c>
      <c r="X106" s="305">
        <f>'[1]Adubos e corretivos'!E9</f>
        <v>0</v>
      </c>
      <c r="Y106" s="305">
        <f>'[1]Adubos e corretivos'!F9</f>
        <v>7.86</v>
      </c>
      <c r="Z106" s="305">
        <f>'[1]Adubos e corretivos'!G9</f>
        <v>18</v>
      </c>
      <c r="AA106" s="305">
        <f>'[1]Adubos e corretivos'!H9</f>
        <v>0</v>
      </c>
      <c r="AB106" s="305">
        <f>'[1]Adubos e corretivos'!I9</f>
        <v>0</v>
      </c>
      <c r="AC106" s="305">
        <f>'[1]Adubos e corretivos'!J9</f>
        <v>0</v>
      </c>
      <c r="AD106" s="305">
        <f>'[1]Adubos e corretivos'!K9</f>
        <v>0</v>
      </c>
      <c r="AE106" s="305">
        <f>'[1]Adubos e corretivos'!L9</f>
        <v>0</v>
      </c>
      <c r="AF106" s="305">
        <f>'[1]Adubos e corretivos'!M9</f>
        <v>0</v>
      </c>
      <c r="AG106" s="305">
        <f>'[1]Adubos e corretivos'!N9</f>
        <v>0</v>
      </c>
      <c r="AH106" s="305">
        <f>'[1]Adubos e corretivos'!O9</f>
        <v>0</v>
      </c>
      <c r="AI106" s="305">
        <f>'[1]Adubos e corretivos'!P9</f>
        <v>0</v>
      </c>
      <c r="AJ106" s="305">
        <f>'[1]Adubos e corretivos'!Q9</f>
        <v>0</v>
      </c>
      <c r="AK106" s="305">
        <f>'[1]Adubos e corretivos'!R9</f>
        <v>0</v>
      </c>
      <c r="AL106" s="305">
        <f>'[1]Adubos e corretivos'!S9</f>
        <v>0</v>
      </c>
      <c r="AM106" s="305">
        <f>'[1]Adubos e corretivos'!T9</f>
        <v>0</v>
      </c>
      <c r="AN106" s="305">
        <f>'[1]Adubos e corretivos'!U9</f>
        <v>0</v>
      </c>
      <c r="AO106" s="305">
        <f>'[1]Adubos e corretivos'!V9</f>
        <v>0</v>
      </c>
    </row>
    <row r="107" spans="1:50" ht="19.5" customHeight="1" thickBot="1" x14ac:dyDescent="0.3">
      <c r="C107" s="550"/>
      <c r="D107" s="550"/>
      <c r="M107" s="217"/>
      <c r="N107" s="218"/>
      <c r="O107" s="218"/>
      <c r="P107" s="218"/>
      <c r="Q107" s="218"/>
      <c r="R107" s="219"/>
      <c r="U107" s="544"/>
      <c r="V107" s="305" t="str">
        <f>'[1]Adubos e corretivos'!C10</f>
        <v>Superfosfato triplo</v>
      </c>
      <c r="W107" s="305">
        <f>'[1]Adubos e corretivos'!D10</f>
        <v>3.8</v>
      </c>
      <c r="X107" s="305">
        <f>'[1]Adubos e corretivos'!E10</f>
        <v>0</v>
      </c>
      <c r="Y107" s="305">
        <f>'[1]Adubos e corretivos'!F10</f>
        <v>17.91</v>
      </c>
      <c r="Z107" s="305">
        <f>'[1]Adubos e corretivos'!G10</f>
        <v>41</v>
      </c>
      <c r="AA107" s="305">
        <f>'[1]Adubos e corretivos'!H10</f>
        <v>0</v>
      </c>
      <c r="AB107" s="305">
        <f>'[1]Adubos e corretivos'!I10</f>
        <v>0</v>
      </c>
      <c r="AC107" s="305">
        <f>'[1]Adubos e corretivos'!J10</f>
        <v>0</v>
      </c>
      <c r="AD107" s="305">
        <f>'[1]Adubos e corretivos'!K10</f>
        <v>0</v>
      </c>
      <c r="AE107" s="305">
        <f>'[1]Adubos e corretivos'!L10</f>
        <v>0</v>
      </c>
      <c r="AF107" s="305">
        <f>'[1]Adubos e corretivos'!M10</f>
        <v>0</v>
      </c>
      <c r="AG107" s="305">
        <f>'[1]Adubos e corretivos'!N10</f>
        <v>0</v>
      </c>
      <c r="AH107" s="305">
        <f>'[1]Adubos e corretivos'!O10</f>
        <v>0</v>
      </c>
      <c r="AI107" s="305">
        <f>'[1]Adubos e corretivos'!P10</f>
        <v>0</v>
      </c>
      <c r="AJ107" s="305">
        <f>'[1]Adubos e corretivos'!Q10</f>
        <v>0</v>
      </c>
      <c r="AK107" s="305">
        <f>'[1]Adubos e corretivos'!R10</f>
        <v>0</v>
      </c>
      <c r="AL107" s="305">
        <f>'[1]Adubos e corretivos'!S10</f>
        <v>0</v>
      </c>
      <c r="AM107" s="305">
        <f>'[1]Adubos e corretivos'!T10</f>
        <v>0</v>
      </c>
      <c r="AN107" s="305">
        <f>'[1]Adubos e corretivos'!U10</f>
        <v>0</v>
      </c>
      <c r="AO107" s="305">
        <f>'[1]Adubos e corretivos'!V10</f>
        <v>0</v>
      </c>
    </row>
    <row r="108" spans="1:50" ht="19.5" customHeight="1" thickBot="1" x14ac:dyDescent="0.3">
      <c r="C108" s="272" t="s">
        <v>616</v>
      </c>
      <c r="D108" s="272"/>
      <c r="G108" s="549">
        <f>IFERROR((I28+I31+I39+I46+I49+I52+I55+I58+I61+I64+I67+I70+I73+I83+I86+I89+I92+I95),0)</f>
        <v>55.028397405277907</v>
      </c>
      <c r="H108" s="549"/>
      <c r="I108" s="307"/>
      <c r="U108" s="544"/>
      <c r="V108" s="305" t="str">
        <f>'[1]Adubos e corretivos'!C11</f>
        <v>Cloreto de potássio</v>
      </c>
      <c r="W108" s="305">
        <f>'[1]Adubos e corretivos'!D11</f>
        <v>3.48</v>
      </c>
      <c r="X108" s="305">
        <f>'[1]Adubos e corretivos'!E11</f>
        <v>0</v>
      </c>
      <c r="Y108" s="305">
        <f>'[1]Adubos e corretivos'!F11</f>
        <v>0</v>
      </c>
      <c r="Z108" s="305">
        <f>'[1]Adubos e corretivos'!G11</f>
        <v>0</v>
      </c>
      <c r="AA108" s="305">
        <f>'[1]Adubos e corretivos'!H11</f>
        <v>50</v>
      </c>
      <c r="AB108" s="305">
        <f>'[1]Adubos e corretivos'!I11</f>
        <v>60</v>
      </c>
      <c r="AC108" s="305">
        <f>'[1]Adubos e corretivos'!J11</f>
        <v>0</v>
      </c>
      <c r="AD108" s="305">
        <f>'[1]Adubos e corretivos'!K11</f>
        <v>0</v>
      </c>
      <c r="AE108" s="305">
        <f>'[1]Adubos e corretivos'!L11</f>
        <v>0</v>
      </c>
      <c r="AF108" s="305">
        <f>'[1]Adubos e corretivos'!M11</f>
        <v>0</v>
      </c>
      <c r="AG108" s="305">
        <f>'[1]Adubos e corretivos'!N11</f>
        <v>0</v>
      </c>
      <c r="AH108" s="305">
        <f>'[1]Adubos e corretivos'!O11</f>
        <v>0</v>
      </c>
      <c r="AI108" s="305">
        <f>'[1]Adubos e corretivos'!P11</f>
        <v>0</v>
      </c>
      <c r="AJ108" s="305">
        <f>'[1]Adubos e corretivos'!Q11</f>
        <v>0</v>
      </c>
      <c r="AK108" s="305">
        <f>'[1]Adubos e corretivos'!R11</f>
        <v>0</v>
      </c>
      <c r="AL108" s="305">
        <f>'[1]Adubos e corretivos'!S11</f>
        <v>0</v>
      </c>
      <c r="AM108" s="305">
        <f>'[1]Adubos e corretivos'!T11</f>
        <v>0</v>
      </c>
      <c r="AN108" s="305">
        <f>'[1]Adubos e corretivos'!U11</f>
        <v>0</v>
      </c>
      <c r="AO108" s="305">
        <f>'[1]Adubos e corretivos'!V11</f>
        <v>1.7</v>
      </c>
    </row>
    <row r="109" spans="1:50" ht="19.5" customHeight="1" x14ac:dyDescent="0.25">
      <c r="M109" s="212"/>
      <c r="N109" s="213"/>
      <c r="O109" s="213"/>
      <c r="P109" s="213"/>
      <c r="Q109" s="213"/>
      <c r="R109" s="214"/>
      <c r="U109" s="544"/>
      <c r="V109" s="305" t="str">
        <f>'[1]Adubos e corretivos'!C12</f>
        <v>Sulfato de potássio</v>
      </c>
      <c r="W109" s="305">
        <f>'[1]Adubos e corretivos'!D12</f>
        <v>5.32</v>
      </c>
      <c r="X109" s="305">
        <f>'[1]Adubos e corretivos'!E12</f>
        <v>0</v>
      </c>
      <c r="Y109" s="305">
        <f>'[1]Adubos e corretivos'!F12</f>
        <v>0</v>
      </c>
      <c r="Z109" s="305">
        <f>'[1]Adubos e corretivos'!G12</f>
        <v>0</v>
      </c>
      <c r="AA109" s="305">
        <f>'[1]Adubos e corretivos'!H12</f>
        <v>43</v>
      </c>
      <c r="AB109" s="305">
        <f>'[1]Adubos e corretivos'!I12</f>
        <v>52</v>
      </c>
      <c r="AC109" s="305">
        <f>'[1]Adubos e corretivos'!J12</f>
        <v>0</v>
      </c>
      <c r="AD109" s="305">
        <f>'[1]Adubos e corretivos'!K12</f>
        <v>0</v>
      </c>
      <c r="AE109" s="305">
        <f>'[1]Adubos e corretivos'!L12</f>
        <v>17</v>
      </c>
      <c r="AF109" s="305">
        <f>'[1]Adubos e corretivos'!M12</f>
        <v>0</v>
      </c>
      <c r="AG109" s="305">
        <f>'[1]Adubos e corretivos'!N12</f>
        <v>0</v>
      </c>
      <c r="AH109" s="305">
        <f>'[1]Adubos e corretivos'!O12</f>
        <v>0</v>
      </c>
      <c r="AI109" s="305">
        <f>'[1]Adubos e corretivos'!P12</f>
        <v>0</v>
      </c>
      <c r="AJ109" s="305">
        <f>'[1]Adubos e corretivos'!Q12</f>
        <v>0</v>
      </c>
      <c r="AK109" s="305">
        <f>'[1]Adubos e corretivos'!R12</f>
        <v>0</v>
      </c>
      <c r="AL109" s="305">
        <f>'[1]Adubos e corretivos'!S12</f>
        <v>0</v>
      </c>
      <c r="AM109" s="305">
        <f>'[1]Adubos e corretivos'!T12</f>
        <v>0</v>
      </c>
      <c r="AN109" s="305">
        <f>'[1]Adubos e corretivos'!U12</f>
        <v>0</v>
      </c>
      <c r="AO109" s="305">
        <f>'[1]Adubos e corretivos'!V12</f>
        <v>1.2</v>
      </c>
    </row>
    <row r="110" spans="1:50" ht="19.5" customHeight="1" x14ac:dyDescent="0.25">
      <c r="C110" s="272" t="s">
        <v>617</v>
      </c>
      <c r="D110" s="272"/>
      <c r="G110" s="549">
        <f>IFERROR((I28+I31+I39+I49+I52+I55+I58+I61+I64+I67+I70+I73+I83+I86+I89+I92+I95),0)</f>
        <v>55.028397405277907</v>
      </c>
      <c r="H110" s="549"/>
      <c r="M110" s="211" t="s">
        <v>269</v>
      </c>
      <c r="N110" s="302" t="s">
        <v>84</v>
      </c>
      <c r="O110" s="302" t="s">
        <v>87</v>
      </c>
      <c r="P110" s="302" t="s">
        <v>85</v>
      </c>
      <c r="Q110" s="302" t="s">
        <v>86</v>
      </c>
      <c r="R110" s="216"/>
      <c r="U110" s="544"/>
      <c r="V110" s="305" t="str">
        <f>'[1]Adubos e corretivos'!C13</f>
        <v>DRIPSOL Alface</v>
      </c>
      <c r="W110" s="305">
        <f>'[1]Adubos e corretivos'!D13</f>
        <v>9</v>
      </c>
      <c r="X110" s="305">
        <f>'[1]Adubos e corretivos'!E13</f>
        <v>0</v>
      </c>
      <c r="Y110" s="305">
        <f>'[1]Adubos e corretivos'!F13</f>
        <v>0</v>
      </c>
      <c r="Z110" s="305">
        <f>'[1]Adubos e corretivos'!G13</f>
        <v>0</v>
      </c>
      <c r="AA110" s="305">
        <f>'[1]Adubos e corretivos'!H13</f>
        <v>43</v>
      </c>
      <c r="AB110" s="305">
        <f>'[1]Adubos e corretivos'!I13</f>
        <v>52</v>
      </c>
      <c r="AC110" s="305">
        <f>'[1]Adubos e corretivos'!J13</f>
        <v>0</v>
      </c>
      <c r="AD110" s="305">
        <f>'[1]Adubos e corretivos'!K13</f>
        <v>0</v>
      </c>
      <c r="AE110" s="305">
        <f>'[1]Adubos e corretivos'!L13</f>
        <v>0</v>
      </c>
      <c r="AF110" s="305">
        <f>'[1]Adubos e corretivos'!M13</f>
        <v>0</v>
      </c>
      <c r="AG110" s="305">
        <f>'[1]Adubos e corretivos'!N13</f>
        <v>0</v>
      </c>
      <c r="AH110" s="305">
        <f>'[1]Adubos e corretivos'!O13</f>
        <v>0</v>
      </c>
      <c r="AI110" s="305">
        <f>'[1]Adubos e corretivos'!P13</f>
        <v>0</v>
      </c>
      <c r="AJ110" s="305">
        <f>'[1]Adubos e corretivos'!Q13</f>
        <v>0</v>
      </c>
      <c r="AK110" s="305">
        <f>'[1]Adubos e corretivos'!R13</f>
        <v>0</v>
      </c>
      <c r="AL110" s="305">
        <f>'[1]Adubos e corretivos'!S13</f>
        <v>0</v>
      </c>
      <c r="AM110" s="305">
        <f>'[1]Adubos e corretivos'!T13</f>
        <v>0</v>
      </c>
      <c r="AN110" s="305">
        <f>'[1]Adubos e corretivos'!U13</f>
        <v>0</v>
      </c>
      <c r="AO110" s="305">
        <f>'[1]Adubos e corretivos'!V13</f>
        <v>0</v>
      </c>
    </row>
    <row r="111" spans="1:50" ht="19.5" customHeight="1" x14ac:dyDescent="0.25">
      <c r="M111" s="211" t="s">
        <v>262</v>
      </c>
      <c r="N111" s="303">
        <f>AS26</f>
        <v>8</v>
      </c>
      <c r="O111" s="303">
        <f>AT26</f>
        <v>0</v>
      </c>
      <c r="P111" s="303">
        <f>AU26</f>
        <v>0</v>
      </c>
      <c r="Q111" s="303">
        <f>AV26</f>
        <v>0</v>
      </c>
      <c r="R111" s="216"/>
      <c r="U111" s="544"/>
      <c r="V111" s="305" t="str">
        <f>'[1]Adubos e corretivos'!C14</f>
        <v>MAP</v>
      </c>
      <c r="W111" s="305">
        <f>'[1]Adubos e corretivos'!D14</f>
        <v>5.52</v>
      </c>
      <c r="X111" s="305">
        <f>'[1]Adubos e corretivos'!E14</f>
        <v>12</v>
      </c>
      <c r="Y111" s="305">
        <f>'[1]Adubos e corretivos'!F14</f>
        <v>27</v>
      </c>
      <c r="Z111" s="305">
        <f>'[1]Adubos e corretivos'!G14</f>
        <v>62</v>
      </c>
      <c r="AA111" s="305">
        <f>'[1]Adubos e corretivos'!H14</f>
        <v>0</v>
      </c>
      <c r="AB111" s="305">
        <f>'[1]Adubos e corretivos'!I14</f>
        <v>0</v>
      </c>
      <c r="AC111" s="305">
        <f>'[1]Adubos e corretivos'!J14</f>
        <v>0</v>
      </c>
      <c r="AD111" s="305">
        <f>'[1]Adubos e corretivos'!K14</f>
        <v>0</v>
      </c>
      <c r="AE111" s="305">
        <f>'[1]Adubos e corretivos'!L14</f>
        <v>0</v>
      </c>
      <c r="AF111" s="305">
        <f>'[1]Adubos e corretivos'!M14</f>
        <v>0</v>
      </c>
      <c r="AG111" s="305">
        <f>'[1]Adubos e corretivos'!N14</f>
        <v>0</v>
      </c>
      <c r="AH111" s="305">
        <f>'[1]Adubos e corretivos'!O14</f>
        <v>0</v>
      </c>
      <c r="AI111" s="305">
        <f>'[1]Adubos e corretivos'!P14</f>
        <v>0</v>
      </c>
      <c r="AJ111" s="305">
        <f>'[1]Adubos e corretivos'!Q14</f>
        <v>0</v>
      </c>
      <c r="AK111" s="305">
        <f>'[1]Adubos e corretivos'!R14</f>
        <v>0</v>
      </c>
      <c r="AL111" s="305">
        <f>'[1]Adubos e corretivos'!S14</f>
        <v>0</v>
      </c>
      <c r="AM111" s="305">
        <f>'[1]Adubos e corretivos'!T14</f>
        <v>12</v>
      </c>
      <c r="AN111" s="305">
        <f>'[1]Adubos e corretivos'!U14</f>
        <v>0</v>
      </c>
      <c r="AO111" s="305">
        <f>'[1]Adubos e corretivos'!V14</f>
        <v>0.95</v>
      </c>
    </row>
    <row r="112" spans="1:50" ht="19.5" customHeight="1" thickBot="1" x14ac:dyDescent="0.3">
      <c r="M112" s="211" t="s">
        <v>270</v>
      </c>
      <c r="N112" s="56">
        <f>AW45</f>
        <v>0</v>
      </c>
      <c r="O112" s="56">
        <f>AX45</f>
        <v>0</v>
      </c>
      <c r="P112" s="56">
        <f>AY45</f>
        <v>0</v>
      </c>
      <c r="Q112" s="56">
        <f>AZ45</f>
        <v>0</v>
      </c>
      <c r="R112" s="216"/>
      <c r="U112" s="544"/>
      <c r="V112" s="305" t="str">
        <f>'[1]Adubos e corretivos'!C15</f>
        <v>MKP</v>
      </c>
      <c r="W112" s="305">
        <f>'[1]Adubos e corretivos'!D15</f>
        <v>8.92</v>
      </c>
      <c r="X112" s="305">
        <f>'[1]Adubos e corretivos'!E15</f>
        <v>0</v>
      </c>
      <c r="Y112" s="305">
        <f>'[1]Adubos e corretivos'!F15</f>
        <v>23</v>
      </c>
      <c r="Z112" s="305">
        <f>'[1]Adubos e corretivos'!G15</f>
        <v>53</v>
      </c>
      <c r="AA112" s="305">
        <f>'[1]Adubos e corretivos'!H15</f>
        <v>28</v>
      </c>
      <c r="AB112" s="305">
        <f>'[1]Adubos e corretivos'!I15</f>
        <v>34</v>
      </c>
      <c r="AC112" s="305">
        <f>'[1]Adubos e corretivos'!J15</f>
        <v>0</v>
      </c>
      <c r="AD112" s="305">
        <f>'[1]Adubos e corretivos'!K15</f>
        <v>0</v>
      </c>
      <c r="AE112" s="305">
        <f>'[1]Adubos e corretivos'!L15</f>
        <v>0</v>
      </c>
      <c r="AF112" s="305">
        <f>'[1]Adubos e corretivos'!M15</f>
        <v>0</v>
      </c>
      <c r="AG112" s="305">
        <f>'[1]Adubos e corretivos'!N15</f>
        <v>0</v>
      </c>
      <c r="AH112" s="305">
        <f>'[1]Adubos e corretivos'!O15</f>
        <v>0</v>
      </c>
      <c r="AI112" s="305">
        <f>'[1]Adubos e corretivos'!P15</f>
        <v>0</v>
      </c>
      <c r="AJ112" s="305">
        <f>'[1]Adubos e corretivos'!Q15</f>
        <v>0</v>
      </c>
      <c r="AK112" s="305">
        <f>'[1]Adubos e corretivos'!R15</f>
        <v>0</v>
      </c>
      <c r="AL112" s="305">
        <f>'[1]Adubos e corretivos'!S15</f>
        <v>0</v>
      </c>
      <c r="AM112" s="305">
        <f>'[1]Adubos e corretivos'!T15</f>
        <v>0</v>
      </c>
      <c r="AN112" s="305">
        <f>'[1]Adubos e corretivos'!U15</f>
        <v>0</v>
      </c>
      <c r="AO112" s="305">
        <f>'[1]Adubos e corretivos'!V15</f>
        <v>0.7</v>
      </c>
    </row>
    <row r="113" spans="2:41" ht="19.5" customHeight="1" thickBot="1" x14ac:dyDescent="0.3">
      <c r="B113" s="388"/>
      <c r="C113" s="389"/>
      <c r="D113" s="389"/>
      <c r="E113" s="390"/>
      <c r="F113" s="388"/>
      <c r="G113" s="389"/>
      <c r="H113" s="389"/>
      <c r="I113" s="390"/>
      <c r="M113" s="217"/>
      <c r="N113" s="218"/>
      <c r="O113" s="218"/>
      <c r="P113" s="218"/>
      <c r="Q113" s="218"/>
      <c r="R113" s="219"/>
      <c r="U113" s="544"/>
      <c r="V113" s="305">
        <f>'[1]Adubos e corretivos'!C16</f>
        <v>0</v>
      </c>
      <c r="W113" s="305">
        <f>'[1]Adubos e corretivos'!D16</f>
        <v>0</v>
      </c>
      <c r="X113" s="305">
        <f>'[1]Adubos e corretivos'!E16</f>
        <v>0</v>
      </c>
      <c r="Y113" s="305">
        <f>'[1]Adubos e corretivos'!F16</f>
        <v>0</v>
      </c>
      <c r="Z113" s="305">
        <f>'[1]Adubos e corretivos'!G16</f>
        <v>0</v>
      </c>
      <c r="AA113" s="305">
        <f>'[1]Adubos e corretivos'!H16</f>
        <v>0</v>
      </c>
      <c r="AB113" s="305">
        <f>'[1]Adubos e corretivos'!I16</f>
        <v>0</v>
      </c>
      <c r="AC113" s="305">
        <f>'[1]Adubos e corretivos'!J16</f>
        <v>0</v>
      </c>
      <c r="AD113" s="305">
        <f>'[1]Adubos e corretivos'!K16</f>
        <v>0</v>
      </c>
      <c r="AE113" s="305">
        <f>'[1]Adubos e corretivos'!L16</f>
        <v>0</v>
      </c>
      <c r="AF113" s="305">
        <f>'[1]Adubos e corretivos'!M16</f>
        <v>0</v>
      </c>
      <c r="AG113" s="305">
        <f>'[1]Adubos e corretivos'!N16</f>
        <v>0</v>
      </c>
      <c r="AH113" s="305">
        <f>'[1]Adubos e corretivos'!O16</f>
        <v>0</v>
      </c>
      <c r="AI113" s="305">
        <f>'[1]Adubos e corretivos'!P16</f>
        <v>0</v>
      </c>
      <c r="AJ113" s="305">
        <f>'[1]Adubos e corretivos'!Q16</f>
        <v>0</v>
      </c>
      <c r="AK113" s="305">
        <f>'[1]Adubos e corretivos'!R16</f>
        <v>0</v>
      </c>
      <c r="AL113" s="305">
        <f>'[1]Adubos e corretivos'!S16</f>
        <v>0</v>
      </c>
      <c r="AM113" s="305">
        <f>'[1]Adubos e corretivos'!T16</f>
        <v>0</v>
      </c>
      <c r="AN113" s="305">
        <f>'[1]Adubos e corretivos'!U16</f>
        <v>0</v>
      </c>
      <c r="AO113" s="305">
        <f>'[1]Adubos e corretivos'!V16</f>
        <v>0</v>
      </c>
    </row>
    <row r="114" spans="2:41" ht="19.5" customHeight="1" thickBot="1" x14ac:dyDescent="0.3">
      <c r="B114" s="376"/>
      <c r="C114" s="391"/>
      <c r="D114" s="391"/>
      <c r="E114" s="392"/>
      <c r="F114" s="376"/>
      <c r="G114" s="391"/>
      <c r="H114" s="391"/>
      <c r="I114" s="392"/>
      <c r="U114" s="544"/>
      <c r="V114" s="305">
        <f>'[1]Adubos e corretivos'!C17</f>
        <v>0</v>
      </c>
      <c r="W114" s="305">
        <f>'[1]Adubos e corretivos'!D17</f>
        <v>0</v>
      </c>
      <c r="X114" s="305">
        <f>'[1]Adubos e corretivos'!E17</f>
        <v>0</v>
      </c>
      <c r="Y114" s="305">
        <f>'[1]Adubos e corretivos'!F17</f>
        <v>0</v>
      </c>
      <c r="Z114" s="305">
        <f>'[1]Adubos e corretivos'!G17</f>
        <v>0</v>
      </c>
      <c r="AA114" s="305">
        <f>'[1]Adubos e corretivos'!H17</f>
        <v>0</v>
      </c>
      <c r="AB114" s="305">
        <f>'[1]Adubos e corretivos'!I17</f>
        <v>0</v>
      </c>
      <c r="AC114" s="305">
        <f>'[1]Adubos e corretivos'!J17</f>
        <v>0</v>
      </c>
      <c r="AD114" s="305">
        <f>'[1]Adubos e corretivos'!K17</f>
        <v>0</v>
      </c>
      <c r="AE114" s="305">
        <f>'[1]Adubos e corretivos'!L17</f>
        <v>0</v>
      </c>
      <c r="AF114" s="305">
        <f>'[1]Adubos e corretivos'!M17</f>
        <v>0</v>
      </c>
      <c r="AG114" s="305">
        <f>'[1]Adubos e corretivos'!N17</f>
        <v>0</v>
      </c>
      <c r="AH114" s="305">
        <f>'[1]Adubos e corretivos'!O17</f>
        <v>0</v>
      </c>
      <c r="AI114" s="305">
        <f>'[1]Adubos e corretivos'!P17</f>
        <v>0</v>
      </c>
      <c r="AJ114" s="305">
        <f>'[1]Adubos e corretivos'!Q17</f>
        <v>0</v>
      </c>
      <c r="AK114" s="305">
        <f>'[1]Adubos e corretivos'!R17</f>
        <v>0</v>
      </c>
      <c r="AL114" s="305">
        <f>'[1]Adubos e corretivos'!S17</f>
        <v>0</v>
      </c>
      <c r="AM114" s="305">
        <f>'[1]Adubos e corretivos'!T17</f>
        <v>0</v>
      </c>
      <c r="AN114" s="305">
        <f>'[1]Adubos e corretivos'!U17</f>
        <v>0</v>
      </c>
      <c r="AO114" s="305">
        <f>'[1]Adubos e corretivos'!V17</f>
        <v>0</v>
      </c>
    </row>
    <row r="115" spans="2:41" ht="19.5" customHeight="1" thickBot="1" x14ac:dyDescent="0.3">
      <c r="B115" s="393"/>
      <c r="C115" s="394"/>
      <c r="D115" s="394"/>
      <c r="E115" s="395"/>
      <c r="F115" s="393"/>
      <c r="G115" s="394"/>
      <c r="H115" s="394"/>
      <c r="I115" s="395"/>
      <c r="M115" s="212"/>
      <c r="N115" s="213"/>
      <c r="O115" s="213"/>
      <c r="P115" s="213"/>
      <c r="Q115" s="213"/>
      <c r="R115" s="214"/>
      <c r="U115" s="543" t="s">
        <v>226</v>
      </c>
      <c r="V115" s="305" t="str">
        <f>'[1]Adubos e corretivos'!C18</f>
        <v>Formulado 03-18-05</v>
      </c>
      <c r="W115" s="305">
        <f>'[1]Adubos e corretivos'!D18</f>
        <v>1.88</v>
      </c>
      <c r="X115" s="305">
        <f>'[1]Adubos e corretivos'!E18</f>
        <v>3</v>
      </c>
      <c r="Y115" s="305">
        <f>'[1]Adubos e corretivos'!F18</f>
        <v>7.87</v>
      </c>
      <c r="Z115" s="305">
        <f>'[1]Adubos e corretivos'!G18</f>
        <v>18</v>
      </c>
      <c r="AA115" s="305">
        <f>'[1]Adubos e corretivos'!H18</f>
        <v>4.2</v>
      </c>
      <c r="AB115" s="305">
        <f>'[1]Adubos e corretivos'!I18</f>
        <v>5</v>
      </c>
      <c r="AC115" s="305">
        <f>'[1]Adubos e corretivos'!J18</f>
        <v>0</v>
      </c>
      <c r="AD115" s="305">
        <f>'[1]Adubos e corretivos'!K18</f>
        <v>0</v>
      </c>
      <c r="AE115" s="305">
        <f>'[1]Adubos e corretivos'!L18</f>
        <v>0</v>
      </c>
      <c r="AF115" s="305">
        <f>'[1]Adubos e corretivos'!M18</f>
        <v>0</v>
      </c>
      <c r="AG115" s="305">
        <f>'[1]Adubos e corretivos'!N18</f>
        <v>0</v>
      </c>
      <c r="AH115" s="305">
        <f>'[1]Adubos e corretivos'!O18</f>
        <v>0</v>
      </c>
      <c r="AI115" s="305">
        <f>'[1]Adubos e corretivos'!P18</f>
        <v>0</v>
      </c>
      <c r="AJ115" s="305">
        <f>'[1]Adubos e corretivos'!Q18</f>
        <v>0</v>
      </c>
      <c r="AK115" s="305">
        <f>'[1]Adubos e corretivos'!R18</f>
        <v>0</v>
      </c>
      <c r="AL115" s="305">
        <f>'[1]Adubos e corretivos'!S18</f>
        <v>0</v>
      </c>
      <c r="AM115" s="305">
        <f>'[1]Adubos e corretivos'!T18</f>
        <v>0</v>
      </c>
      <c r="AN115" s="305">
        <f>'[1]Adubos e corretivos'!U18</f>
        <v>0</v>
      </c>
      <c r="AO115" s="305">
        <f>'[1]Adubos e corretivos'!V18</f>
        <v>0</v>
      </c>
    </row>
    <row r="116" spans="2:41" ht="19.5" customHeight="1" x14ac:dyDescent="0.25">
      <c r="B116" s="545" t="s">
        <v>132</v>
      </c>
      <c r="C116" s="545"/>
      <c r="D116" s="545"/>
      <c r="E116" s="546"/>
      <c r="F116" s="545" t="s">
        <v>133</v>
      </c>
      <c r="G116" s="545"/>
      <c r="H116" s="545"/>
      <c r="I116" s="545"/>
      <c r="M116" s="539" t="s">
        <v>618</v>
      </c>
      <c r="N116" s="547"/>
      <c r="O116" s="548" t="s">
        <v>619</v>
      </c>
      <c r="P116" s="548"/>
      <c r="Q116" s="548"/>
      <c r="R116" s="216"/>
      <c r="U116" s="543"/>
      <c r="V116" s="305" t="str">
        <f>'[1]Adubos e corretivos'!C19</f>
        <v>Formulado 04-14-08</v>
      </c>
      <c r="W116" s="305">
        <f>'[1]Adubos e corretivos'!D19</f>
        <v>1.86</v>
      </c>
      <c r="X116" s="305">
        <f>'[1]Adubos e corretivos'!E19</f>
        <v>4</v>
      </c>
      <c r="Y116" s="305">
        <f>'[1]Adubos e corretivos'!F19</f>
        <v>6.15</v>
      </c>
      <c r="Z116" s="305">
        <f>'[1]Adubos e corretivos'!G19</f>
        <v>14</v>
      </c>
      <c r="AA116" s="305">
        <f>'[1]Adubos e corretivos'!H19</f>
        <v>6.65</v>
      </c>
      <c r="AB116" s="305">
        <f>'[1]Adubos e corretivos'!I19</f>
        <v>8</v>
      </c>
      <c r="AC116" s="305">
        <f>'[1]Adubos e corretivos'!J19</f>
        <v>0</v>
      </c>
      <c r="AD116" s="305">
        <f>'[1]Adubos e corretivos'!K19</f>
        <v>0</v>
      </c>
      <c r="AE116" s="305">
        <f>'[1]Adubos e corretivos'!L19</f>
        <v>0</v>
      </c>
      <c r="AF116" s="305">
        <f>'[1]Adubos e corretivos'!M19</f>
        <v>0</v>
      </c>
      <c r="AG116" s="305">
        <f>'[1]Adubos e corretivos'!N19</f>
        <v>0</v>
      </c>
      <c r="AH116" s="305">
        <f>'[1]Adubos e corretivos'!O19</f>
        <v>0</v>
      </c>
      <c r="AI116" s="305">
        <f>'[1]Adubos e corretivos'!P19</f>
        <v>0</v>
      </c>
      <c r="AJ116" s="305">
        <f>'[1]Adubos e corretivos'!Q19</f>
        <v>0</v>
      </c>
      <c r="AK116" s="305">
        <f>'[1]Adubos e corretivos'!R19</f>
        <v>0</v>
      </c>
      <c r="AL116" s="305">
        <f>'[1]Adubos e corretivos'!S19</f>
        <v>0</v>
      </c>
      <c r="AM116" s="305">
        <f>'[1]Adubos e corretivos'!T19</f>
        <v>0</v>
      </c>
      <c r="AN116" s="305">
        <f>'[1]Adubos e corretivos'!U19</f>
        <v>0</v>
      </c>
      <c r="AO116" s="305">
        <f>'[1]Adubos e corretivos'!V19</f>
        <v>0</v>
      </c>
    </row>
    <row r="117" spans="2:41" ht="19.5" customHeight="1" x14ac:dyDescent="0.25">
      <c r="M117" s="539"/>
      <c r="N117" s="547"/>
      <c r="O117" s="448" t="s">
        <v>158</v>
      </c>
      <c r="P117" s="448"/>
      <c r="Q117" s="266">
        <f>AA188</f>
        <v>0</v>
      </c>
      <c r="R117" s="216"/>
      <c r="U117" s="543"/>
      <c r="V117" s="305" t="str">
        <f>'[1]Adubos e corretivos'!C20</f>
        <v>Formulado 04-30-16</v>
      </c>
      <c r="W117" s="305">
        <f>'[1]Adubos e corretivos'!D20</f>
        <v>2.52</v>
      </c>
      <c r="X117" s="305">
        <f>'[1]Adubos e corretivos'!E20</f>
        <v>4</v>
      </c>
      <c r="Y117" s="305">
        <f>'[1]Adubos e corretivos'!F20</f>
        <v>13.1</v>
      </c>
      <c r="Z117" s="305">
        <f>'[1]Adubos e corretivos'!G20</f>
        <v>30</v>
      </c>
      <c r="AA117" s="305">
        <f>'[1]Adubos e corretivos'!H20</f>
        <v>13.3</v>
      </c>
      <c r="AB117" s="305">
        <f>'[1]Adubos e corretivos'!I20</f>
        <v>16</v>
      </c>
      <c r="AC117" s="305">
        <f>'[1]Adubos e corretivos'!J20</f>
        <v>0</v>
      </c>
      <c r="AD117" s="305">
        <f>'[1]Adubos e corretivos'!K20</f>
        <v>0</v>
      </c>
      <c r="AE117" s="305">
        <f>'[1]Adubos e corretivos'!L20</f>
        <v>0</v>
      </c>
      <c r="AF117" s="305">
        <f>'[1]Adubos e corretivos'!M20</f>
        <v>0</v>
      </c>
      <c r="AG117" s="305">
        <f>'[1]Adubos e corretivos'!N20</f>
        <v>0</v>
      </c>
      <c r="AH117" s="305">
        <f>'[1]Adubos e corretivos'!O20</f>
        <v>0</v>
      </c>
      <c r="AI117" s="305">
        <f>'[1]Adubos e corretivos'!P20</f>
        <v>0</v>
      </c>
      <c r="AJ117" s="305">
        <f>'[1]Adubos e corretivos'!Q20</f>
        <v>0</v>
      </c>
      <c r="AK117" s="305">
        <f>'[1]Adubos e corretivos'!R20</f>
        <v>0</v>
      </c>
      <c r="AL117" s="305">
        <f>'[1]Adubos e corretivos'!S20</f>
        <v>0</v>
      </c>
      <c r="AM117" s="305">
        <f>'[1]Adubos e corretivos'!T20</f>
        <v>0</v>
      </c>
      <c r="AN117" s="305">
        <f>'[1]Adubos e corretivos'!U20</f>
        <v>0</v>
      </c>
      <c r="AO117" s="305">
        <f>'[1]Adubos e corretivos'!V20</f>
        <v>0</v>
      </c>
    </row>
    <row r="118" spans="2:41" ht="19.5" customHeight="1" x14ac:dyDescent="0.25">
      <c r="M118" s="539"/>
      <c r="N118" s="547"/>
      <c r="O118" s="448" t="s">
        <v>166</v>
      </c>
      <c r="P118" s="448"/>
      <c r="Q118" s="266">
        <f t="shared" ref="Q118:Q143" si="17">AA189</f>
        <v>0</v>
      </c>
      <c r="R118" s="216"/>
      <c r="U118" s="543"/>
      <c r="V118" s="305" t="str">
        <f>'[1]Adubos e corretivos'!C21</f>
        <v>Formulado 05-25-15</v>
      </c>
      <c r="W118" s="305">
        <f>'[1]Adubos e corretivos'!D21</f>
        <v>2</v>
      </c>
      <c r="X118" s="305">
        <f>'[1]Adubos e corretivos'!E21</f>
        <v>5</v>
      </c>
      <c r="Y118" s="305">
        <f>'[1]Adubos e corretivos'!F21</f>
        <v>10.95</v>
      </c>
      <c r="Z118" s="305">
        <f>'[1]Adubos e corretivos'!G21</f>
        <v>25</v>
      </c>
      <c r="AA118" s="305">
        <f>'[1]Adubos e corretivos'!H21</f>
        <v>12.45</v>
      </c>
      <c r="AB118" s="305">
        <f>'[1]Adubos e corretivos'!I21</f>
        <v>15</v>
      </c>
      <c r="AC118" s="305">
        <f>'[1]Adubos e corretivos'!J21</f>
        <v>0</v>
      </c>
      <c r="AD118" s="305">
        <f>'[1]Adubos e corretivos'!K21</f>
        <v>0</v>
      </c>
      <c r="AE118" s="305">
        <f>'[1]Adubos e corretivos'!L21</f>
        <v>0</v>
      </c>
      <c r="AF118" s="305">
        <f>'[1]Adubos e corretivos'!M21</f>
        <v>0</v>
      </c>
      <c r="AG118" s="305">
        <f>'[1]Adubos e corretivos'!N21</f>
        <v>0</v>
      </c>
      <c r="AH118" s="305">
        <f>'[1]Adubos e corretivos'!O21</f>
        <v>0</v>
      </c>
      <c r="AI118" s="305">
        <f>'[1]Adubos e corretivos'!P21</f>
        <v>0</v>
      </c>
      <c r="AJ118" s="305">
        <f>'[1]Adubos e corretivos'!Q21</f>
        <v>0</v>
      </c>
      <c r="AK118" s="305">
        <f>'[1]Adubos e corretivos'!R21</f>
        <v>0</v>
      </c>
      <c r="AL118" s="305">
        <f>'[1]Adubos e corretivos'!S21</f>
        <v>0</v>
      </c>
      <c r="AM118" s="305">
        <f>'[1]Adubos e corretivos'!T21</f>
        <v>0</v>
      </c>
      <c r="AN118" s="305">
        <f>'[1]Adubos e corretivos'!U21</f>
        <v>0</v>
      </c>
      <c r="AO118" s="305">
        <f>'[1]Adubos e corretivos'!V21</f>
        <v>0</v>
      </c>
    </row>
    <row r="119" spans="2:41" ht="19.5" customHeight="1" x14ac:dyDescent="0.25">
      <c r="M119" s="539"/>
      <c r="N119" s="547"/>
      <c r="O119" s="448" t="s">
        <v>174</v>
      </c>
      <c r="P119" s="448"/>
      <c r="Q119" s="266">
        <f t="shared" si="17"/>
        <v>5.6843418860808015E-14</v>
      </c>
      <c r="R119" s="216"/>
      <c r="U119" s="543"/>
      <c r="V119" s="305" t="str">
        <f>'[1]Adubos e corretivos'!C22</f>
        <v>Formulado 04-30-10</v>
      </c>
      <c r="W119" s="305">
        <f>'[1]Adubos e corretivos'!D22</f>
        <v>2.44</v>
      </c>
      <c r="X119" s="305">
        <f>'[1]Adubos e corretivos'!E22</f>
        <v>4</v>
      </c>
      <c r="Y119" s="305">
        <f>'[1]Adubos e corretivos'!F22</f>
        <v>13.1</v>
      </c>
      <c r="Z119" s="305">
        <f>'[1]Adubos e corretivos'!G22</f>
        <v>30</v>
      </c>
      <c r="AA119" s="305">
        <f>'[1]Adubos e corretivos'!H22</f>
        <v>8.3000000000000007</v>
      </c>
      <c r="AB119" s="305">
        <f>'[1]Adubos e corretivos'!I22</f>
        <v>10</v>
      </c>
      <c r="AC119" s="305">
        <f>'[1]Adubos e corretivos'!J22</f>
        <v>0</v>
      </c>
      <c r="AD119" s="305">
        <f>'[1]Adubos e corretivos'!K22</f>
        <v>0</v>
      </c>
      <c r="AE119" s="305">
        <f>'[1]Adubos e corretivos'!L22</f>
        <v>0</v>
      </c>
      <c r="AF119" s="305">
        <f>'[1]Adubos e corretivos'!M22</f>
        <v>0</v>
      </c>
      <c r="AG119" s="305">
        <f>'[1]Adubos e corretivos'!N22</f>
        <v>0</v>
      </c>
      <c r="AH119" s="305">
        <f>'[1]Adubos e corretivos'!O22</f>
        <v>0</v>
      </c>
      <c r="AI119" s="305">
        <f>'[1]Adubos e corretivos'!P22</f>
        <v>0</v>
      </c>
      <c r="AJ119" s="305">
        <f>'[1]Adubos e corretivos'!Q22</f>
        <v>0</v>
      </c>
      <c r="AK119" s="305">
        <f>'[1]Adubos e corretivos'!R22</f>
        <v>0</v>
      </c>
      <c r="AL119" s="305">
        <f>'[1]Adubos e corretivos'!S22</f>
        <v>0</v>
      </c>
      <c r="AM119" s="305">
        <f>'[1]Adubos e corretivos'!T22</f>
        <v>0</v>
      </c>
      <c r="AN119" s="305">
        <f>'[1]Adubos e corretivos'!U22</f>
        <v>0</v>
      </c>
      <c r="AO119" s="305">
        <f>'[1]Adubos e corretivos'!V22</f>
        <v>0</v>
      </c>
    </row>
    <row r="120" spans="2:41" ht="19.5" customHeight="1" x14ac:dyDescent="0.25">
      <c r="M120" s="539"/>
      <c r="N120" s="547"/>
      <c r="O120" s="448" t="s">
        <v>179</v>
      </c>
      <c r="P120" s="448"/>
      <c r="Q120" s="266">
        <f t="shared" si="17"/>
        <v>3.6785727068673189</v>
      </c>
      <c r="R120" s="216"/>
      <c r="U120" s="543"/>
      <c r="V120" s="305" t="str">
        <f>'[1]Adubos e corretivos'!C23</f>
        <v>Formulado 00-18-00</v>
      </c>
      <c r="W120" s="305">
        <f>'[1]Adubos e corretivos'!D23</f>
        <v>0</v>
      </c>
      <c r="X120" s="305">
        <f>'[1]Adubos e corretivos'!E23</f>
        <v>0</v>
      </c>
      <c r="Y120" s="305">
        <f>'[1]Adubos e corretivos'!F23</f>
        <v>7.87</v>
      </c>
      <c r="Z120" s="305">
        <f>'[1]Adubos e corretivos'!G23</f>
        <v>18</v>
      </c>
      <c r="AA120" s="305">
        <f>'[1]Adubos e corretivos'!H23</f>
        <v>0</v>
      </c>
      <c r="AB120" s="305">
        <f>'[1]Adubos e corretivos'!I23</f>
        <v>0</v>
      </c>
      <c r="AC120" s="305">
        <f>'[1]Adubos e corretivos'!J23</f>
        <v>0</v>
      </c>
      <c r="AD120" s="305">
        <f>'[1]Adubos e corretivos'!K23</f>
        <v>0</v>
      </c>
      <c r="AE120" s="305">
        <f>'[1]Adubos e corretivos'!L23</f>
        <v>0</v>
      </c>
      <c r="AF120" s="305">
        <f>'[1]Adubos e corretivos'!M23</f>
        <v>0</v>
      </c>
      <c r="AG120" s="305">
        <f>'[1]Adubos e corretivos'!N23</f>
        <v>0</v>
      </c>
      <c r="AH120" s="305">
        <f>'[1]Adubos e corretivos'!O23</f>
        <v>0</v>
      </c>
      <c r="AI120" s="305">
        <f>'[1]Adubos e corretivos'!P23</f>
        <v>0</v>
      </c>
      <c r="AJ120" s="305">
        <f>'[1]Adubos e corretivos'!Q23</f>
        <v>0</v>
      </c>
      <c r="AK120" s="305">
        <f>'[1]Adubos e corretivos'!R23</f>
        <v>0</v>
      </c>
      <c r="AL120" s="305">
        <f>'[1]Adubos e corretivos'!S23</f>
        <v>0</v>
      </c>
      <c r="AM120" s="305">
        <f>'[1]Adubos e corretivos'!T23</f>
        <v>0</v>
      </c>
      <c r="AN120" s="305">
        <f>'[1]Adubos e corretivos'!U23</f>
        <v>0</v>
      </c>
      <c r="AO120" s="305">
        <f>'[1]Adubos e corretivos'!V23</f>
        <v>0</v>
      </c>
    </row>
    <row r="121" spans="2:41" ht="19.5" customHeight="1" x14ac:dyDescent="0.25">
      <c r="M121" s="539"/>
      <c r="N121" s="547"/>
      <c r="O121" s="448" t="s">
        <v>220</v>
      </c>
      <c r="P121" s="448"/>
      <c r="Q121" s="266">
        <f t="shared" si="17"/>
        <v>0</v>
      </c>
      <c r="R121" s="216"/>
      <c r="U121" s="543"/>
      <c r="V121" s="305" t="str">
        <f>'[1]Adubos e corretivos'!C24</f>
        <v>Formulado 08-24-08</v>
      </c>
      <c r="W121" s="305">
        <f>'[1]Adubos e corretivos'!D24</f>
        <v>4.2</v>
      </c>
      <c r="X121" s="305">
        <f>'[1]Adubos e corretivos'!E24</f>
        <v>8</v>
      </c>
      <c r="Y121" s="305">
        <f>'[1]Adubos e corretivos'!F24</f>
        <v>10.5</v>
      </c>
      <c r="Z121" s="305">
        <f>'[1]Adubos e corretivos'!G24</f>
        <v>24</v>
      </c>
      <c r="AA121" s="305">
        <f>'[1]Adubos e corretivos'!H24</f>
        <v>6.65</v>
      </c>
      <c r="AB121" s="305">
        <f>'[1]Adubos e corretivos'!I24</f>
        <v>8</v>
      </c>
      <c r="AC121" s="305">
        <f>'[1]Adubos e corretivos'!J24</f>
        <v>0</v>
      </c>
      <c r="AD121" s="305">
        <f>'[1]Adubos e corretivos'!K24</f>
        <v>0</v>
      </c>
      <c r="AE121" s="305">
        <f>'[1]Adubos e corretivos'!L24</f>
        <v>0</v>
      </c>
      <c r="AF121" s="305">
        <f>'[1]Adubos e corretivos'!M24</f>
        <v>0</v>
      </c>
      <c r="AG121" s="305">
        <f>'[1]Adubos e corretivos'!N24</f>
        <v>0</v>
      </c>
      <c r="AH121" s="305">
        <f>'[1]Adubos e corretivos'!O24</f>
        <v>0</v>
      </c>
      <c r="AI121" s="305">
        <f>'[1]Adubos e corretivos'!P24</f>
        <v>0</v>
      </c>
      <c r="AJ121" s="305">
        <f>'[1]Adubos e corretivos'!Q24</f>
        <v>0</v>
      </c>
      <c r="AK121" s="305">
        <f>'[1]Adubos e corretivos'!R24</f>
        <v>0</v>
      </c>
      <c r="AL121" s="305">
        <f>'[1]Adubos e corretivos'!S24</f>
        <v>0</v>
      </c>
      <c r="AM121" s="305">
        <f>'[1]Adubos e corretivos'!T24</f>
        <v>0</v>
      </c>
      <c r="AN121" s="305">
        <f>'[1]Adubos e corretivos'!U24</f>
        <v>0</v>
      </c>
      <c r="AO121" s="305">
        <f>'[1]Adubos e corretivos'!V24</f>
        <v>0</v>
      </c>
    </row>
    <row r="122" spans="2:41" ht="19.5" customHeight="1" x14ac:dyDescent="0.25">
      <c r="M122" s="539"/>
      <c r="N122" s="547"/>
      <c r="O122" s="448" t="s">
        <v>221</v>
      </c>
      <c r="P122" s="448"/>
      <c r="Q122" s="266">
        <f t="shared" si="17"/>
        <v>35416.666628886451</v>
      </c>
      <c r="R122" s="216"/>
      <c r="U122" s="543"/>
      <c r="V122" s="305" t="str">
        <f>'[1]Adubos e corretivos'!C25</f>
        <v>Formulado 04-26-10</v>
      </c>
      <c r="W122" s="305">
        <f>'[1]Adubos e corretivos'!D25</f>
        <v>2.52</v>
      </c>
      <c r="X122" s="305">
        <f>'[1]Adubos e corretivos'!E25</f>
        <v>4</v>
      </c>
      <c r="Y122" s="305">
        <f>'[1]Adubos e corretivos'!F25</f>
        <v>11.35</v>
      </c>
      <c r="Z122" s="305">
        <f>'[1]Adubos e corretivos'!G25</f>
        <v>26</v>
      </c>
      <c r="AA122" s="305">
        <f>'[1]Adubos e corretivos'!H25</f>
        <v>8.3000000000000007</v>
      </c>
      <c r="AB122" s="305">
        <f>'[1]Adubos e corretivos'!I25</f>
        <v>10</v>
      </c>
      <c r="AC122" s="305">
        <f>'[1]Adubos e corretivos'!J25</f>
        <v>0</v>
      </c>
      <c r="AD122" s="305">
        <f>'[1]Adubos e corretivos'!K25</f>
        <v>0</v>
      </c>
      <c r="AE122" s="305">
        <f>'[1]Adubos e corretivos'!L25</f>
        <v>0</v>
      </c>
      <c r="AF122" s="305">
        <f>'[1]Adubos e corretivos'!M25</f>
        <v>0</v>
      </c>
      <c r="AG122" s="305">
        <f>'[1]Adubos e corretivos'!N25</f>
        <v>0</v>
      </c>
      <c r="AH122" s="305">
        <f>'[1]Adubos e corretivos'!O25</f>
        <v>0</v>
      </c>
      <c r="AI122" s="305">
        <f>'[1]Adubos e corretivos'!P25</f>
        <v>0</v>
      </c>
      <c r="AJ122" s="305">
        <f>'[1]Adubos e corretivos'!Q25</f>
        <v>0</v>
      </c>
      <c r="AK122" s="305">
        <f>'[1]Adubos e corretivos'!R25</f>
        <v>0</v>
      </c>
      <c r="AL122" s="305">
        <f>'[1]Adubos e corretivos'!S25</f>
        <v>0</v>
      </c>
      <c r="AM122" s="305">
        <f>'[1]Adubos e corretivos'!T25</f>
        <v>0</v>
      </c>
      <c r="AN122" s="305">
        <f>'[1]Adubos e corretivos'!U25</f>
        <v>0</v>
      </c>
      <c r="AO122" s="305">
        <f>'[1]Adubos e corretivos'!V25</f>
        <v>0</v>
      </c>
    </row>
    <row r="123" spans="2:41" ht="19.5" customHeight="1" x14ac:dyDescent="0.25">
      <c r="M123" s="539"/>
      <c r="N123" s="547"/>
      <c r="O123" s="448" t="s">
        <v>178</v>
      </c>
      <c r="P123" s="448"/>
      <c r="Q123" s="266">
        <f t="shared" si="17"/>
        <v>4547.0477514809891</v>
      </c>
      <c r="R123" s="216"/>
      <c r="U123" s="543"/>
      <c r="V123" s="305" t="str">
        <f>'[1]Adubos e corretivos'!C26</f>
        <v>Formulado 12-03-24</v>
      </c>
      <c r="W123" s="305">
        <f>'[1]Adubos e corretivos'!D26</f>
        <v>2.72</v>
      </c>
      <c r="X123" s="305">
        <f>'[1]Adubos e corretivos'!E26</f>
        <v>12</v>
      </c>
      <c r="Y123" s="305">
        <f>'[1]Adubos e corretivos'!F26</f>
        <v>1.31</v>
      </c>
      <c r="Z123" s="305">
        <f>'[1]Adubos e corretivos'!G26</f>
        <v>3</v>
      </c>
      <c r="AA123" s="305">
        <f>'[1]Adubos e corretivos'!H26</f>
        <v>20</v>
      </c>
      <c r="AB123" s="305">
        <f>'[1]Adubos e corretivos'!I26</f>
        <v>24</v>
      </c>
      <c r="AC123" s="305">
        <f>'[1]Adubos e corretivos'!J26</f>
        <v>0</v>
      </c>
      <c r="AD123" s="305">
        <f>'[1]Adubos e corretivos'!K26</f>
        <v>0</v>
      </c>
      <c r="AE123" s="305">
        <f>'[1]Adubos e corretivos'!L26</f>
        <v>0</v>
      </c>
      <c r="AF123" s="305">
        <f>'[1]Adubos e corretivos'!M26</f>
        <v>0</v>
      </c>
      <c r="AG123" s="305">
        <f>'[1]Adubos e corretivos'!N26</f>
        <v>0</v>
      </c>
      <c r="AH123" s="305">
        <f>'[1]Adubos e corretivos'!O26</f>
        <v>0</v>
      </c>
      <c r="AI123" s="305">
        <f>'[1]Adubos e corretivos'!P26</f>
        <v>0</v>
      </c>
      <c r="AJ123" s="305">
        <f>'[1]Adubos e corretivos'!Q26</f>
        <v>0</v>
      </c>
      <c r="AK123" s="305">
        <f>'[1]Adubos e corretivos'!R26</f>
        <v>0</v>
      </c>
      <c r="AL123" s="305">
        <f>'[1]Adubos e corretivos'!S26</f>
        <v>0</v>
      </c>
      <c r="AM123" s="305">
        <f>'[1]Adubos e corretivos'!T26</f>
        <v>0</v>
      </c>
      <c r="AN123" s="305">
        <f>'[1]Adubos e corretivos'!U26</f>
        <v>0</v>
      </c>
      <c r="AO123" s="305">
        <f>'[1]Adubos e corretivos'!V26</f>
        <v>0</v>
      </c>
    </row>
    <row r="124" spans="2:41" ht="19.5" customHeight="1" x14ac:dyDescent="0.25">
      <c r="M124" s="539"/>
      <c r="N124" s="547"/>
      <c r="O124" s="448" t="s">
        <v>180</v>
      </c>
      <c r="P124" s="448"/>
      <c r="Q124" s="266">
        <f t="shared" si="17"/>
        <v>5108.9959152090014</v>
      </c>
      <c r="R124" s="216"/>
      <c r="U124" s="543"/>
      <c r="V124" s="305" t="str">
        <f>'[1]Adubos e corretivos'!C27</f>
        <v>Formulado 13-3-25</v>
      </c>
      <c r="W124" s="305">
        <f>'[1]Adubos e corretivos'!D27</f>
        <v>2.2799999999999998</v>
      </c>
      <c r="X124" s="305">
        <f>'[1]Adubos e corretivos'!E27</f>
        <v>13</v>
      </c>
      <c r="Y124" s="305">
        <f>'[1]Adubos e corretivos'!F27</f>
        <v>1.31</v>
      </c>
      <c r="Z124" s="305">
        <f>'[1]Adubos e corretivos'!G27</f>
        <v>3</v>
      </c>
      <c r="AA124" s="305">
        <f>'[1]Adubos e corretivos'!H27</f>
        <v>20.8</v>
      </c>
      <c r="AB124" s="305">
        <f>'[1]Adubos e corretivos'!I27</f>
        <v>25</v>
      </c>
      <c r="AC124" s="305">
        <f>'[1]Adubos e corretivos'!J27</f>
        <v>0</v>
      </c>
      <c r="AD124" s="305">
        <f>'[1]Adubos e corretivos'!K27</f>
        <v>0</v>
      </c>
      <c r="AE124" s="305">
        <f>'[1]Adubos e corretivos'!L27</f>
        <v>0</v>
      </c>
      <c r="AF124" s="305">
        <f>'[1]Adubos e corretivos'!M27</f>
        <v>0</v>
      </c>
      <c r="AG124" s="305">
        <f>'[1]Adubos e corretivos'!N27</f>
        <v>0</v>
      </c>
      <c r="AH124" s="305">
        <f>'[1]Adubos e corretivos'!O27</f>
        <v>0</v>
      </c>
      <c r="AI124" s="305">
        <f>'[1]Adubos e corretivos'!P27</f>
        <v>0</v>
      </c>
      <c r="AJ124" s="305">
        <f>'[1]Adubos e corretivos'!Q27</f>
        <v>0</v>
      </c>
      <c r="AK124" s="305">
        <f>'[1]Adubos e corretivos'!R27</f>
        <v>0</v>
      </c>
      <c r="AL124" s="305">
        <f>'[1]Adubos e corretivos'!S27</f>
        <v>0</v>
      </c>
      <c r="AM124" s="305">
        <f>'[1]Adubos e corretivos'!T27</f>
        <v>0</v>
      </c>
      <c r="AN124" s="305">
        <f>'[1]Adubos e corretivos'!U27</f>
        <v>0</v>
      </c>
      <c r="AO124" s="305">
        <f>'[1]Adubos e corretivos'!V27</f>
        <v>0</v>
      </c>
    </row>
    <row r="125" spans="2:41" ht="19.5" customHeight="1" x14ac:dyDescent="0.25">
      <c r="M125" s="539"/>
      <c r="N125" s="547"/>
      <c r="O125" s="448" t="s">
        <v>173</v>
      </c>
      <c r="P125" s="448"/>
      <c r="Q125" s="266">
        <f t="shared" si="17"/>
        <v>0</v>
      </c>
      <c r="R125" s="216"/>
      <c r="U125" s="543"/>
      <c r="V125" s="305" t="str">
        <f>'[1]Adubos e corretivos'!C28</f>
        <v>Formulado 10-10-10</v>
      </c>
      <c r="W125" s="305">
        <f>'[1]Adubos e corretivos'!D28</f>
        <v>2</v>
      </c>
      <c r="X125" s="305">
        <f>'[1]Adubos e corretivos'!E28</f>
        <v>10</v>
      </c>
      <c r="Y125" s="305">
        <f>'[1]Adubos e corretivos'!F28</f>
        <v>4.4000000000000004</v>
      </c>
      <c r="Z125" s="305">
        <f>'[1]Adubos e corretivos'!G28</f>
        <v>10</v>
      </c>
      <c r="AA125" s="305">
        <f>'[1]Adubos e corretivos'!H28</f>
        <v>8.3000000000000007</v>
      </c>
      <c r="AB125" s="305">
        <f>'[1]Adubos e corretivos'!I28</f>
        <v>10</v>
      </c>
      <c r="AC125" s="305">
        <f>'[1]Adubos e corretivos'!J28</f>
        <v>0</v>
      </c>
      <c r="AD125" s="305">
        <f>'[1]Adubos e corretivos'!K28</f>
        <v>0</v>
      </c>
      <c r="AE125" s="305">
        <f>'[1]Adubos e corretivos'!L28</f>
        <v>0</v>
      </c>
      <c r="AF125" s="305">
        <f>'[1]Adubos e corretivos'!M28</f>
        <v>0</v>
      </c>
      <c r="AG125" s="305">
        <f>'[1]Adubos e corretivos'!N28</f>
        <v>0</v>
      </c>
      <c r="AH125" s="305">
        <f>'[1]Adubos e corretivos'!O28</f>
        <v>0</v>
      </c>
      <c r="AI125" s="305">
        <f>'[1]Adubos e corretivos'!P28</f>
        <v>0</v>
      </c>
      <c r="AJ125" s="305">
        <f>'[1]Adubos e corretivos'!Q28</f>
        <v>0</v>
      </c>
      <c r="AK125" s="305">
        <f>'[1]Adubos e corretivos'!R28</f>
        <v>0</v>
      </c>
      <c r="AL125" s="305">
        <f>'[1]Adubos e corretivos'!S28</f>
        <v>0</v>
      </c>
      <c r="AM125" s="305">
        <f>'[1]Adubos e corretivos'!T28</f>
        <v>0</v>
      </c>
      <c r="AN125" s="305">
        <f>'[1]Adubos e corretivos'!U28</f>
        <v>0</v>
      </c>
      <c r="AO125" s="305">
        <f>'[1]Adubos e corretivos'!V28</f>
        <v>0</v>
      </c>
    </row>
    <row r="126" spans="2:41" ht="19.5" customHeight="1" x14ac:dyDescent="0.25">
      <c r="M126" s="539"/>
      <c r="N126" s="547"/>
      <c r="O126" s="448" t="s">
        <v>175</v>
      </c>
      <c r="P126" s="448"/>
      <c r="Q126" s="266">
        <f t="shared" si="17"/>
        <v>-7.1054273576010019E-15</v>
      </c>
      <c r="R126" s="216"/>
      <c r="U126" s="543"/>
      <c r="V126" s="305" t="str">
        <f>'[1]Adubos e corretivos'!C29</f>
        <v>Formulado 20-00-20</v>
      </c>
      <c r="W126" s="305">
        <f>'[1]Adubos e corretivos'!D29</f>
        <v>2.2799999999999998</v>
      </c>
      <c r="X126" s="305">
        <f>'[1]Adubos e corretivos'!E29</f>
        <v>20</v>
      </c>
      <c r="Y126" s="305">
        <f>'[1]Adubos e corretivos'!F29</f>
        <v>0</v>
      </c>
      <c r="Z126" s="305">
        <f>'[1]Adubos e corretivos'!G29</f>
        <v>0</v>
      </c>
      <c r="AA126" s="305">
        <f>'[1]Adubos e corretivos'!H29</f>
        <v>16.600000000000001</v>
      </c>
      <c r="AB126" s="305">
        <f>'[1]Adubos e corretivos'!I29</f>
        <v>20</v>
      </c>
      <c r="AC126" s="305">
        <f>'[1]Adubos e corretivos'!J29</f>
        <v>0</v>
      </c>
      <c r="AD126" s="305">
        <f>'[1]Adubos e corretivos'!K29</f>
        <v>0</v>
      </c>
      <c r="AE126" s="305">
        <f>'[1]Adubos e corretivos'!L29</f>
        <v>0</v>
      </c>
      <c r="AF126" s="305">
        <f>'[1]Adubos e corretivos'!M29</f>
        <v>0</v>
      </c>
      <c r="AG126" s="305">
        <f>'[1]Adubos e corretivos'!N29</f>
        <v>0</v>
      </c>
      <c r="AH126" s="305">
        <f>'[1]Adubos e corretivos'!O29</f>
        <v>0</v>
      </c>
      <c r="AI126" s="305">
        <f>'[1]Adubos e corretivos'!P29</f>
        <v>0</v>
      </c>
      <c r="AJ126" s="305">
        <f>'[1]Adubos e corretivos'!Q29</f>
        <v>0</v>
      </c>
      <c r="AK126" s="305">
        <f>'[1]Adubos e corretivos'!R29</f>
        <v>0</v>
      </c>
      <c r="AL126" s="305">
        <f>'[1]Adubos e corretivos'!S29</f>
        <v>0</v>
      </c>
      <c r="AM126" s="305">
        <f>'[1]Adubos e corretivos'!T29</f>
        <v>0</v>
      </c>
      <c r="AN126" s="305">
        <f>'[1]Adubos e corretivos'!U29</f>
        <v>0</v>
      </c>
      <c r="AO126" s="305">
        <f>'[1]Adubos e corretivos'!V29</f>
        <v>0</v>
      </c>
    </row>
    <row r="127" spans="2:41" ht="19.5" customHeight="1" x14ac:dyDescent="0.25">
      <c r="M127" s="539"/>
      <c r="N127" s="547"/>
      <c r="O127" s="448" t="s">
        <v>176</v>
      </c>
      <c r="P127" s="448"/>
      <c r="Q127" s="266">
        <f t="shared" si="17"/>
        <v>0</v>
      </c>
      <c r="R127" s="216"/>
      <c r="U127" s="543"/>
      <c r="V127" s="305" t="str">
        <f>'[1]Adubos e corretivos'!C30</f>
        <v>Formulado 07-00-30 + 12% Calcio</v>
      </c>
      <c r="W127" s="305">
        <f>'[1]Adubos e corretivos'!D30</f>
        <v>3.36</v>
      </c>
      <c r="X127" s="305">
        <f>'[1]Adubos e corretivos'!E30</f>
        <v>7</v>
      </c>
      <c r="Y127" s="305">
        <f>'[1]Adubos e corretivos'!F30</f>
        <v>0</v>
      </c>
      <c r="Z127" s="305">
        <f>'[1]Adubos e corretivos'!G30</f>
        <v>0</v>
      </c>
      <c r="AA127" s="305">
        <f>'[1]Adubos e corretivos'!H30</f>
        <v>24.89</v>
      </c>
      <c r="AB127" s="305">
        <f>'[1]Adubos e corretivos'!I30</f>
        <v>30</v>
      </c>
      <c r="AC127" s="305">
        <f>'[1]Adubos e corretivos'!J30</f>
        <v>12</v>
      </c>
      <c r="AD127" s="305">
        <f>'[1]Adubos e corretivos'!K30</f>
        <v>0</v>
      </c>
      <c r="AE127" s="305">
        <f>'[1]Adubos e corretivos'!L30</f>
        <v>0</v>
      </c>
      <c r="AF127" s="305">
        <f>'[1]Adubos e corretivos'!M30</f>
        <v>0</v>
      </c>
      <c r="AG127" s="305">
        <f>'[1]Adubos e corretivos'!N30</f>
        <v>0</v>
      </c>
      <c r="AH127" s="305">
        <f>'[1]Adubos e corretivos'!O30</f>
        <v>0</v>
      </c>
      <c r="AI127" s="305">
        <f>'[1]Adubos e corretivos'!P30</f>
        <v>0</v>
      </c>
      <c r="AJ127" s="305">
        <f>'[1]Adubos e corretivos'!Q30</f>
        <v>0</v>
      </c>
      <c r="AK127" s="305">
        <f>'[1]Adubos e corretivos'!R30</f>
        <v>0</v>
      </c>
      <c r="AL127" s="305">
        <f>'[1]Adubos e corretivos'!S30</f>
        <v>0</v>
      </c>
      <c r="AM127" s="305">
        <f>'[1]Adubos e corretivos'!T30</f>
        <v>0</v>
      </c>
      <c r="AN127" s="305">
        <f>'[1]Adubos e corretivos'!U30</f>
        <v>0</v>
      </c>
      <c r="AO127" s="305">
        <f>'[1]Adubos e corretivos'!V30</f>
        <v>0</v>
      </c>
    </row>
    <row r="128" spans="2:41" ht="19.5" customHeight="1" x14ac:dyDescent="0.25">
      <c r="M128" s="539"/>
      <c r="N128" s="547"/>
      <c r="O128" s="448" t="s">
        <v>181</v>
      </c>
      <c r="P128" s="448"/>
      <c r="Q128" s="266">
        <f t="shared" si="17"/>
        <v>1.1368683772161603E-13</v>
      </c>
      <c r="R128" s="216"/>
      <c r="U128" s="543"/>
      <c r="V128" s="305">
        <f>'[1]Adubos e corretivos'!C31</f>
        <v>0</v>
      </c>
      <c r="W128" s="305">
        <f>'[1]Adubos e corretivos'!D31</f>
        <v>0</v>
      </c>
      <c r="X128" s="305">
        <f>'[1]Adubos e corretivos'!E31</f>
        <v>0</v>
      </c>
      <c r="Y128" s="305">
        <f>'[1]Adubos e corretivos'!F31</f>
        <v>0</v>
      </c>
      <c r="Z128" s="305">
        <f>'[1]Adubos e corretivos'!G31</f>
        <v>0</v>
      </c>
      <c r="AA128" s="305">
        <f>'[1]Adubos e corretivos'!H31</f>
        <v>0</v>
      </c>
      <c r="AB128" s="305">
        <f>'[1]Adubos e corretivos'!I31</f>
        <v>0</v>
      </c>
      <c r="AC128" s="305">
        <f>'[1]Adubos e corretivos'!J31</f>
        <v>0</v>
      </c>
      <c r="AD128" s="305">
        <f>'[1]Adubos e corretivos'!K31</f>
        <v>0</v>
      </c>
      <c r="AE128" s="305">
        <f>'[1]Adubos e corretivos'!L31</f>
        <v>0</v>
      </c>
      <c r="AF128" s="305">
        <f>'[1]Adubos e corretivos'!M31</f>
        <v>0</v>
      </c>
      <c r="AG128" s="305">
        <f>'[1]Adubos e corretivos'!N31</f>
        <v>0</v>
      </c>
      <c r="AH128" s="305">
        <f>'[1]Adubos e corretivos'!O31</f>
        <v>0</v>
      </c>
      <c r="AI128" s="305">
        <f>'[1]Adubos e corretivos'!P31</f>
        <v>0</v>
      </c>
      <c r="AJ128" s="305">
        <f>'[1]Adubos e corretivos'!Q31</f>
        <v>0</v>
      </c>
      <c r="AK128" s="305">
        <f>'[1]Adubos e corretivos'!R31</f>
        <v>0</v>
      </c>
      <c r="AL128" s="305">
        <f>'[1]Adubos e corretivos'!S31</f>
        <v>0</v>
      </c>
      <c r="AM128" s="305">
        <f>'[1]Adubos e corretivos'!T31</f>
        <v>0</v>
      </c>
      <c r="AN128" s="305">
        <f>'[1]Adubos e corretivos'!U31</f>
        <v>0</v>
      </c>
      <c r="AO128" s="305">
        <f>'[1]Adubos e corretivos'!V31</f>
        <v>0</v>
      </c>
    </row>
    <row r="129" spans="13:41" ht="19.5" customHeight="1" x14ac:dyDescent="0.25">
      <c r="M129" s="539"/>
      <c r="N129" s="547"/>
      <c r="O129" s="448" t="s">
        <v>620</v>
      </c>
      <c r="P129" s="448"/>
      <c r="Q129" s="266">
        <f t="shared" si="17"/>
        <v>0</v>
      </c>
      <c r="R129" s="216"/>
      <c r="U129" s="543"/>
      <c r="V129" s="305">
        <f>'[1]Adubos e corretivos'!C32</f>
        <v>0</v>
      </c>
      <c r="W129" s="305">
        <f>'[1]Adubos e corretivos'!D32</f>
        <v>0</v>
      </c>
      <c r="X129" s="305">
        <f>'[1]Adubos e corretivos'!E32</f>
        <v>0</v>
      </c>
      <c r="Y129" s="305">
        <f>'[1]Adubos e corretivos'!F32</f>
        <v>0</v>
      </c>
      <c r="Z129" s="305">
        <f>'[1]Adubos e corretivos'!G32</f>
        <v>0</v>
      </c>
      <c r="AA129" s="305">
        <f>'[1]Adubos e corretivos'!H32</f>
        <v>0</v>
      </c>
      <c r="AB129" s="305">
        <f>'[1]Adubos e corretivos'!I32</f>
        <v>0</v>
      </c>
      <c r="AC129" s="305">
        <f>'[1]Adubos e corretivos'!J32</f>
        <v>0</v>
      </c>
      <c r="AD129" s="305">
        <f>'[1]Adubos e corretivos'!K32</f>
        <v>0</v>
      </c>
      <c r="AE129" s="305">
        <f>'[1]Adubos e corretivos'!L32</f>
        <v>0</v>
      </c>
      <c r="AF129" s="305">
        <f>'[1]Adubos e corretivos'!M32</f>
        <v>0</v>
      </c>
      <c r="AG129" s="305">
        <f>'[1]Adubos e corretivos'!N32</f>
        <v>0</v>
      </c>
      <c r="AH129" s="305">
        <f>'[1]Adubos e corretivos'!O32</f>
        <v>0</v>
      </c>
      <c r="AI129" s="305">
        <f>'[1]Adubos e corretivos'!P32</f>
        <v>0</v>
      </c>
      <c r="AJ129" s="305">
        <f>'[1]Adubos e corretivos'!Q32</f>
        <v>0</v>
      </c>
      <c r="AK129" s="305">
        <f>'[1]Adubos e corretivos'!R32</f>
        <v>0</v>
      </c>
      <c r="AL129" s="305">
        <f>'[1]Adubos e corretivos'!S32</f>
        <v>0</v>
      </c>
      <c r="AM129" s="305">
        <f>'[1]Adubos e corretivos'!T32</f>
        <v>0</v>
      </c>
      <c r="AN129" s="305">
        <f>'[1]Adubos e corretivos'!U32</f>
        <v>0</v>
      </c>
      <c r="AO129" s="305">
        <f>'[1]Adubos e corretivos'!V32</f>
        <v>0</v>
      </c>
    </row>
    <row r="130" spans="13:41" ht="19.5" customHeight="1" x14ac:dyDescent="0.25">
      <c r="M130" s="539"/>
      <c r="N130" s="547"/>
      <c r="O130" s="448" t="s">
        <v>229</v>
      </c>
      <c r="P130" s="448"/>
      <c r="Q130" s="266">
        <f t="shared" si="17"/>
        <v>0</v>
      </c>
      <c r="R130" s="216"/>
      <c r="U130" s="543"/>
      <c r="V130" s="305">
        <f>'[1]Adubos e corretivos'!C33</f>
        <v>0</v>
      </c>
      <c r="W130" s="305">
        <f>'[1]Adubos e corretivos'!D33</f>
        <v>0</v>
      </c>
      <c r="X130" s="305">
        <f>'[1]Adubos e corretivos'!E33</f>
        <v>0</v>
      </c>
      <c r="Y130" s="305">
        <f>'[1]Adubos e corretivos'!F33</f>
        <v>0</v>
      </c>
      <c r="Z130" s="305">
        <f>'[1]Adubos e corretivos'!G33</f>
        <v>0</v>
      </c>
      <c r="AA130" s="305">
        <f>'[1]Adubos e corretivos'!H33</f>
        <v>0</v>
      </c>
      <c r="AB130" s="305">
        <f>'[1]Adubos e corretivos'!I33</f>
        <v>0</v>
      </c>
      <c r="AC130" s="305">
        <f>'[1]Adubos e corretivos'!J33</f>
        <v>0</v>
      </c>
      <c r="AD130" s="305">
        <f>'[1]Adubos e corretivos'!K33</f>
        <v>0</v>
      </c>
      <c r="AE130" s="305">
        <f>'[1]Adubos e corretivos'!L33</f>
        <v>0</v>
      </c>
      <c r="AF130" s="305">
        <f>'[1]Adubos e corretivos'!M33</f>
        <v>0</v>
      </c>
      <c r="AG130" s="305">
        <f>'[1]Adubos e corretivos'!N33</f>
        <v>0</v>
      </c>
      <c r="AH130" s="305">
        <f>'[1]Adubos e corretivos'!O33</f>
        <v>0</v>
      </c>
      <c r="AI130" s="305">
        <f>'[1]Adubos e corretivos'!P33</f>
        <v>0</v>
      </c>
      <c r="AJ130" s="305">
        <f>'[1]Adubos e corretivos'!Q33</f>
        <v>0</v>
      </c>
      <c r="AK130" s="305">
        <f>'[1]Adubos e corretivos'!R33</f>
        <v>0</v>
      </c>
      <c r="AL130" s="305">
        <f>'[1]Adubos e corretivos'!S33</f>
        <v>0</v>
      </c>
      <c r="AM130" s="305">
        <f>'[1]Adubos e corretivos'!T33</f>
        <v>0</v>
      </c>
      <c r="AN130" s="305">
        <f>'[1]Adubos e corretivos'!U33</f>
        <v>0</v>
      </c>
      <c r="AO130" s="305">
        <f>'[1]Adubos e corretivos'!V33</f>
        <v>0</v>
      </c>
    </row>
    <row r="131" spans="13:41" ht="19.5" customHeight="1" x14ac:dyDescent="0.25">
      <c r="M131" s="539"/>
      <c r="N131" s="547"/>
      <c r="O131" s="448" t="s">
        <v>161</v>
      </c>
      <c r="P131" s="448"/>
      <c r="Q131" s="266">
        <f t="shared" si="17"/>
        <v>963.62433740756171</v>
      </c>
      <c r="R131" s="216"/>
      <c r="U131" s="536" t="s">
        <v>280</v>
      </c>
      <c r="V131" s="305" t="str">
        <f>'[1]Adubos e corretivos'!C34</f>
        <v>Esterco de galinha</v>
      </c>
      <c r="W131" s="305">
        <f>'[1]Adubos e corretivos'!D34</f>
        <v>0.25</v>
      </c>
      <c r="X131" s="305">
        <f>'[1]Adubos e corretivos'!E34</f>
        <v>3</v>
      </c>
      <c r="Y131" s="305">
        <f>'[1]Adubos e corretivos'!F34</f>
        <v>1.31</v>
      </c>
      <c r="Z131" s="305">
        <f>'[1]Adubos e corretivos'!G34</f>
        <v>3</v>
      </c>
      <c r="AA131" s="305">
        <f>'[1]Adubos e corretivos'!H34</f>
        <v>1.665</v>
      </c>
      <c r="AB131" s="305">
        <f>'[1]Adubos e corretivos'!I34</f>
        <v>2</v>
      </c>
      <c r="AC131" s="305">
        <f>'[1]Adubos e corretivos'!J34</f>
        <v>0</v>
      </c>
      <c r="AD131" s="305">
        <f>'[1]Adubos e corretivos'!K34</f>
        <v>0</v>
      </c>
      <c r="AE131" s="305">
        <f>'[1]Adubos e corretivos'!L34</f>
        <v>0</v>
      </c>
      <c r="AF131" s="305">
        <f>'[1]Adubos e corretivos'!M34</f>
        <v>0</v>
      </c>
      <c r="AG131" s="305">
        <f>'[1]Adubos e corretivos'!N34</f>
        <v>0</v>
      </c>
      <c r="AH131" s="305">
        <f>'[1]Adubos e corretivos'!O34</f>
        <v>0</v>
      </c>
      <c r="AI131" s="305">
        <f>'[1]Adubos e corretivos'!P34</f>
        <v>0</v>
      </c>
      <c r="AJ131" s="305">
        <f>'[1]Adubos e corretivos'!Q34</f>
        <v>0</v>
      </c>
      <c r="AK131" s="305">
        <f>'[1]Adubos e corretivos'!R34</f>
        <v>0</v>
      </c>
      <c r="AL131" s="305">
        <f>'[1]Adubos e corretivos'!S34</f>
        <v>0</v>
      </c>
      <c r="AM131" s="305">
        <f>'[1]Adubos e corretivos'!T34</f>
        <v>0</v>
      </c>
      <c r="AN131" s="305">
        <f>'[1]Adubos e corretivos'!U34</f>
        <v>0</v>
      </c>
      <c r="AO131" s="305">
        <f>'[1]Adubos e corretivos'!V34</f>
        <v>0</v>
      </c>
    </row>
    <row r="132" spans="13:41" ht="19.5" customHeight="1" x14ac:dyDescent="0.25">
      <c r="M132" s="539"/>
      <c r="N132" s="547"/>
      <c r="O132" s="448" t="s">
        <v>621</v>
      </c>
      <c r="P132" s="448"/>
      <c r="Q132" s="266">
        <f t="shared" si="17"/>
        <v>0</v>
      </c>
      <c r="R132" s="216"/>
      <c r="U132" s="536"/>
      <c r="V132" s="305" t="str">
        <f>'[1]Adubos e corretivos'!C35</f>
        <v>Esterco de gado</v>
      </c>
      <c r="W132" s="305">
        <f>'[1]Adubos e corretivos'!D35</f>
        <v>0.25</v>
      </c>
      <c r="X132" s="305">
        <f>'[1]Adubos e corretivos'!E35</f>
        <v>1</v>
      </c>
      <c r="Y132" s="305">
        <f>'[1]Adubos e corretivos'!F35</f>
        <v>0.4366666666666667</v>
      </c>
      <c r="Z132" s="305">
        <f>'[1]Adubos e corretivos'!G35</f>
        <v>1</v>
      </c>
      <c r="AA132" s="305">
        <f>'[1]Adubos e corretivos'!H35</f>
        <v>0.55500000000000005</v>
      </c>
      <c r="AB132" s="305">
        <f>'[1]Adubos e corretivos'!I35</f>
        <v>0.7</v>
      </c>
      <c r="AC132" s="305">
        <f>'[1]Adubos e corretivos'!J35</f>
        <v>0</v>
      </c>
      <c r="AD132" s="305">
        <f>'[1]Adubos e corretivos'!K35</f>
        <v>0</v>
      </c>
      <c r="AE132" s="305">
        <f>'[1]Adubos e corretivos'!L35</f>
        <v>0</v>
      </c>
      <c r="AF132" s="305">
        <f>'[1]Adubos e corretivos'!M35</f>
        <v>0</v>
      </c>
      <c r="AG132" s="305">
        <f>'[1]Adubos e corretivos'!N35</f>
        <v>0</v>
      </c>
      <c r="AH132" s="305">
        <f>'[1]Adubos e corretivos'!O35</f>
        <v>0</v>
      </c>
      <c r="AI132" s="305">
        <f>'[1]Adubos e corretivos'!P35</f>
        <v>0</v>
      </c>
      <c r="AJ132" s="305">
        <f>'[1]Adubos e corretivos'!Q35</f>
        <v>0</v>
      </c>
      <c r="AK132" s="305">
        <f>'[1]Adubos e corretivos'!R35</f>
        <v>0</v>
      </c>
      <c r="AL132" s="305">
        <f>'[1]Adubos e corretivos'!S35</f>
        <v>0</v>
      </c>
      <c r="AM132" s="305">
        <f>'[1]Adubos e corretivos'!T35</f>
        <v>0</v>
      </c>
      <c r="AN132" s="305">
        <f>'[1]Adubos e corretivos'!U35</f>
        <v>0</v>
      </c>
      <c r="AO132" s="305">
        <f>'[1]Adubos e corretivos'!V35</f>
        <v>0</v>
      </c>
    </row>
    <row r="133" spans="13:41" ht="19.5" customHeight="1" x14ac:dyDescent="0.25">
      <c r="M133" s="539"/>
      <c r="N133" s="547"/>
      <c r="O133" s="448" t="s">
        <v>612</v>
      </c>
      <c r="P133" s="448"/>
      <c r="Q133" s="266">
        <f t="shared" si="17"/>
        <v>0</v>
      </c>
      <c r="R133" s="216"/>
      <c r="U133" s="536"/>
      <c r="V133" s="305" t="str">
        <f>'[1]Adubos e corretivos'!C36</f>
        <v>Minhofertil</v>
      </c>
      <c r="W133" s="305">
        <f>'[1]Adubos e corretivos'!D36</f>
        <v>0</v>
      </c>
      <c r="X133" s="305">
        <f>'[1]Adubos e corretivos'!E36</f>
        <v>1</v>
      </c>
      <c r="Y133" s="305">
        <f>'[1]Adubos e corretivos'!F36</f>
        <v>0</v>
      </c>
      <c r="Z133" s="305">
        <f>'[1]Adubos e corretivos'!G36</f>
        <v>0</v>
      </c>
      <c r="AA133" s="305">
        <f>'[1]Adubos e corretivos'!H36</f>
        <v>0</v>
      </c>
      <c r="AB133" s="305">
        <f>'[1]Adubos e corretivos'!I36</f>
        <v>0</v>
      </c>
      <c r="AC133" s="305">
        <f>'[1]Adubos e corretivos'!J36</f>
        <v>0</v>
      </c>
      <c r="AD133" s="305">
        <f>'[1]Adubos e corretivos'!K36</f>
        <v>0</v>
      </c>
      <c r="AE133" s="305">
        <f>'[1]Adubos e corretivos'!L36</f>
        <v>0</v>
      </c>
      <c r="AF133" s="305">
        <f>'[1]Adubos e corretivos'!M36</f>
        <v>0</v>
      </c>
      <c r="AG133" s="305">
        <f>'[1]Adubos e corretivos'!N36</f>
        <v>0</v>
      </c>
      <c r="AH133" s="305">
        <f>'[1]Adubos e corretivos'!O36</f>
        <v>0</v>
      </c>
      <c r="AI133" s="305">
        <f>'[1]Adubos e corretivos'!P36</f>
        <v>0</v>
      </c>
      <c r="AJ133" s="305">
        <f>'[1]Adubos e corretivos'!Q36</f>
        <v>0</v>
      </c>
      <c r="AK133" s="305">
        <f>'[1]Adubos e corretivos'!R36</f>
        <v>0</v>
      </c>
      <c r="AL133" s="305">
        <f>'[1]Adubos e corretivos'!S36</f>
        <v>0</v>
      </c>
      <c r="AM133" s="305">
        <f>'[1]Adubos e corretivos'!T36</f>
        <v>0</v>
      </c>
      <c r="AN133" s="305">
        <f>'[1]Adubos e corretivos'!U36</f>
        <v>0</v>
      </c>
      <c r="AO133" s="305">
        <f>'[1]Adubos e corretivos'!V36</f>
        <v>0</v>
      </c>
    </row>
    <row r="134" spans="13:41" ht="19.5" customHeight="1" x14ac:dyDescent="0.25">
      <c r="M134" s="539"/>
      <c r="N134" s="547"/>
      <c r="O134" s="448"/>
      <c r="P134" s="448"/>
      <c r="Q134" s="266">
        <f t="shared" si="17"/>
        <v>0</v>
      </c>
      <c r="R134" s="216"/>
      <c r="U134" s="536"/>
      <c r="V134" s="305" t="str">
        <f>'[1]Adubos e corretivos'!C37</f>
        <v>Torta de mamona Super thorg</v>
      </c>
      <c r="W134" s="305">
        <f>'[1]Adubos e corretivos'!D37</f>
        <v>0</v>
      </c>
      <c r="X134" s="305">
        <f>'[1]Adubos e corretivos'!E37</f>
        <v>9.1</v>
      </c>
      <c r="Y134" s="305">
        <f>'[1]Adubos e corretivos'!F37</f>
        <v>0</v>
      </c>
      <c r="Z134" s="305">
        <f>'[1]Adubos e corretivos'!G37</f>
        <v>0</v>
      </c>
      <c r="AA134" s="305">
        <f>'[1]Adubos e corretivos'!H37</f>
        <v>0</v>
      </c>
      <c r="AB134" s="305">
        <f>'[1]Adubos e corretivos'!I37</f>
        <v>0</v>
      </c>
      <c r="AC134" s="305">
        <f>'[1]Adubos e corretivos'!J37</f>
        <v>0</v>
      </c>
      <c r="AD134" s="305">
        <f>'[1]Adubos e corretivos'!K37</f>
        <v>0</v>
      </c>
      <c r="AE134" s="305">
        <f>'[1]Adubos e corretivos'!L37</f>
        <v>0</v>
      </c>
      <c r="AF134" s="305">
        <f>'[1]Adubos e corretivos'!M37</f>
        <v>0</v>
      </c>
      <c r="AG134" s="305">
        <f>'[1]Adubos e corretivos'!N37</f>
        <v>0</v>
      </c>
      <c r="AH134" s="305">
        <f>'[1]Adubos e corretivos'!O37</f>
        <v>0</v>
      </c>
      <c r="AI134" s="305">
        <f>'[1]Adubos e corretivos'!P37</f>
        <v>0</v>
      </c>
      <c r="AJ134" s="305">
        <f>'[1]Adubos e corretivos'!Q37</f>
        <v>0</v>
      </c>
      <c r="AK134" s="305">
        <f>'[1]Adubos e corretivos'!R37</f>
        <v>0</v>
      </c>
      <c r="AL134" s="305">
        <f>'[1]Adubos e corretivos'!S37</f>
        <v>0</v>
      </c>
      <c r="AM134" s="305">
        <f>'[1]Adubos e corretivos'!T37</f>
        <v>0</v>
      </c>
      <c r="AN134" s="305">
        <f>'[1]Adubos e corretivos'!U37</f>
        <v>0</v>
      </c>
      <c r="AO134" s="305">
        <f>'[1]Adubos e corretivos'!V37</f>
        <v>0</v>
      </c>
    </row>
    <row r="135" spans="13:41" ht="19.5" customHeight="1" x14ac:dyDescent="0.25">
      <c r="M135" s="539"/>
      <c r="N135" s="547"/>
      <c r="O135" s="448"/>
      <c r="P135" s="448"/>
      <c r="Q135" s="266">
        <f t="shared" si="17"/>
        <v>0</v>
      </c>
      <c r="R135" s="216"/>
      <c r="U135" s="536"/>
      <c r="V135" s="305" t="str">
        <f>'[1]Adubos e corretivos'!C38</f>
        <v>Torta de mamona Nutrisafra</v>
      </c>
      <c r="W135" s="305">
        <f>'[1]Adubos e corretivos'!D38</f>
        <v>0</v>
      </c>
      <c r="X135" s="305">
        <f>'[1]Adubos e corretivos'!E38</f>
        <v>5</v>
      </c>
      <c r="Y135" s="305">
        <f>'[1]Adubos e corretivos'!F38</f>
        <v>0</v>
      </c>
      <c r="Z135" s="305">
        <f>'[1]Adubos e corretivos'!G38</f>
        <v>0</v>
      </c>
      <c r="AA135" s="305">
        <f>'[1]Adubos e corretivos'!H38</f>
        <v>0</v>
      </c>
      <c r="AB135" s="305">
        <f>'[1]Adubos e corretivos'!I38</f>
        <v>0</v>
      </c>
      <c r="AC135" s="305">
        <f>'[1]Adubos e corretivos'!J38</f>
        <v>0</v>
      </c>
      <c r="AD135" s="305">
        <f>'[1]Adubos e corretivos'!K38</f>
        <v>0</v>
      </c>
      <c r="AE135" s="305">
        <f>'[1]Adubos e corretivos'!L38</f>
        <v>0</v>
      </c>
      <c r="AF135" s="305">
        <f>'[1]Adubos e corretivos'!M38</f>
        <v>0</v>
      </c>
      <c r="AG135" s="305">
        <f>'[1]Adubos e corretivos'!N38</f>
        <v>0</v>
      </c>
      <c r="AH135" s="305">
        <f>'[1]Adubos e corretivos'!O38</f>
        <v>0</v>
      </c>
      <c r="AI135" s="305">
        <f>'[1]Adubos e corretivos'!P38</f>
        <v>0</v>
      </c>
      <c r="AJ135" s="305">
        <f>'[1]Adubos e corretivos'!Q38</f>
        <v>0</v>
      </c>
      <c r="AK135" s="305">
        <f>'[1]Adubos e corretivos'!R38</f>
        <v>0</v>
      </c>
      <c r="AL135" s="305">
        <f>'[1]Adubos e corretivos'!S38</f>
        <v>0</v>
      </c>
      <c r="AM135" s="305">
        <f>'[1]Adubos e corretivos'!T38</f>
        <v>0</v>
      </c>
      <c r="AN135" s="305">
        <f>'[1]Adubos e corretivos'!U38</f>
        <v>0</v>
      </c>
      <c r="AO135" s="305">
        <f>'[1]Adubos e corretivos'!V38</f>
        <v>0</v>
      </c>
    </row>
    <row r="136" spans="13:41" ht="19.5" customHeight="1" x14ac:dyDescent="0.25">
      <c r="M136" s="539"/>
      <c r="N136" s="547"/>
      <c r="O136" s="448"/>
      <c r="P136" s="448"/>
      <c r="Q136" s="266">
        <f t="shared" si="17"/>
        <v>0</v>
      </c>
      <c r="R136" s="216"/>
      <c r="U136" s="536"/>
      <c r="V136" s="305" t="str">
        <f>'[1]Adubos e corretivos'!C39</f>
        <v>Torta de mamona Vitaplan</v>
      </c>
      <c r="W136" s="305">
        <f>'[1]Adubos e corretivos'!D39</f>
        <v>0</v>
      </c>
      <c r="X136" s="305">
        <f>'[1]Adubos e corretivos'!E39</f>
        <v>8.5</v>
      </c>
      <c r="Y136" s="305">
        <f>'[1]Adubos e corretivos'!F39</f>
        <v>0</v>
      </c>
      <c r="Z136" s="305">
        <f>'[1]Adubos e corretivos'!G39</f>
        <v>0</v>
      </c>
      <c r="AA136" s="305">
        <f>'[1]Adubos e corretivos'!H39</f>
        <v>0</v>
      </c>
      <c r="AB136" s="305">
        <f>'[1]Adubos e corretivos'!I39</f>
        <v>0</v>
      </c>
      <c r="AC136" s="305">
        <f>'[1]Adubos e corretivos'!J39</f>
        <v>0</v>
      </c>
      <c r="AD136" s="305">
        <f>'[1]Adubos e corretivos'!K39</f>
        <v>0</v>
      </c>
      <c r="AE136" s="305">
        <f>'[1]Adubos e corretivos'!L39</f>
        <v>0</v>
      </c>
      <c r="AF136" s="305">
        <f>'[1]Adubos e corretivos'!M39</f>
        <v>0</v>
      </c>
      <c r="AG136" s="305">
        <f>'[1]Adubos e corretivos'!N39</f>
        <v>0</v>
      </c>
      <c r="AH136" s="305">
        <f>'[1]Adubos e corretivos'!O39</f>
        <v>0</v>
      </c>
      <c r="AI136" s="305">
        <f>'[1]Adubos e corretivos'!P39</f>
        <v>0</v>
      </c>
      <c r="AJ136" s="305">
        <f>'[1]Adubos e corretivos'!Q39</f>
        <v>0</v>
      </c>
      <c r="AK136" s="305">
        <f>'[1]Adubos e corretivos'!R39</f>
        <v>0</v>
      </c>
      <c r="AL136" s="305">
        <f>'[1]Adubos e corretivos'!S39</f>
        <v>0</v>
      </c>
      <c r="AM136" s="305">
        <f>'[1]Adubos e corretivos'!T39</f>
        <v>0</v>
      </c>
      <c r="AN136" s="305">
        <f>'[1]Adubos e corretivos'!U39</f>
        <v>0</v>
      </c>
      <c r="AO136" s="305">
        <f>'[1]Adubos e corretivos'!V39</f>
        <v>0</v>
      </c>
    </row>
    <row r="137" spans="13:41" ht="19.5" customHeight="1" x14ac:dyDescent="0.25">
      <c r="M137" s="539"/>
      <c r="N137" s="547"/>
      <c r="O137" s="448"/>
      <c r="P137" s="448"/>
      <c r="Q137" s="266">
        <f t="shared" si="17"/>
        <v>0</v>
      </c>
      <c r="R137" s="216"/>
      <c r="U137" s="536"/>
      <c r="V137" s="305" t="str">
        <f>'[1]Adubos e corretivos'!C40</f>
        <v>Farinha de osso</v>
      </c>
      <c r="W137" s="305">
        <f>'[1]Adubos e corretivos'!D40</f>
        <v>0</v>
      </c>
      <c r="X137" s="305">
        <f>'[1]Adubos e corretivos'!E40</f>
        <v>0</v>
      </c>
      <c r="Y137" s="305">
        <f>'[1]Adubos e corretivos'!F40</f>
        <v>18.2</v>
      </c>
      <c r="Z137" s="305">
        <f>'[1]Adubos e corretivos'!G40</f>
        <v>42</v>
      </c>
      <c r="AA137" s="305">
        <f>'[1]Adubos e corretivos'!H40</f>
        <v>0</v>
      </c>
      <c r="AB137" s="305">
        <f>'[1]Adubos e corretivos'!I40</f>
        <v>0</v>
      </c>
      <c r="AC137" s="305">
        <f>'[1]Adubos e corretivos'!J40</f>
        <v>39.5</v>
      </c>
      <c r="AD137" s="305">
        <f>'[1]Adubos e corretivos'!K40</f>
        <v>0</v>
      </c>
      <c r="AE137" s="305">
        <f>'[1]Adubos e corretivos'!L40</f>
        <v>0</v>
      </c>
      <c r="AF137" s="305">
        <f>'[1]Adubos e corretivos'!M40</f>
        <v>0</v>
      </c>
      <c r="AG137" s="305">
        <f>'[1]Adubos e corretivos'!N40</f>
        <v>0</v>
      </c>
      <c r="AH137" s="305">
        <f>'[1]Adubos e corretivos'!O40</f>
        <v>0</v>
      </c>
      <c r="AI137" s="305">
        <f>'[1]Adubos e corretivos'!P40</f>
        <v>0</v>
      </c>
      <c r="AJ137" s="305">
        <f>'[1]Adubos e corretivos'!Q40</f>
        <v>0</v>
      </c>
      <c r="AK137" s="305">
        <f>'[1]Adubos e corretivos'!R40</f>
        <v>0</v>
      </c>
      <c r="AL137" s="305">
        <f>'[1]Adubos e corretivos'!S40</f>
        <v>0</v>
      </c>
      <c r="AM137" s="305">
        <f>'[1]Adubos e corretivos'!T40</f>
        <v>7.5</v>
      </c>
      <c r="AN137" s="305">
        <f>'[1]Adubos e corretivos'!U40</f>
        <v>0</v>
      </c>
      <c r="AO137" s="305">
        <f>'[1]Adubos e corretivos'!V40</f>
        <v>0</v>
      </c>
    </row>
    <row r="138" spans="13:41" ht="19.5" customHeight="1" x14ac:dyDescent="0.25">
      <c r="M138" s="539"/>
      <c r="N138" s="547"/>
      <c r="O138" s="448"/>
      <c r="P138" s="448"/>
      <c r="Q138" s="266">
        <f t="shared" si="17"/>
        <v>0</v>
      </c>
      <c r="R138" s="216"/>
      <c r="U138" s="536"/>
      <c r="V138" s="305" t="str">
        <f>'[1]Adubos e corretivos'!C41</f>
        <v>Termofosfato YOORIN</v>
      </c>
      <c r="W138" s="305">
        <f>'[1]Adubos e corretivos'!D41</f>
        <v>2.3250000000000002</v>
      </c>
      <c r="X138" s="305">
        <f>'[1]Adubos e corretivos'!E41</f>
        <v>0</v>
      </c>
      <c r="Y138" s="305">
        <f>'[1]Adubos e corretivos'!F41</f>
        <v>7.6440000000000001</v>
      </c>
      <c r="Z138" s="305">
        <f>'[1]Adubos e corretivos'!G41</f>
        <v>17.5</v>
      </c>
      <c r="AA138" s="305">
        <f>'[1]Adubos e corretivos'!H41</f>
        <v>0</v>
      </c>
      <c r="AB138" s="305">
        <f>'[1]Adubos e corretivos'!I41</f>
        <v>0</v>
      </c>
      <c r="AC138" s="305">
        <f>'[1]Adubos e corretivos'!J41</f>
        <v>18</v>
      </c>
      <c r="AD138" s="305">
        <f>'[1]Adubos e corretivos'!K41</f>
        <v>7</v>
      </c>
      <c r="AE138" s="305">
        <f>'[1]Adubos e corretivos'!L41</f>
        <v>0</v>
      </c>
      <c r="AF138" s="305">
        <f>'[1]Adubos e corretivos'!M41</f>
        <v>0.1</v>
      </c>
      <c r="AG138" s="305">
        <f>'[1]Adubos e corretivos'!N41</f>
        <v>0.3</v>
      </c>
      <c r="AH138" s="305">
        <f>'[1]Adubos e corretivos'!O41</f>
        <v>5.5</v>
      </c>
      <c r="AI138" s="305">
        <f>'[1]Adubos e corretivos'!P41</f>
        <v>0.5</v>
      </c>
      <c r="AJ138" s="305">
        <f>'[1]Adubos e corretivos'!Q41</f>
        <v>0</v>
      </c>
      <c r="AK138" s="305">
        <f>'[1]Adubos e corretivos'!R41</f>
        <v>0</v>
      </c>
      <c r="AL138" s="305">
        <f>'[1]Adubos e corretivos'!S41</f>
        <v>10</v>
      </c>
      <c r="AM138" s="305">
        <f>'[1]Adubos e corretivos'!T41</f>
        <v>0</v>
      </c>
      <c r="AN138" s="305">
        <f>'[1]Adubos e corretivos'!U41</f>
        <v>0</v>
      </c>
      <c r="AO138" s="305">
        <f>'[1]Adubos e corretivos'!V41</f>
        <v>0</v>
      </c>
    </row>
    <row r="139" spans="13:41" ht="19.5" customHeight="1" x14ac:dyDescent="0.25">
      <c r="M139" s="539"/>
      <c r="N139" s="547"/>
      <c r="O139" s="448"/>
      <c r="P139" s="448"/>
      <c r="Q139" s="266">
        <f t="shared" si="17"/>
        <v>0</v>
      </c>
      <c r="R139" s="216"/>
      <c r="U139" s="536"/>
      <c r="V139" s="305" t="str">
        <f>'[1]Adubos e corretivos'!C42</f>
        <v>Kmag</v>
      </c>
      <c r="W139" s="305">
        <f>'[1]Adubos e corretivos'!D42</f>
        <v>2.9</v>
      </c>
      <c r="X139" s="305">
        <f>'[1]Adubos e corretivos'!E42</f>
        <v>0</v>
      </c>
      <c r="Y139" s="305">
        <f>'[1]Adubos e corretivos'!F42</f>
        <v>0</v>
      </c>
      <c r="Z139" s="305">
        <f>'[1]Adubos e corretivos'!G42</f>
        <v>0</v>
      </c>
      <c r="AA139" s="305">
        <f>'[1]Adubos e corretivos'!H42</f>
        <v>17.45</v>
      </c>
      <c r="AB139" s="305">
        <f>'[1]Adubos e corretivos'!I42</f>
        <v>21</v>
      </c>
      <c r="AC139" s="305">
        <f>'[1]Adubos e corretivos'!J42</f>
        <v>10</v>
      </c>
      <c r="AD139" s="305">
        <f>'[1]Adubos e corretivos'!K42</f>
        <v>21</v>
      </c>
      <c r="AE139" s="305">
        <f>'[1]Adubos e corretivos'!L42</f>
        <v>0</v>
      </c>
      <c r="AF139" s="305">
        <f>'[1]Adubos e corretivos'!M42</f>
        <v>0</v>
      </c>
      <c r="AG139" s="305">
        <f>'[1]Adubos e corretivos'!N42</f>
        <v>0</v>
      </c>
      <c r="AH139" s="305">
        <f>'[1]Adubos e corretivos'!O42</f>
        <v>0</v>
      </c>
      <c r="AI139" s="305">
        <f>'[1]Adubos e corretivos'!P42</f>
        <v>0</v>
      </c>
      <c r="AJ139" s="305">
        <f>'[1]Adubos e corretivos'!Q42</f>
        <v>0</v>
      </c>
      <c r="AK139" s="305">
        <f>'[1]Adubos e corretivos'!R42</f>
        <v>0</v>
      </c>
      <c r="AL139" s="305">
        <f>'[1]Adubos e corretivos'!S42</f>
        <v>0</v>
      </c>
      <c r="AM139" s="305">
        <f>'[1]Adubos e corretivos'!T42</f>
        <v>0</v>
      </c>
      <c r="AN139" s="305">
        <f>'[1]Adubos e corretivos'!U42</f>
        <v>0</v>
      </c>
      <c r="AO139" s="305">
        <f>'[1]Adubos e corretivos'!V42</f>
        <v>0</v>
      </c>
    </row>
    <row r="140" spans="13:41" ht="19.5" customHeight="1" x14ac:dyDescent="0.25">
      <c r="M140" s="539"/>
      <c r="N140" s="547"/>
      <c r="O140" s="448"/>
      <c r="P140" s="448"/>
      <c r="Q140" s="266">
        <f t="shared" si="17"/>
        <v>0</v>
      </c>
      <c r="R140" s="216"/>
      <c r="U140" s="536"/>
      <c r="V140" s="305" t="str">
        <f>'[1]Adubos e corretivos'!C43</f>
        <v>Algas marinhas Algen</v>
      </c>
      <c r="W140" s="305">
        <f>'[1]Adubos e corretivos'!D43</f>
        <v>1.96</v>
      </c>
      <c r="X140" s="305">
        <f>'[1]Adubos e corretivos'!E43</f>
        <v>0</v>
      </c>
      <c r="Y140" s="305">
        <f>'[1]Adubos e corretivos'!F43</f>
        <v>0</v>
      </c>
      <c r="Z140" s="305">
        <f>'[1]Adubos e corretivos'!G43</f>
        <v>0</v>
      </c>
      <c r="AA140" s="305">
        <f>'[1]Adubos e corretivos'!H43</f>
        <v>0</v>
      </c>
      <c r="AB140" s="305">
        <f>'[1]Adubos e corretivos'!I43</f>
        <v>0</v>
      </c>
      <c r="AC140" s="305">
        <f>'[1]Adubos e corretivos'!J43</f>
        <v>32</v>
      </c>
      <c r="AD140" s="305">
        <f>'[1]Adubos e corretivos'!K43</f>
        <v>2</v>
      </c>
      <c r="AE140" s="305">
        <f>'[1]Adubos e corretivos'!L43</f>
        <v>0</v>
      </c>
      <c r="AF140" s="305">
        <f>'[1]Adubos e corretivos'!M43</f>
        <v>0</v>
      </c>
      <c r="AG140" s="305">
        <f>'[1]Adubos e corretivos'!N43</f>
        <v>0</v>
      </c>
      <c r="AH140" s="305">
        <f>'[1]Adubos e corretivos'!O43</f>
        <v>0</v>
      </c>
      <c r="AI140" s="305">
        <f>'[1]Adubos e corretivos'!P43</f>
        <v>0</v>
      </c>
      <c r="AJ140" s="305">
        <f>'[1]Adubos e corretivos'!Q43</f>
        <v>0</v>
      </c>
      <c r="AK140" s="305">
        <f>'[1]Adubos e corretivos'!R43</f>
        <v>0</v>
      </c>
      <c r="AL140" s="305">
        <f>'[1]Adubos e corretivos'!S43</f>
        <v>0</v>
      </c>
      <c r="AM140" s="305">
        <f>'[1]Adubos e corretivos'!T43</f>
        <v>0</v>
      </c>
      <c r="AN140" s="305">
        <f>'[1]Adubos e corretivos'!U43</f>
        <v>0</v>
      </c>
      <c r="AO140" s="305">
        <f>'[1]Adubos e corretivos'!V43</f>
        <v>0</v>
      </c>
    </row>
    <row r="141" spans="13:41" ht="19.5" customHeight="1" x14ac:dyDescent="0.25">
      <c r="M141" s="539"/>
      <c r="N141" s="547"/>
      <c r="O141" s="448"/>
      <c r="P141" s="448"/>
      <c r="Q141" s="266">
        <f t="shared" si="17"/>
        <v>0</v>
      </c>
      <c r="R141" s="216"/>
      <c r="U141" s="536"/>
      <c r="V141" s="305" t="str">
        <f>'[1]Adubos e corretivos'!C44</f>
        <v>Sulfato de magnésio</v>
      </c>
      <c r="W141" s="305">
        <f>'[1]Adubos e corretivos'!D44</f>
        <v>1.6</v>
      </c>
      <c r="X141" s="305">
        <f>'[1]Adubos e corretivos'!E44</f>
        <v>0</v>
      </c>
      <c r="Y141" s="305">
        <f>'[1]Adubos e corretivos'!F44</f>
        <v>0</v>
      </c>
      <c r="Z141" s="305">
        <f>'[1]Adubos e corretivos'!G44</f>
        <v>0</v>
      </c>
      <c r="AA141" s="305">
        <f>'[1]Adubos e corretivos'!H44</f>
        <v>0</v>
      </c>
      <c r="AB141" s="305">
        <f>'[1]Adubos e corretivos'!I44</f>
        <v>0</v>
      </c>
      <c r="AC141" s="305">
        <f>'[1]Adubos e corretivos'!J44</f>
        <v>0</v>
      </c>
      <c r="AD141" s="305">
        <f>'[1]Adubos e corretivos'!K44</f>
        <v>9.5</v>
      </c>
      <c r="AE141" s="305">
        <f>'[1]Adubos e corretivos'!L44</f>
        <v>12</v>
      </c>
      <c r="AF141" s="305">
        <f>'[1]Adubos e corretivos'!M44</f>
        <v>0</v>
      </c>
      <c r="AG141" s="305">
        <f>'[1]Adubos e corretivos'!N44</f>
        <v>0</v>
      </c>
      <c r="AH141" s="305">
        <f>'[1]Adubos e corretivos'!O44</f>
        <v>0</v>
      </c>
      <c r="AI141" s="305">
        <f>'[1]Adubos e corretivos'!P44</f>
        <v>0</v>
      </c>
      <c r="AJ141" s="305">
        <f>'[1]Adubos e corretivos'!Q44</f>
        <v>0</v>
      </c>
      <c r="AK141" s="305">
        <f>'[1]Adubos e corretivos'!R44</f>
        <v>0</v>
      </c>
      <c r="AL141" s="305">
        <f>'[1]Adubos e corretivos'!S44</f>
        <v>0</v>
      </c>
      <c r="AM141" s="305">
        <f>'[1]Adubos e corretivos'!T44</f>
        <v>0</v>
      </c>
      <c r="AN141" s="305">
        <f>'[1]Adubos e corretivos'!U44</f>
        <v>0</v>
      </c>
      <c r="AO141" s="305">
        <f>'[1]Adubos e corretivos'!V44</f>
        <v>0</v>
      </c>
    </row>
    <row r="142" spans="13:41" ht="19.5" customHeight="1" x14ac:dyDescent="0.25">
      <c r="M142" s="539"/>
      <c r="N142" s="547"/>
      <c r="O142" s="448"/>
      <c r="P142" s="448"/>
      <c r="Q142" s="266">
        <f t="shared" si="17"/>
        <v>0</v>
      </c>
      <c r="R142" s="216"/>
      <c r="U142" s="536"/>
      <c r="V142" s="305">
        <f>'[1]Adubos e corretivos'!C45</f>
        <v>0</v>
      </c>
      <c r="W142" s="305">
        <f>'[1]Adubos e corretivos'!D45</f>
        <v>0</v>
      </c>
      <c r="X142" s="305">
        <f>'[1]Adubos e corretivos'!E45</f>
        <v>0</v>
      </c>
      <c r="Y142" s="305">
        <f>'[1]Adubos e corretivos'!F45</f>
        <v>0</v>
      </c>
      <c r="Z142" s="305">
        <f>'[1]Adubos e corretivos'!G45</f>
        <v>0</v>
      </c>
      <c r="AA142" s="305">
        <f>'[1]Adubos e corretivos'!H45</f>
        <v>0</v>
      </c>
      <c r="AB142" s="305">
        <f>'[1]Adubos e corretivos'!I45</f>
        <v>0</v>
      </c>
      <c r="AC142" s="305">
        <f>'[1]Adubos e corretivos'!J45</f>
        <v>0</v>
      </c>
      <c r="AD142" s="305">
        <f>'[1]Adubos e corretivos'!K45</f>
        <v>0</v>
      </c>
      <c r="AE142" s="305">
        <f>'[1]Adubos e corretivos'!L45</f>
        <v>0</v>
      </c>
      <c r="AF142" s="305">
        <f>'[1]Adubos e corretivos'!M45</f>
        <v>0</v>
      </c>
      <c r="AG142" s="305">
        <f>'[1]Adubos e corretivos'!N45</f>
        <v>0</v>
      </c>
      <c r="AH142" s="305">
        <f>'[1]Adubos e corretivos'!O45</f>
        <v>0</v>
      </c>
      <c r="AI142" s="305">
        <f>'[1]Adubos e corretivos'!P45</f>
        <v>0</v>
      </c>
      <c r="AJ142" s="305">
        <f>'[1]Adubos e corretivos'!Q45</f>
        <v>0</v>
      </c>
      <c r="AK142" s="305">
        <f>'[1]Adubos e corretivos'!R45</f>
        <v>0</v>
      </c>
      <c r="AL142" s="305">
        <f>'[1]Adubos e corretivos'!S45</f>
        <v>0</v>
      </c>
      <c r="AM142" s="305">
        <f>'[1]Adubos e corretivos'!T45</f>
        <v>0</v>
      </c>
      <c r="AN142" s="305">
        <f>'[1]Adubos e corretivos'!U45</f>
        <v>0</v>
      </c>
      <c r="AO142" s="305">
        <f>'[1]Adubos e corretivos'!V45</f>
        <v>0</v>
      </c>
    </row>
    <row r="143" spans="13:41" ht="19.5" customHeight="1" x14ac:dyDescent="0.25">
      <c r="M143" s="539"/>
      <c r="N143" s="547"/>
      <c r="O143" s="448"/>
      <c r="P143" s="448"/>
      <c r="Q143" s="266">
        <f t="shared" si="17"/>
        <v>0</v>
      </c>
      <c r="R143" s="216"/>
      <c r="U143" s="536"/>
      <c r="V143" s="305">
        <f>'[1]Adubos e corretivos'!C46</f>
        <v>0</v>
      </c>
      <c r="W143" s="305">
        <f>'[1]Adubos e corretivos'!D46</f>
        <v>0</v>
      </c>
      <c r="X143" s="305">
        <f>'[1]Adubos e corretivos'!E46</f>
        <v>0</v>
      </c>
      <c r="Y143" s="305">
        <f>'[1]Adubos e corretivos'!F46</f>
        <v>0</v>
      </c>
      <c r="Z143" s="305">
        <f>'[1]Adubos e corretivos'!G46</f>
        <v>0</v>
      </c>
      <c r="AA143" s="305">
        <f>'[1]Adubos e corretivos'!H46</f>
        <v>0</v>
      </c>
      <c r="AB143" s="305">
        <f>'[1]Adubos e corretivos'!I46</f>
        <v>0</v>
      </c>
      <c r="AC143" s="305">
        <f>'[1]Adubos e corretivos'!J46</f>
        <v>0</v>
      </c>
      <c r="AD143" s="305">
        <f>'[1]Adubos e corretivos'!K46</f>
        <v>0</v>
      </c>
      <c r="AE143" s="305">
        <f>'[1]Adubos e corretivos'!L46</f>
        <v>0</v>
      </c>
      <c r="AF143" s="305">
        <f>'[1]Adubos e corretivos'!M46</f>
        <v>0</v>
      </c>
      <c r="AG143" s="305">
        <f>'[1]Adubos e corretivos'!N46</f>
        <v>0</v>
      </c>
      <c r="AH143" s="305">
        <f>'[1]Adubos e corretivos'!O46</f>
        <v>0</v>
      </c>
      <c r="AI143" s="305">
        <f>'[1]Adubos e corretivos'!P46</f>
        <v>0</v>
      </c>
      <c r="AJ143" s="305">
        <f>'[1]Adubos e corretivos'!Q46</f>
        <v>0</v>
      </c>
      <c r="AK143" s="305">
        <f>'[1]Adubos e corretivos'!R46</f>
        <v>0</v>
      </c>
      <c r="AL143" s="305">
        <f>'[1]Adubos e corretivos'!S46</f>
        <v>0</v>
      </c>
      <c r="AM143" s="305">
        <f>'[1]Adubos e corretivos'!T46</f>
        <v>0</v>
      </c>
      <c r="AN143" s="305">
        <f>'[1]Adubos e corretivos'!U46</f>
        <v>0</v>
      </c>
      <c r="AO143" s="305">
        <f>'[1]Adubos e corretivos'!V46</f>
        <v>0</v>
      </c>
    </row>
    <row r="144" spans="13:41" ht="19.5" customHeight="1" x14ac:dyDescent="0.25">
      <c r="M144" s="308"/>
      <c r="N144" s="309"/>
      <c r="O144" s="215"/>
      <c r="P144" s="215"/>
      <c r="Q144" s="215"/>
      <c r="R144" s="216"/>
      <c r="U144" s="536"/>
      <c r="V144" s="305">
        <f>'[1]Adubos e corretivos'!C47</f>
        <v>0</v>
      </c>
      <c r="W144" s="305">
        <f>'[1]Adubos e corretivos'!D47</f>
        <v>0</v>
      </c>
      <c r="X144" s="305">
        <f>'[1]Adubos e corretivos'!E47</f>
        <v>0</v>
      </c>
      <c r="Y144" s="305">
        <f>'[1]Adubos e corretivos'!F47</f>
        <v>0</v>
      </c>
      <c r="Z144" s="305">
        <f>'[1]Adubos e corretivos'!G47</f>
        <v>0</v>
      </c>
      <c r="AA144" s="305">
        <f>'[1]Adubos e corretivos'!H47</f>
        <v>0</v>
      </c>
      <c r="AB144" s="305">
        <f>'[1]Adubos e corretivos'!I47</f>
        <v>0</v>
      </c>
      <c r="AC144" s="305">
        <f>'[1]Adubos e corretivos'!J47</f>
        <v>0</v>
      </c>
      <c r="AD144" s="305">
        <f>'[1]Adubos e corretivos'!K47</f>
        <v>0</v>
      </c>
      <c r="AE144" s="305">
        <f>'[1]Adubos e corretivos'!L47</f>
        <v>0</v>
      </c>
      <c r="AF144" s="305">
        <f>'[1]Adubos e corretivos'!M47</f>
        <v>0</v>
      </c>
      <c r="AG144" s="305">
        <f>'[1]Adubos e corretivos'!N47</f>
        <v>0</v>
      </c>
      <c r="AH144" s="305">
        <f>'[1]Adubos e corretivos'!O47</f>
        <v>0</v>
      </c>
      <c r="AI144" s="305">
        <f>'[1]Adubos e corretivos'!P47</f>
        <v>0</v>
      </c>
      <c r="AJ144" s="305">
        <f>'[1]Adubos e corretivos'!Q47</f>
        <v>0</v>
      </c>
      <c r="AK144" s="305">
        <f>'[1]Adubos e corretivos'!R47</f>
        <v>0</v>
      </c>
      <c r="AL144" s="305">
        <f>'[1]Adubos e corretivos'!S47</f>
        <v>0</v>
      </c>
      <c r="AM144" s="305">
        <f>'[1]Adubos e corretivos'!T47</f>
        <v>0</v>
      </c>
      <c r="AN144" s="305">
        <f>'[1]Adubos e corretivos'!U47</f>
        <v>0</v>
      </c>
      <c r="AO144" s="305">
        <f>'[1]Adubos e corretivos'!V47</f>
        <v>0</v>
      </c>
    </row>
    <row r="145" spans="11:41" ht="19.5" customHeight="1" x14ac:dyDescent="0.25">
      <c r="M145" s="539" t="s">
        <v>622</v>
      </c>
      <c r="N145" s="540"/>
      <c r="O145" s="541" t="s">
        <v>598</v>
      </c>
      <c r="P145" s="542"/>
      <c r="Q145" s="310" t="e">
        <f>$AB$215*$O$34</f>
        <v>#N/A</v>
      </c>
      <c r="R145" s="311"/>
      <c r="U145" s="536"/>
      <c r="V145" s="305">
        <f>'[1]Adubos e corretivos'!C48</f>
        <v>0</v>
      </c>
      <c r="W145" s="305">
        <f>'[1]Adubos e corretivos'!D48</f>
        <v>0</v>
      </c>
      <c r="X145" s="305">
        <f>'[1]Adubos e corretivos'!E48</f>
        <v>0</v>
      </c>
      <c r="Y145" s="305">
        <f>'[1]Adubos e corretivos'!F48</f>
        <v>0</v>
      </c>
      <c r="Z145" s="305">
        <f>'[1]Adubos e corretivos'!G48</f>
        <v>0</v>
      </c>
      <c r="AA145" s="305">
        <f>'[1]Adubos e corretivos'!H48</f>
        <v>0</v>
      </c>
      <c r="AB145" s="305">
        <f>'[1]Adubos e corretivos'!I48</f>
        <v>0</v>
      </c>
      <c r="AC145" s="305">
        <f>'[1]Adubos e corretivos'!J48</f>
        <v>0</v>
      </c>
      <c r="AD145" s="305">
        <f>'[1]Adubos e corretivos'!K48</f>
        <v>0</v>
      </c>
      <c r="AE145" s="305">
        <f>'[1]Adubos e corretivos'!L48</f>
        <v>0</v>
      </c>
      <c r="AF145" s="305">
        <f>'[1]Adubos e corretivos'!M48</f>
        <v>0</v>
      </c>
      <c r="AG145" s="305">
        <f>'[1]Adubos e corretivos'!N48</f>
        <v>0</v>
      </c>
      <c r="AH145" s="305">
        <f>'[1]Adubos e corretivos'!O48</f>
        <v>0</v>
      </c>
      <c r="AI145" s="305">
        <f>'[1]Adubos e corretivos'!P48</f>
        <v>0</v>
      </c>
      <c r="AJ145" s="305">
        <f>'[1]Adubos e corretivos'!Q48</f>
        <v>0</v>
      </c>
      <c r="AK145" s="305">
        <f>'[1]Adubos e corretivos'!R48</f>
        <v>0</v>
      </c>
      <c r="AL145" s="305">
        <f>'[1]Adubos e corretivos'!S48</f>
        <v>0</v>
      </c>
      <c r="AM145" s="305">
        <f>'[1]Adubos e corretivos'!T48</f>
        <v>0</v>
      </c>
      <c r="AN145" s="305">
        <f>'[1]Adubos e corretivos'!U48</f>
        <v>0</v>
      </c>
      <c r="AO145" s="305">
        <f>'[1]Adubos e corretivos'!V48</f>
        <v>0</v>
      </c>
    </row>
    <row r="146" spans="11:41" ht="19.5" customHeight="1" x14ac:dyDescent="0.25">
      <c r="M146" s="539"/>
      <c r="N146" s="540"/>
      <c r="O146" s="215"/>
      <c r="P146" s="215"/>
      <c r="Q146" s="215"/>
      <c r="R146" s="216"/>
      <c r="U146" s="536"/>
      <c r="V146" s="305">
        <f>'[1]Adubos e corretivos'!C49</f>
        <v>0</v>
      </c>
      <c r="W146" s="305">
        <f>'[1]Adubos e corretivos'!D49</f>
        <v>0</v>
      </c>
      <c r="X146" s="305">
        <f>'[1]Adubos e corretivos'!E49</f>
        <v>0</v>
      </c>
      <c r="Y146" s="305">
        <f>'[1]Adubos e corretivos'!F49</f>
        <v>0</v>
      </c>
      <c r="Z146" s="305">
        <f>'[1]Adubos e corretivos'!G49</f>
        <v>0</v>
      </c>
      <c r="AA146" s="305">
        <f>'[1]Adubos e corretivos'!H49</f>
        <v>0</v>
      </c>
      <c r="AB146" s="305">
        <f>'[1]Adubos e corretivos'!I49</f>
        <v>0</v>
      </c>
      <c r="AC146" s="305">
        <f>'[1]Adubos e corretivos'!J49</f>
        <v>0</v>
      </c>
      <c r="AD146" s="305">
        <f>'[1]Adubos e corretivos'!K49</f>
        <v>0</v>
      </c>
      <c r="AE146" s="305">
        <f>'[1]Adubos e corretivos'!L49</f>
        <v>0</v>
      </c>
      <c r="AF146" s="305">
        <f>'[1]Adubos e corretivos'!M49</f>
        <v>0</v>
      </c>
      <c r="AG146" s="305">
        <f>'[1]Adubos e corretivos'!N49</f>
        <v>0</v>
      </c>
      <c r="AH146" s="305">
        <f>'[1]Adubos e corretivos'!O49</f>
        <v>0</v>
      </c>
      <c r="AI146" s="305">
        <f>'[1]Adubos e corretivos'!P49</f>
        <v>0</v>
      </c>
      <c r="AJ146" s="305">
        <f>'[1]Adubos e corretivos'!Q49</f>
        <v>0</v>
      </c>
      <c r="AK146" s="305">
        <f>'[1]Adubos e corretivos'!R49</f>
        <v>0</v>
      </c>
      <c r="AL146" s="305">
        <f>'[1]Adubos e corretivos'!S49</f>
        <v>0</v>
      </c>
      <c r="AM146" s="305">
        <f>'[1]Adubos e corretivos'!T49</f>
        <v>0</v>
      </c>
      <c r="AN146" s="305">
        <f>'[1]Adubos e corretivos'!U49</f>
        <v>0</v>
      </c>
      <c r="AO146" s="305">
        <f>'[1]Adubos e corretivos'!V49</f>
        <v>0</v>
      </c>
    </row>
    <row r="147" spans="11:41" ht="19.5" customHeight="1" x14ac:dyDescent="0.25">
      <c r="M147" s="539"/>
      <c r="N147" s="540"/>
      <c r="O147" s="541" t="s">
        <v>603</v>
      </c>
      <c r="P147" s="542"/>
      <c r="Q147" s="310" t="e">
        <f>Q145/$E$18</f>
        <v>#N/A</v>
      </c>
      <c r="R147" s="311"/>
      <c r="U147" s="536"/>
      <c r="V147" s="305">
        <f>'[1]Adubos e corretivos'!C50</f>
        <v>0</v>
      </c>
      <c r="W147" s="305">
        <f>'[1]Adubos e corretivos'!D50</f>
        <v>0</v>
      </c>
      <c r="X147" s="305">
        <f>'[1]Adubos e corretivos'!E50</f>
        <v>0</v>
      </c>
      <c r="Y147" s="305">
        <f>'[1]Adubos e corretivos'!F50</f>
        <v>0</v>
      </c>
      <c r="Z147" s="305">
        <f>'[1]Adubos e corretivos'!G50</f>
        <v>0</v>
      </c>
      <c r="AA147" s="305">
        <f>'[1]Adubos e corretivos'!H50</f>
        <v>0</v>
      </c>
      <c r="AB147" s="305">
        <f>'[1]Adubos e corretivos'!I50</f>
        <v>0</v>
      </c>
      <c r="AC147" s="305">
        <f>'[1]Adubos e corretivos'!J50</f>
        <v>0</v>
      </c>
      <c r="AD147" s="305">
        <f>'[1]Adubos e corretivos'!K50</f>
        <v>0</v>
      </c>
      <c r="AE147" s="305">
        <f>'[1]Adubos e corretivos'!L50</f>
        <v>0</v>
      </c>
      <c r="AF147" s="305">
        <f>'[1]Adubos e corretivos'!M50</f>
        <v>0</v>
      </c>
      <c r="AG147" s="305">
        <f>'[1]Adubos e corretivos'!N50</f>
        <v>0</v>
      </c>
      <c r="AH147" s="305">
        <f>'[1]Adubos e corretivos'!O50</f>
        <v>0</v>
      </c>
      <c r="AI147" s="305">
        <f>'[1]Adubos e corretivos'!P50</f>
        <v>0</v>
      </c>
      <c r="AJ147" s="305">
        <f>'[1]Adubos e corretivos'!Q50</f>
        <v>0</v>
      </c>
      <c r="AK147" s="305">
        <f>'[1]Adubos e corretivos'!R50</f>
        <v>0</v>
      </c>
      <c r="AL147" s="305">
        <f>'[1]Adubos e corretivos'!S50</f>
        <v>0</v>
      </c>
      <c r="AM147" s="305">
        <f>'[1]Adubos e corretivos'!T50</f>
        <v>0</v>
      </c>
      <c r="AN147" s="305">
        <f>'[1]Adubos e corretivos'!U50</f>
        <v>0</v>
      </c>
      <c r="AO147" s="305">
        <f>'[1]Adubos e corretivos'!V50</f>
        <v>0</v>
      </c>
    </row>
    <row r="148" spans="11:41" ht="19.5" customHeight="1" thickBot="1" x14ac:dyDescent="0.3">
      <c r="M148" s="217"/>
      <c r="N148" s="218"/>
      <c r="O148" s="218"/>
      <c r="P148" s="218"/>
      <c r="Q148" s="218"/>
      <c r="R148" s="219"/>
      <c r="U148" s="536"/>
      <c r="V148" s="305">
        <f>'[1]Adubos e corretivos'!C51</f>
        <v>0</v>
      </c>
      <c r="W148" s="305">
        <f>'[1]Adubos e corretivos'!D51</f>
        <v>0</v>
      </c>
      <c r="X148" s="305">
        <f>'[1]Adubos e corretivos'!E51</f>
        <v>0</v>
      </c>
      <c r="Y148" s="305">
        <f>'[1]Adubos e corretivos'!F51</f>
        <v>0</v>
      </c>
      <c r="Z148" s="305">
        <f>'[1]Adubos e corretivos'!G51</f>
        <v>0</v>
      </c>
      <c r="AA148" s="305">
        <f>'[1]Adubos e corretivos'!H51</f>
        <v>0</v>
      </c>
      <c r="AB148" s="305">
        <f>'[1]Adubos e corretivos'!I51</f>
        <v>0</v>
      </c>
      <c r="AC148" s="305">
        <f>'[1]Adubos e corretivos'!J51</f>
        <v>0</v>
      </c>
      <c r="AD148" s="305">
        <f>'[1]Adubos e corretivos'!K51</f>
        <v>0</v>
      </c>
      <c r="AE148" s="305">
        <f>'[1]Adubos e corretivos'!L51</f>
        <v>0</v>
      </c>
      <c r="AF148" s="305">
        <f>'[1]Adubos e corretivos'!M51</f>
        <v>0</v>
      </c>
      <c r="AG148" s="305">
        <f>'[1]Adubos e corretivos'!N51</f>
        <v>0</v>
      </c>
      <c r="AH148" s="305">
        <f>'[1]Adubos e corretivos'!O51</f>
        <v>0</v>
      </c>
      <c r="AI148" s="305">
        <f>'[1]Adubos e corretivos'!P51</f>
        <v>0</v>
      </c>
      <c r="AJ148" s="305">
        <f>'[1]Adubos e corretivos'!Q51</f>
        <v>0</v>
      </c>
      <c r="AK148" s="305">
        <f>'[1]Adubos e corretivos'!R51</f>
        <v>0</v>
      </c>
      <c r="AL148" s="305">
        <f>'[1]Adubos e corretivos'!S51</f>
        <v>0</v>
      </c>
      <c r="AM148" s="305">
        <f>'[1]Adubos e corretivos'!T51</f>
        <v>0</v>
      </c>
      <c r="AN148" s="305">
        <f>'[1]Adubos e corretivos'!U51</f>
        <v>0</v>
      </c>
      <c r="AO148" s="305">
        <f>'[1]Adubos e corretivos'!V51</f>
        <v>0</v>
      </c>
    </row>
    <row r="149" spans="11:41" ht="19.5" customHeight="1" x14ac:dyDescent="0.25">
      <c r="U149" s="536"/>
      <c r="V149" s="305">
        <f>'[1]Adubos e corretivos'!C52</f>
        <v>0</v>
      </c>
      <c r="W149" s="305">
        <f>'[1]Adubos e corretivos'!D52</f>
        <v>0</v>
      </c>
      <c r="X149" s="305">
        <f>'[1]Adubos e corretivos'!E52</f>
        <v>0</v>
      </c>
      <c r="Y149" s="305">
        <f>'[1]Adubos e corretivos'!F52</f>
        <v>0</v>
      </c>
      <c r="Z149" s="305">
        <f>'[1]Adubos e corretivos'!G52</f>
        <v>0</v>
      </c>
      <c r="AA149" s="305">
        <f>'[1]Adubos e corretivos'!H52</f>
        <v>0</v>
      </c>
      <c r="AB149" s="305">
        <f>'[1]Adubos e corretivos'!I52</f>
        <v>0</v>
      </c>
      <c r="AC149" s="305">
        <f>'[1]Adubos e corretivos'!J52</f>
        <v>0</v>
      </c>
      <c r="AD149" s="305">
        <f>'[1]Adubos e corretivos'!K52</f>
        <v>0</v>
      </c>
      <c r="AE149" s="305">
        <f>'[1]Adubos e corretivos'!L52</f>
        <v>0</v>
      </c>
      <c r="AF149" s="305">
        <f>'[1]Adubos e corretivos'!M52</f>
        <v>0</v>
      </c>
      <c r="AG149" s="305">
        <f>'[1]Adubos e corretivos'!N52</f>
        <v>0</v>
      </c>
      <c r="AH149" s="305">
        <f>'[1]Adubos e corretivos'!O52</f>
        <v>0</v>
      </c>
      <c r="AI149" s="305">
        <f>'[1]Adubos e corretivos'!P52</f>
        <v>0</v>
      </c>
      <c r="AJ149" s="305">
        <f>'[1]Adubos e corretivos'!Q52</f>
        <v>0</v>
      </c>
      <c r="AK149" s="305">
        <f>'[1]Adubos e corretivos'!R52</f>
        <v>0</v>
      </c>
      <c r="AL149" s="305">
        <f>'[1]Adubos e corretivos'!S52</f>
        <v>0</v>
      </c>
      <c r="AM149" s="305">
        <f>'[1]Adubos e corretivos'!T52</f>
        <v>0</v>
      </c>
      <c r="AN149" s="305">
        <f>'[1]Adubos e corretivos'!U52</f>
        <v>0</v>
      </c>
      <c r="AO149" s="305">
        <f>'[1]Adubos e corretivos'!V52</f>
        <v>0</v>
      </c>
    </row>
    <row r="150" spans="11:41" ht="19.5" customHeight="1" x14ac:dyDescent="0.25">
      <c r="U150" s="536"/>
      <c r="V150" s="305">
        <f>'[1]Adubos e corretivos'!C53</f>
        <v>0</v>
      </c>
      <c r="W150" s="305">
        <f>'[1]Adubos e corretivos'!D53</f>
        <v>0</v>
      </c>
      <c r="X150" s="305">
        <f>'[1]Adubos e corretivos'!E53</f>
        <v>0</v>
      </c>
      <c r="Y150" s="305">
        <f>'[1]Adubos e corretivos'!F53</f>
        <v>0</v>
      </c>
      <c r="Z150" s="305">
        <f>'[1]Adubos e corretivos'!G53</f>
        <v>0</v>
      </c>
      <c r="AA150" s="305">
        <f>'[1]Adubos e corretivos'!H53</f>
        <v>0</v>
      </c>
      <c r="AB150" s="305">
        <f>'[1]Adubos e corretivos'!I53</f>
        <v>0</v>
      </c>
      <c r="AC150" s="305">
        <f>'[1]Adubos e corretivos'!J53</f>
        <v>0</v>
      </c>
      <c r="AD150" s="305">
        <f>'[1]Adubos e corretivos'!K53</f>
        <v>0</v>
      </c>
      <c r="AE150" s="305">
        <f>'[1]Adubos e corretivos'!L53</f>
        <v>0</v>
      </c>
      <c r="AF150" s="305">
        <f>'[1]Adubos e corretivos'!M53</f>
        <v>0</v>
      </c>
      <c r="AG150" s="305">
        <f>'[1]Adubos e corretivos'!N53</f>
        <v>0</v>
      </c>
      <c r="AH150" s="305">
        <f>'[1]Adubos e corretivos'!O53</f>
        <v>0</v>
      </c>
      <c r="AI150" s="305">
        <f>'[1]Adubos e corretivos'!P53</f>
        <v>0</v>
      </c>
      <c r="AJ150" s="305">
        <f>'[1]Adubos e corretivos'!Q53</f>
        <v>0</v>
      </c>
      <c r="AK150" s="305">
        <f>'[1]Adubos e corretivos'!R53</f>
        <v>0</v>
      </c>
      <c r="AL150" s="305">
        <f>'[1]Adubos e corretivos'!S53</f>
        <v>0</v>
      </c>
      <c r="AM150" s="305">
        <f>'[1]Adubos e corretivos'!T53</f>
        <v>0</v>
      </c>
      <c r="AN150" s="305">
        <f>'[1]Adubos e corretivos'!U53</f>
        <v>0</v>
      </c>
      <c r="AO150" s="305">
        <f>'[1]Adubos e corretivos'!V53</f>
        <v>0</v>
      </c>
    </row>
    <row r="151" spans="11:41" ht="19.5" customHeight="1" x14ac:dyDescent="0.25">
      <c r="U151" s="543" t="s">
        <v>150</v>
      </c>
      <c r="V151" s="305" t="str">
        <f>'[1]Adubos e corretivos'!C54</f>
        <v>EkoSil</v>
      </c>
      <c r="W151" s="305">
        <f>'[1]Adubos e corretivos'!D54</f>
        <v>0</v>
      </c>
      <c r="X151" s="305">
        <f>'[1]Adubos e corretivos'!E54</f>
        <v>0</v>
      </c>
      <c r="Y151" s="305">
        <f>'[1]Adubos e corretivos'!F54</f>
        <v>0</v>
      </c>
      <c r="Z151" s="305">
        <f>'[1]Adubos e corretivos'!G54</f>
        <v>0</v>
      </c>
      <c r="AA151" s="305">
        <f>'[1]Adubos e corretivos'!H54</f>
        <v>6.65</v>
      </c>
      <c r="AB151" s="305">
        <f>'[1]Adubos e corretivos'!I54</f>
        <v>8</v>
      </c>
      <c r="AC151" s="305">
        <f>'[1]Adubos e corretivos'!J54</f>
        <v>1.5</v>
      </c>
      <c r="AD151" s="305">
        <f>'[1]Adubos e corretivos'!K54</f>
        <v>0.2</v>
      </c>
      <c r="AE151" s="305">
        <f>'[1]Adubos e corretivos'!L54</f>
        <v>0</v>
      </c>
      <c r="AF151" s="305">
        <f>'[1]Adubos e corretivos'!M54</f>
        <v>6.4999999999999994E-5</v>
      </c>
      <c r="AG151" s="305">
        <f>'[1]Adubos e corretivos'!N54</f>
        <v>6.4999999999999994E-5</v>
      </c>
      <c r="AH151" s="305">
        <f>'[1]Adubos e corretivos'!O54</f>
        <v>1.25E-4</v>
      </c>
      <c r="AI151" s="305">
        <f>'[1]Adubos e corretivos'!P54</f>
        <v>1.4E-5</v>
      </c>
      <c r="AJ151" s="305">
        <f>'[1]Adubos e corretivos'!Q54</f>
        <v>7.9999999999999996E-6</v>
      </c>
      <c r="AK151" s="305">
        <f>'[1]Adubos e corretivos'!R54</f>
        <v>0</v>
      </c>
      <c r="AL151" s="305">
        <f>'[1]Adubos e corretivos'!S54</f>
        <v>54</v>
      </c>
      <c r="AM151" s="305">
        <f>'[1]Adubos e corretivos'!T54</f>
        <v>0</v>
      </c>
      <c r="AN151" s="305">
        <f>'[1]Adubos e corretivos'!U54</f>
        <v>0</v>
      </c>
      <c r="AO151" s="305">
        <f>'[1]Adubos e corretivos'!V54</f>
        <v>0</v>
      </c>
    </row>
    <row r="152" spans="11:41" ht="19.5" customHeight="1" x14ac:dyDescent="0.25">
      <c r="U152" s="543"/>
      <c r="V152" s="305" t="str">
        <f>'[1]Adubos e corretivos'!C55</f>
        <v>FNR Fertipar</v>
      </c>
      <c r="W152" s="305">
        <f>'[1]Adubos e corretivos'!D55</f>
        <v>0</v>
      </c>
      <c r="X152" s="305">
        <f>'[1]Adubos e corretivos'!E55</f>
        <v>0</v>
      </c>
      <c r="Y152" s="305">
        <f>'[1]Adubos e corretivos'!F55</f>
        <v>12.67</v>
      </c>
      <c r="Z152" s="305">
        <f>'[1]Adubos e corretivos'!G55</f>
        <v>29</v>
      </c>
      <c r="AA152" s="305">
        <f>'[1]Adubos e corretivos'!H55</f>
        <v>0</v>
      </c>
      <c r="AB152" s="305">
        <f>'[1]Adubos e corretivos'!I55</f>
        <v>0</v>
      </c>
      <c r="AC152" s="305">
        <f>'[1]Adubos e corretivos'!J55</f>
        <v>0</v>
      </c>
      <c r="AD152" s="305">
        <f>'[1]Adubos e corretivos'!K55</f>
        <v>0</v>
      </c>
      <c r="AE152" s="305">
        <f>'[1]Adubos e corretivos'!L55</f>
        <v>0</v>
      </c>
      <c r="AF152" s="305">
        <f>'[1]Adubos e corretivos'!M55</f>
        <v>0</v>
      </c>
      <c r="AG152" s="305">
        <f>'[1]Adubos e corretivos'!N55</f>
        <v>0</v>
      </c>
      <c r="AH152" s="305">
        <f>'[1]Adubos e corretivos'!O55</f>
        <v>0</v>
      </c>
      <c r="AI152" s="305">
        <f>'[1]Adubos e corretivos'!P55</f>
        <v>0</v>
      </c>
      <c r="AJ152" s="305">
        <f>'[1]Adubos e corretivos'!Q55</f>
        <v>0</v>
      </c>
      <c r="AK152" s="305">
        <f>'[1]Adubos e corretivos'!R55</f>
        <v>0</v>
      </c>
      <c r="AL152" s="305">
        <f>'[1]Adubos e corretivos'!S55</f>
        <v>0</v>
      </c>
      <c r="AM152" s="305">
        <f>'[1]Adubos e corretivos'!T55</f>
        <v>0</v>
      </c>
      <c r="AN152" s="305">
        <f>'[1]Adubos e corretivos'!U55</f>
        <v>0</v>
      </c>
      <c r="AO152" s="305">
        <f>'[1]Adubos e corretivos'!V55</f>
        <v>0</v>
      </c>
    </row>
    <row r="153" spans="11:41" ht="19.5" customHeight="1" x14ac:dyDescent="0.25">
      <c r="U153" s="543"/>
      <c r="V153" s="305" t="str">
        <f>'[1]Adubos e corretivos'!C56</f>
        <v>FNR Heringer</v>
      </c>
      <c r="W153" s="305">
        <f>'[1]Adubos e corretivos'!D56</f>
        <v>0</v>
      </c>
      <c r="X153" s="305">
        <f>'[1]Adubos e corretivos'!E56</f>
        <v>0</v>
      </c>
      <c r="Y153" s="305">
        <f>'[1]Adubos e corretivos'!F56</f>
        <v>13.11</v>
      </c>
      <c r="Z153" s="305">
        <f>'[1]Adubos e corretivos'!G56</f>
        <v>30</v>
      </c>
      <c r="AA153" s="305">
        <f>'[1]Adubos e corretivos'!H56</f>
        <v>0</v>
      </c>
      <c r="AB153" s="305">
        <f>'[1]Adubos e corretivos'!I56</f>
        <v>0</v>
      </c>
      <c r="AC153" s="305">
        <f>'[1]Adubos e corretivos'!J56</f>
        <v>0</v>
      </c>
      <c r="AD153" s="305">
        <f>'[1]Adubos e corretivos'!K56</f>
        <v>0</v>
      </c>
      <c r="AE153" s="305">
        <f>'[1]Adubos e corretivos'!L56</f>
        <v>0</v>
      </c>
      <c r="AF153" s="305">
        <f>'[1]Adubos e corretivos'!M56</f>
        <v>0</v>
      </c>
      <c r="AG153" s="305">
        <f>'[1]Adubos e corretivos'!N56</f>
        <v>0</v>
      </c>
      <c r="AH153" s="305">
        <f>'[1]Adubos e corretivos'!O56</f>
        <v>0</v>
      </c>
      <c r="AI153" s="305">
        <f>'[1]Adubos e corretivos'!P56</f>
        <v>0</v>
      </c>
      <c r="AJ153" s="305">
        <f>'[1]Adubos e corretivos'!Q56</f>
        <v>0</v>
      </c>
      <c r="AK153" s="305">
        <f>'[1]Adubos e corretivos'!R56</f>
        <v>0</v>
      </c>
      <c r="AL153" s="305">
        <f>'[1]Adubos e corretivos'!S56</f>
        <v>0</v>
      </c>
      <c r="AM153" s="305">
        <f>'[1]Adubos e corretivos'!T56</f>
        <v>0</v>
      </c>
      <c r="AN153" s="305">
        <f>'[1]Adubos e corretivos'!U56</f>
        <v>0</v>
      </c>
      <c r="AO153" s="305">
        <f>'[1]Adubos e corretivos'!V56</f>
        <v>0</v>
      </c>
    </row>
    <row r="154" spans="11:41" ht="19.5" customHeight="1" x14ac:dyDescent="0.25">
      <c r="K154" s="215"/>
      <c r="U154" s="543"/>
      <c r="V154" s="305" t="str">
        <f>'[1]Adubos e corretivos'!C57</f>
        <v>FNR Paulivida</v>
      </c>
      <c r="W154" s="305">
        <f>'[1]Adubos e corretivos'!D57</f>
        <v>0</v>
      </c>
      <c r="X154" s="305">
        <f>'[1]Adubos e corretivos'!E57</f>
        <v>0</v>
      </c>
      <c r="Y154" s="305">
        <f>'[1]Adubos e corretivos'!F57</f>
        <v>11.8</v>
      </c>
      <c r="Z154" s="305">
        <f>'[1]Adubos e corretivos'!G57</f>
        <v>27</v>
      </c>
      <c r="AA154" s="305">
        <f>'[1]Adubos e corretivos'!H57</f>
        <v>0</v>
      </c>
      <c r="AB154" s="305">
        <f>'[1]Adubos e corretivos'!I57</f>
        <v>0</v>
      </c>
      <c r="AC154" s="305">
        <f>'[1]Adubos e corretivos'!J57</f>
        <v>0</v>
      </c>
      <c r="AD154" s="305">
        <f>'[1]Adubos e corretivos'!K57</f>
        <v>0</v>
      </c>
      <c r="AE154" s="305">
        <f>'[1]Adubos e corretivos'!L57</f>
        <v>0</v>
      </c>
      <c r="AF154" s="305">
        <f>'[1]Adubos e corretivos'!M57</f>
        <v>0</v>
      </c>
      <c r="AG154" s="305">
        <f>'[1]Adubos e corretivos'!N57</f>
        <v>0</v>
      </c>
      <c r="AH154" s="305">
        <f>'[1]Adubos e corretivos'!O57</f>
        <v>0</v>
      </c>
      <c r="AI154" s="305">
        <f>'[1]Adubos e corretivos'!P57</f>
        <v>0</v>
      </c>
      <c r="AJ154" s="305">
        <f>'[1]Adubos e corretivos'!Q57</f>
        <v>0</v>
      </c>
      <c r="AK154" s="305">
        <f>'[1]Adubos e corretivos'!R57</f>
        <v>0</v>
      </c>
      <c r="AL154" s="305">
        <f>'[1]Adubos e corretivos'!S57</f>
        <v>0</v>
      </c>
      <c r="AM154" s="305">
        <f>'[1]Adubos e corretivos'!T57</f>
        <v>0</v>
      </c>
      <c r="AN154" s="305">
        <f>'[1]Adubos e corretivos'!U57</f>
        <v>0</v>
      </c>
      <c r="AO154" s="305">
        <f>'[1]Adubos e corretivos'!V57</f>
        <v>0</v>
      </c>
    </row>
    <row r="155" spans="11:41" ht="19.5" customHeight="1" x14ac:dyDescent="0.25">
      <c r="K155" s="215"/>
      <c r="U155" s="543"/>
      <c r="V155" s="305" t="str">
        <f>'[1]Adubos e corretivos'!C58</f>
        <v>Agroffos Agronelli</v>
      </c>
      <c r="W155" s="305">
        <f>'[1]Adubos e corretivos'!D58</f>
        <v>0</v>
      </c>
      <c r="X155" s="305">
        <f>'[1]Adubos e corretivos'!E58</f>
        <v>0</v>
      </c>
      <c r="Y155" s="305">
        <f>'[1]Adubos e corretivos'!F58</f>
        <v>6.1150000000000002</v>
      </c>
      <c r="Z155" s="305">
        <f>'[1]Adubos e corretivos'!G58</f>
        <v>14</v>
      </c>
      <c r="AA155" s="305">
        <f>'[1]Adubos e corretivos'!H58</f>
        <v>0</v>
      </c>
      <c r="AB155" s="305">
        <f>'[1]Adubos e corretivos'!I58</f>
        <v>0</v>
      </c>
      <c r="AC155" s="305">
        <f>'[1]Adubos e corretivos'!J58</f>
        <v>0</v>
      </c>
      <c r="AD155" s="305">
        <f>'[1]Adubos e corretivos'!K58</f>
        <v>0</v>
      </c>
      <c r="AE155" s="305">
        <f>'[1]Adubos e corretivos'!L58</f>
        <v>0</v>
      </c>
      <c r="AF155" s="305">
        <f>'[1]Adubos e corretivos'!M58</f>
        <v>0</v>
      </c>
      <c r="AG155" s="305">
        <f>'[1]Adubos e corretivos'!N58</f>
        <v>0</v>
      </c>
      <c r="AH155" s="305">
        <f>'[1]Adubos e corretivos'!O58</f>
        <v>0</v>
      </c>
      <c r="AI155" s="305">
        <f>'[1]Adubos e corretivos'!P58</f>
        <v>0</v>
      </c>
      <c r="AJ155" s="305">
        <f>'[1]Adubos e corretivos'!Q58</f>
        <v>0</v>
      </c>
      <c r="AK155" s="305">
        <f>'[1]Adubos e corretivos'!R58</f>
        <v>0</v>
      </c>
      <c r="AL155" s="305">
        <f>'[1]Adubos e corretivos'!S58</f>
        <v>0</v>
      </c>
      <c r="AM155" s="305">
        <f>'[1]Adubos e corretivos'!T58</f>
        <v>0</v>
      </c>
      <c r="AN155" s="305">
        <f>'[1]Adubos e corretivos'!U58</f>
        <v>0</v>
      </c>
      <c r="AO155" s="305">
        <f>'[1]Adubos e corretivos'!V58</f>
        <v>0</v>
      </c>
    </row>
    <row r="156" spans="11:41" ht="19.5" customHeight="1" x14ac:dyDescent="0.25">
      <c r="K156" s="215"/>
      <c r="U156" s="543"/>
      <c r="V156" s="305" t="str">
        <f>'[1]Adubos e corretivos'!C59</f>
        <v>Suphaphos</v>
      </c>
      <c r="W156" s="305">
        <f>'[1]Adubos e corretivos'!D59</f>
        <v>0</v>
      </c>
      <c r="X156" s="305">
        <f>'[1]Adubos e corretivos'!E59</f>
        <v>0</v>
      </c>
      <c r="Y156" s="305">
        <f>'[1]Adubos e corretivos'!F59</f>
        <v>6.1150000000000002</v>
      </c>
      <c r="Z156" s="305">
        <f>'[1]Adubos e corretivos'!G59</f>
        <v>14</v>
      </c>
      <c r="AA156" s="305">
        <f>'[1]Adubos e corretivos'!H59</f>
        <v>0</v>
      </c>
      <c r="AB156" s="305">
        <f>'[1]Adubos e corretivos'!I59</f>
        <v>0</v>
      </c>
      <c r="AC156" s="305">
        <f>'[1]Adubos e corretivos'!J59</f>
        <v>12</v>
      </c>
      <c r="AD156" s="305">
        <f>'[1]Adubos e corretivos'!K59</f>
        <v>0</v>
      </c>
      <c r="AE156" s="305">
        <f>'[1]Adubos e corretivos'!L59</f>
        <v>0</v>
      </c>
      <c r="AF156" s="305">
        <f>'[1]Adubos e corretivos'!M59</f>
        <v>0</v>
      </c>
      <c r="AG156" s="305">
        <f>'[1]Adubos e corretivos'!N59</f>
        <v>0</v>
      </c>
      <c r="AH156" s="305">
        <f>'[1]Adubos e corretivos'!O59</f>
        <v>0</v>
      </c>
      <c r="AI156" s="305">
        <f>'[1]Adubos e corretivos'!P59</f>
        <v>0</v>
      </c>
      <c r="AJ156" s="305">
        <f>'[1]Adubos e corretivos'!Q59</f>
        <v>0</v>
      </c>
      <c r="AK156" s="305">
        <f>'[1]Adubos e corretivos'!R59</f>
        <v>0</v>
      </c>
      <c r="AL156" s="305">
        <f>'[1]Adubos e corretivos'!S59</f>
        <v>0</v>
      </c>
      <c r="AM156" s="305">
        <f>'[1]Adubos e corretivos'!T59</f>
        <v>0</v>
      </c>
      <c r="AN156" s="305">
        <f>'[1]Adubos e corretivos'!U59</f>
        <v>0</v>
      </c>
      <c r="AO156" s="305">
        <f>'[1]Adubos e corretivos'!V59</f>
        <v>0</v>
      </c>
    </row>
    <row r="157" spans="11:41" ht="19.5" customHeight="1" x14ac:dyDescent="0.25">
      <c r="K157" s="215"/>
      <c r="U157" s="543"/>
      <c r="V157" s="305" t="str">
        <f>'[1]Adubos e corretivos'!C60</f>
        <v>Potomag Nutrisafra</v>
      </c>
      <c r="W157" s="305">
        <f>'[1]Adubos e corretivos'!D60</f>
        <v>0</v>
      </c>
      <c r="X157" s="305">
        <f>'[1]Adubos e corretivos'!E60</f>
        <v>0</v>
      </c>
      <c r="Y157" s="305">
        <f>'[1]Adubos e corretivos'!F60</f>
        <v>0</v>
      </c>
      <c r="Z157" s="305">
        <f>'[1]Adubos e corretivos'!G60</f>
        <v>0</v>
      </c>
      <c r="AA157" s="305">
        <f>'[1]Adubos e corretivos'!H60</f>
        <v>18.27</v>
      </c>
      <c r="AB157" s="305">
        <f>'[1]Adubos e corretivos'!I60</f>
        <v>22</v>
      </c>
      <c r="AC157" s="305">
        <f>'[1]Adubos e corretivos'!J60</f>
        <v>0</v>
      </c>
      <c r="AD157" s="305">
        <f>'[1]Adubos e corretivos'!K60</f>
        <v>11</v>
      </c>
      <c r="AE157" s="305">
        <f>'[1]Adubos e corretivos'!L60</f>
        <v>22</v>
      </c>
      <c r="AF157" s="305">
        <f>'[1]Adubos e corretivos'!M60</f>
        <v>0</v>
      </c>
      <c r="AG157" s="305">
        <f>'[1]Adubos e corretivos'!N60</f>
        <v>0</v>
      </c>
      <c r="AH157" s="305">
        <f>'[1]Adubos e corretivos'!O60</f>
        <v>0</v>
      </c>
      <c r="AI157" s="305">
        <f>'[1]Adubos e corretivos'!P60</f>
        <v>0</v>
      </c>
      <c r="AJ157" s="305">
        <f>'[1]Adubos e corretivos'!Q60</f>
        <v>0</v>
      </c>
      <c r="AK157" s="305">
        <f>'[1]Adubos e corretivos'!R60</f>
        <v>0</v>
      </c>
      <c r="AL157" s="305">
        <f>'[1]Adubos e corretivos'!S60</f>
        <v>0</v>
      </c>
      <c r="AM157" s="305">
        <f>'[1]Adubos e corretivos'!T60</f>
        <v>0</v>
      </c>
      <c r="AN157" s="305">
        <f>'[1]Adubos e corretivos'!U60</f>
        <v>0</v>
      </c>
      <c r="AO157" s="305">
        <f>'[1]Adubos e corretivos'!V60</f>
        <v>0</v>
      </c>
    </row>
    <row r="158" spans="11:41" ht="19.5" customHeight="1" x14ac:dyDescent="0.25">
      <c r="K158" s="215"/>
      <c r="L158" s="215"/>
      <c r="U158" s="543"/>
      <c r="V158" s="305">
        <f>'[1]Adubos e corretivos'!C61</f>
        <v>0</v>
      </c>
      <c r="W158" s="305">
        <f>'[1]Adubos e corretivos'!D61</f>
        <v>0</v>
      </c>
      <c r="X158" s="305">
        <f>'[1]Adubos e corretivos'!E61</f>
        <v>0</v>
      </c>
      <c r="Y158" s="305">
        <f>'[1]Adubos e corretivos'!F61</f>
        <v>0</v>
      </c>
      <c r="Z158" s="305">
        <f>'[1]Adubos e corretivos'!G61</f>
        <v>0</v>
      </c>
      <c r="AA158" s="305">
        <f>'[1]Adubos e corretivos'!H61</f>
        <v>0</v>
      </c>
      <c r="AB158" s="305">
        <f>'[1]Adubos e corretivos'!I61</f>
        <v>0</v>
      </c>
      <c r="AC158" s="305">
        <f>'[1]Adubos e corretivos'!J61</f>
        <v>0</v>
      </c>
      <c r="AD158" s="305">
        <f>'[1]Adubos e corretivos'!K61</f>
        <v>0</v>
      </c>
      <c r="AE158" s="305">
        <f>'[1]Adubos e corretivos'!L61</f>
        <v>0</v>
      </c>
      <c r="AF158" s="305">
        <f>'[1]Adubos e corretivos'!M61</f>
        <v>0</v>
      </c>
      <c r="AG158" s="305">
        <f>'[1]Adubos e corretivos'!N61</f>
        <v>0</v>
      </c>
      <c r="AH158" s="305">
        <f>'[1]Adubos e corretivos'!O61</f>
        <v>0</v>
      </c>
      <c r="AI158" s="305">
        <f>'[1]Adubos e corretivos'!P61</f>
        <v>0</v>
      </c>
      <c r="AJ158" s="305">
        <f>'[1]Adubos e corretivos'!Q61</f>
        <v>0</v>
      </c>
      <c r="AK158" s="305">
        <f>'[1]Adubos e corretivos'!R61</f>
        <v>0</v>
      </c>
      <c r="AL158" s="305">
        <f>'[1]Adubos e corretivos'!S61</f>
        <v>0</v>
      </c>
      <c r="AM158" s="305">
        <f>'[1]Adubos e corretivos'!T61</f>
        <v>0</v>
      </c>
      <c r="AN158" s="305">
        <f>'[1]Adubos e corretivos'!U61</f>
        <v>0</v>
      </c>
      <c r="AO158" s="305">
        <f>'[1]Adubos e corretivos'!V61</f>
        <v>0</v>
      </c>
    </row>
    <row r="159" spans="11:41" ht="19.5" customHeight="1" x14ac:dyDescent="0.25">
      <c r="K159" s="215"/>
      <c r="L159" s="215"/>
      <c r="U159" s="543"/>
      <c r="V159" s="305">
        <f>'[1]Adubos e corretivos'!C62</f>
        <v>0</v>
      </c>
      <c r="W159" s="305">
        <f>'[1]Adubos e corretivos'!D62</f>
        <v>0</v>
      </c>
      <c r="X159" s="305">
        <f>'[1]Adubos e corretivos'!E62</f>
        <v>0</v>
      </c>
      <c r="Y159" s="305">
        <f>'[1]Adubos e corretivos'!F62</f>
        <v>0</v>
      </c>
      <c r="Z159" s="305">
        <f>'[1]Adubos e corretivos'!G62</f>
        <v>0</v>
      </c>
      <c r="AA159" s="305">
        <f>'[1]Adubos e corretivos'!H62</f>
        <v>0</v>
      </c>
      <c r="AB159" s="305">
        <f>'[1]Adubos e corretivos'!I62</f>
        <v>0</v>
      </c>
      <c r="AC159" s="305">
        <f>'[1]Adubos e corretivos'!J62</f>
        <v>0</v>
      </c>
      <c r="AD159" s="305">
        <f>'[1]Adubos e corretivos'!K62</f>
        <v>0</v>
      </c>
      <c r="AE159" s="305">
        <f>'[1]Adubos e corretivos'!L62</f>
        <v>0</v>
      </c>
      <c r="AF159" s="305">
        <f>'[1]Adubos e corretivos'!M62</f>
        <v>0</v>
      </c>
      <c r="AG159" s="305">
        <f>'[1]Adubos e corretivos'!N62</f>
        <v>0</v>
      </c>
      <c r="AH159" s="305">
        <f>'[1]Adubos e corretivos'!O62</f>
        <v>0</v>
      </c>
      <c r="AI159" s="305">
        <f>'[1]Adubos e corretivos'!P62</f>
        <v>0</v>
      </c>
      <c r="AJ159" s="305">
        <f>'[1]Adubos e corretivos'!Q62</f>
        <v>0</v>
      </c>
      <c r="AK159" s="305">
        <f>'[1]Adubos e corretivos'!R62</f>
        <v>0</v>
      </c>
      <c r="AL159" s="305">
        <f>'[1]Adubos e corretivos'!S62</f>
        <v>0</v>
      </c>
      <c r="AM159" s="305">
        <f>'[1]Adubos e corretivos'!T62</f>
        <v>0</v>
      </c>
      <c r="AN159" s="305">
        <f>'[1]Adubos e corretivos'!U62</f>
        <v>0</v>
      </c>
      <c r="AO159" s="305">
        <f>'[1]Adubos e corretivos'!V62</f>
        <v>0</v>
      </c>
    </row>
    <row r="160" spans="11:41" ht="19.5" customHeight="1" x14ac:dyDescent="0.25">
      <c r="K160" s="215"/>
      <c r="L160" s="215"/>
      <c r="U160" s="544" t="s">
        <v>283</v>
      </c>
      <c r="V160" s="305" t="str">
        <f>'[1]Adubos e corretivos'!C63</f>
        <v>Micaxisto</v>
      </c>
      <c r="W160" s="305">
        <f>'[1]Adubos e corretivos'!D63</f>
        <v>0.12</v>
      </c>
      <c r="X160" s="305">
        <f>'[1]Adubos e corretivos'!E63</f>
        <v>0</v>
      </c>
      <c r="Y160" s="305">
        <f>'[1]Adubos e corretivos'!F63</f>
        <v>4.4999999999999998E-2</v>
      </c>
      <c r="Z160" s="305">
        <f>'[1]Adubos e corretivos'!G63</f>
        <v>0.1</v>
      </c>
      <c r="AA160" s="305">
        <f>'[1]Adubos e corretivos'!H63</f>
        <v>4.32</v>
      </c>
      <c r="AB160" s="305">
        <f>'[1]Adubos e corretivos'!I63</f>
        <v>5.2</v>
      </c>
      <c r="AC160" s="305">
        <f>'[1]Adubos e corretivos'!J63</f>
        <v>1.2587412587412588</v>
      </c>
      <c r="AD160" s="305">
        <f>'[1]Adubos e corretivos'!K63</f>
        <v>1.1627906976744187</v>
      </c>
      <c r="AE160" s="305">
        <f>'[1]Adubos e corretivos'!L63</f>
        <v>0</v>
      </c>
      <c r="AF160" s="305">
        <f>'[1]Adubos e corretivos'!M63</f>
        <v>0</v>
      </c>
      <c r="AG160" s="305">
        <f>'[1]Adubos e corretivos'!N63</f>
        <v>0</v>
      </c>
      <c r="AH160" s="305">
        <f>'[1]Adubos e corretivos'!O63</f>
        <v>0</v>
      </c>
      <c r="AI160" s="305">
        <f>'[1]Adubos e corretivos'!P63</f>
        <v>0</v>
      </c>
      <c r="AJ160" s="305">
        <f>'[1]Adubos e corretivos'!Q63</f>
        <v>0</v>
      </c>
      <c r="AK160" s="305">
        <f>'[1]Adubos e corretivos'!R63</f>
        <v>0</v>
      </c>
      <c r="AL160" s="305">
        <f>'[1]Adubos e corretivos'!S63</f>
        <v>0</v>
      </c>
      <c r="AM160" s="305">
        <f>'[1]Adubos e corretivos'!T63</f>
        <v>0</v>
      </c>
      <c r="AN160" s="305">
        <f>'[1]Adubos e corretivos'!U63</f>
        <v>0</v>
      </c>
      <c r="AO160" s="305">
        <f>'[1]Adubos e corretivos'!V63</f>
        <v>0</v>
      </c>
    </row>
    <row r="161" spans="11:44" ht="19.5" customHeight="1" x14ac:dyDescent="0.25">
      <c r="K161" s="215"/>
      <c r="L161" s="215"/>
      <c r="U161" s="544"/>
      <c r="V161" s="305" t="str">
        <f>'[1]Adubos e corretivos'!C64</f>
        <v xml:space="preserve"> Remax Mistel</v>
      </c>
      <c r="W161" s="305">
        <f>'[1]Adubos e corretivos'!D64</f>
        <v>0</v>
      </c>
      <c r="X161" s="305">
        <f>'[1]Adubos e corretivos'!E64</f>
        <v>0</v>
      </c>
      <c r="Y161" s="305">
        <f>'[1]Adubos e corretivos'!F64</f>
        <v>4.4999999999999998E-2</v>
      </c>
      <c r="Z161" s="305">
        <f>'[1]Adubos e corretivos'!G64</f>
        <v>0.1</v>
      </c>
      <c r="AA161" s="305">
        <f>'[1]Adubos e corretivos'!H64</f>
        <v>2.1949999999999998</v>
      </c>
      <c r="AB161" s="305">
        <f>'[1]Adubos e corretivos'!I64</f>
        <v>2.6</v>
      </c>
      <c r="AC161" s="305">
        <f>'[1]Adubos e corretivos'!J64</f>
        <v>18.741258741258743</v>
      </c>
      <c r="AD161" s="305">
        <f>'[1]Adubos e corretivos'!K64</f>
        <v>12.44186046511628</v>
      </c>
      <c r="AE161" s="305">
        <f>'[1]Adubos e corretivos'!L64</f>
        <v>0</v>
      </c>
      <c r="AF161" s="305">
        <f>'[1]Adubos e corretivos'!M64</f>
        <v>0</v>
      </c>
      <c r="AG161" s="305">
        <f>'[1]Adubos e corretivos'!N64</f>
        <v>0</v>
      </c>
      <c r="AH161" s="305">
        <f>'[1]Adubos e corretivos'!O64</f>
        <v>0</v>
      </c>
      <c r="AI161" s="305">
        <f>'[1]Adubos e corretivos'!P64</f>
        <v>0</v>
      </c>
      <c r="AJ161" s="305">
        <f>'[1]Adubos e corretivos'!Q64</f>
        <v>0</v>
      </c>
      <c r="AK161" s="305">
        <f>'[1]Adubos e corretivos'!R64</f>
        <v>0</v>
      </c>
      <c r="AL161" s="305">
        <f>'[1]Adubos e corretivos'!S64</f>
        <v>43.8</v>
      </c>
      <c r="AM161" s="305">
        <f>'[1]Adubos e corretivos'!T64</f>
        <v>0</v>
      </c>
      <c r="AN161" s="305">
        <f>'[1]Adubos e corretivos'!U64</f>
        <v>0</v>
      </c>
      <c r="AO161" s="305">
        <f>'[1]Adubos e corretivos'!V64</f>
        <v>0</v>
      </c>
    </row>
    <row r="162" spans="11:44" ht="19.5" customHeight="1" x14ac:dyDescent="0.25">
      <c r="K162" s="215"/>
      <c r="L162" s="215"/>
      <c r="U162" s="544"/>
      <c r="V162" s="305" t="str">
        <f>'[1]Adubos e corretivos'!C65</f>
        <v>Pó de brita Fmx</v>
      </c>
      <c r="W162" s="305">
        <f>'[1]Adubos e corretivos'!D65</f>
        <v>0</v>
      </c>
      <c r="X162" s="305">
        <f>'[1]Adubos e corretivos'!E65</f>
        <v>0</v>
      </c>
      <c r="Y162" s="305">
        <f>'[1]Adubos e corretivos'!F65</f>
        <v>0</v>
      </c>
      <c r="Z162" s="305">
        <f>'[1]Adubos e corretivos'!G65</f>
        <v>0</v>
      </c>
      <c r="AA162" s="305">
        <f>'[1]Adubos e corretivos'!H65</f>
        <v>4.99</v>
      </c>
      <c r="AB162" s="305">
        <f>'[1]Adubos e corretivos'!I65</f>
        <v>6</v>
      </c>
      <c r="AC162" s="305">
        <f>'[1]Adubos e corretivos'!J65</f>
        <v>4.1958041958041958</v>
      </c>
      <c r="AD162" s="305">
        <f>'[1]Adubos e corretivos'!K65</f>
        <v>0.83056478405315615</v>
      </c>
      <c r="AE162" s="305">
        <f>'[1]Adubos e corretivos'!L65</f>
        <v>0</v>
      </c>
      <c r="AF162" s="305">
        <f>'[1]Adubos e corretivos'!M65</f>
        <v>0</v>
      </c>
      <c r="AG162" s="305">
        <f>'[1]Adubos e corretivos'!N65</f>
        <v>0</v>
      </c>
      <c r="AH162" s="305">
        <f>'[1]Adubos e corretivos'!O65</f>
        <v>0</v>
      </c>
      <c r="AI162" s="305">
        <f>'[1]Adubos e corretivos'!P65</f>
        <v>0</v>
      </c>
      <c r="AJ162" s="305">
        <f>'[1]Adubos e corretivos'!Q65</f>
        <v>0</v>
      </c>
      <c r="AK162" s="305">
        <f>'[1]Adubos e corretivos'!R65</f>
        <v>0</v>
      </c>
      <c r="AL162" s="305">
        <f>'[1]Adubos e corretivos'!S65</f>
        <v>0</v>
      </c>
      <c r="AM162" s="305">
        <f>'[1]Adubos e corretivos'!T65</f>
        <v>0</v>
      </c>
      <c r="AN162" s="305">
        <f>'[1]Adubos e corretivos'!U65</f>
        <v>0</v>
      </c>
      <c r="AO162" s="305">
        <f>'[1]Adubos e corretivos'!V65</f>
        <v>0</v>
      </c>
    </row>
    <row r="163" spans="11:44" ht="19.5" customHeight="1" x14ac:dyDescent="0.25">
      <c r="K163" s="215"/>
      <c r="L163" s="215"/>
      <c r="U163" s="544"/>
      <c r="V163" s="305" t="str">
        <f>'[1]Adubos e corretivos'!C66</f>
        <v>Biotita Xisto</v>
      </c>
      <c r="W163" s="305">
        <f>'[1]Adubos e corretivos'!D66</f>
        <v>0</v>
      </c>
      <c r="X163" s="305">
        <f>'[1]Adubos e corretivos'!E66</f>
        <v>0</v>
      </c>
      <c r="Y163" s="305">
        <f>'[1]Adubos e corretivos'!F66</f>
        <v>8.7999999999999995E-2</v>
      </c>
      <c r="Z163" s="305">
        <f>'[1]Adubos e corretivos'!G66</f>
        <v>0.2</v>
      </c>
      <c r="AA163" s="305">
        <f>'[1]Adubos e corretivos'!H66</f>
        <v>2.83</v>
      </c>
      <c r="AB163" s="305">
        <f>'[1]Adubos e corretivos'!I66</f>
        <v>3.4</v>
      </c>
      <c r="AC163" s="305">
        <f>'[1]Adubos e corretivos'!J66</f>
        <v>2.5174825174825175</v>
      </c>
      <c r="AD163" s="305">
        <f>'[1]Adubos e corretivos'!K66</f>
        <v>7.6411960132890364</v>
      </c>
      <c r="AE163" s="305">
        <f>'[1]Adubos e corretivos'!L66</f>
        <v>0</v>
      </c>
      <c r="AF163" s="305">
        <f>'[1]Adubos e corretivos'!M66</f>
        <v>0</v>
      </c>
      <c r="AG163" s="305">
        <f>'[1]Adubos e corretivos'!N66</f>
        <v>0</v>
      </c>
      <c r="AH163" s="305">
        <f>'[1]Adubos e corretivos'!O66</f>
        <v>0</v>
      </c>
      <c r="AI163" s="305">
        <f>'[1]Adubos e corretivos'!P66</f>
        <v>0</v>
      </c>
      <c r="AJ163" s="305">
        <f>'[1]Adubos e corretivos'!Q66</f>
        <v>0</v>
      </c>
      <c r="AK163" s="305">
        <f>'[1]Adubos e corretivos'!R66</f>
        <v>0</v>
      </c>
      <c r="AL163" s="305">
        <f>'[1]Adubos e corretivos'!S66</f>
        <v>57.8</v>
      </c>
      <c r="AM163" s="305">
        <f>'[1]Adubos e corretivos'!T66</f>
        <v>0</v>
      </c>
      <c r="AN163" s="305">
        <f>'[1]Adubos e corretivos'!U66</f>
        <v>0</v>
      </c>
      <c r="AO163" s="305">
        <f>'[1]Adubos e corretivos'!V66</f>
        <v>0</v>
      </c>
    </row>
    <row r="164" spans="11:44" ht="19.5" customHeight="1" x14ac:dyDescent="0.25">
      <c r="K164" s="215"/>
      <c r="L164" s="215"/>
      <c r="U164" s="544"/>
      <c r="V164" s="305" t="str">
        <f>'[1]Adubos e corretivos'!C67</f>
        <v>Kamafugito</v>
      </c>
      <c r="W164" s="305">
        <f>'[1]Adubos e corretivos'!D67</f>
        <v>0</v>
      </c>
      <c r="X164" s="305">
        <f>'[1]Adubos e corretivos'!E67</f>
        <v>0</v>
      </c>
      <c r="Y164" s="305">
        <f>'[1]Adubos e corretivos'!F67</f>
        <v>1.5069999999999999</v>
      </c>
      <c r="Z164" s="305">
        <f>'[1]Adubos e corretivos'!G67</f>
        <v>3.5</v>
      </c>
      <c r="AA164" s="305">
        <f>'[1]Adubos e corretivos'!H67</f>
        <v>3.3250000000000002</v>
      </c>
      <c r="AB164" s="305">
        <f>'[1]Adubos e corretivos'!I67</f>
        <v>4</v>
      </c>
      <c r="AC164" s="305">
        <f>'[1]Adubos e corretivos'!J67</f>
        <v>2.86</v>
      </c>
      <c r="AD164" s="305">
        <f>'[1]Adubos e corretivos'!K67</f>
        <v>0</v>
      </c>
      <c r="AE164" s="305">
        <f>'[1]Adubos e corretivos'!L67</f>
        <v>0</v>
      </c>
      <c r="AF164" s="305">
        <f>'[1]Adubos e corretivos'!M67</f>
        <v>0</v>
      </c>
      <c r="AG164" s="305">
        <f>'[1]Adubos e corretivos'!N67</f>
        <v>0</v>
      </c>
      <c r="AH164" s="305">
        <f>'[1]Adubos e corretivos'!O67</f>
        <v>0</v>
      </c>
      <c r="AI164" s="305">
        <f>'[1]Adubos e corretivos'!P67</f>
        <v>0</v>
      </c>
      <c r="AJ164" s="305">
        <f>'[1]Adubos e corretivos'!Q67</f>
        <v>0</v>
      </c>
      <c r="AK164" s="305">
        <f>'[1]Adubos e corretivos'!R67</f>
        <v>0</v>
      </c>
      <c r="AL164" s="305">
        <f>'[1]Adubos e corretivos'!S67</f>
        <v>0</v>
      </c>
      <c r="AM164" s="305">
        <f>'[1]Adubos e corretivos'!T67</f>
        <v>0</v>
      </c>
      <c r="AN164" s="305">
        <f>'[1]Adubos e corretivos'!U67</f>
        <v>0</v>
      </c>
      <c r="AO164" s="305">
        <f>'[1]Adubos e corretivos'!V67</f>
        <v>0</v>
      </c>
    </row>
    <row r="165" spans="11:44" ht="19.5" customHeight="1" x14ac:dyDescent="0.25">
      <c r="K165" s="215"/>
      <c r="L165" s="215"/>
      <c r="U165" s="544"/>
      <c r="V165" s="305">
        <f>'[1]Adubos e corretivos'!C68</f>
        <v>0</v>
      </c>
      <c r="W165" s="305">
        <f>'[1]Adubos e corretivos'!D68</f>
        <v>0</v>
      </c>
      <c r="X165" s="305">
        <f>'[1]Adubos e corretivos'!E68</f>
        <v>0</v>
      </c>
      <c r="Y165" s="305">
        <f>'[1]Adubos e corretivos'!F68</f>
        <v>0</v>
      </c>
      <c r="Z165" s="305">
        <f>'[1]Adubos e corretivos'!G68</f>
        <v>0</v>
      </c>
      <c r="AA165" s="305">
        <f>'[1]Adubos e corretivos'!H68</f>
        <v>0</v>
      </c>
      <c r="AB165" s="305">
        <f>'[1]Adubos e corretivos'!I68</f>
        <v>0</v>
      </c>
      <c r="AC165" s="305">
        <f>'[1]Adubos e corretivos'!J68</f>
        <v>0</v>
      </c>
      <c r="AD165" s="305">
        <f>'[1]Adubos e corretivos'!K68</f>
        <v>0</v>
      </c>
      <c r="AE165" s="305">
        <f>'[1]Adubos e corretivos'!L68</f>
        <v>0</v>
      </c>
      <c r="AF165" s="305">
        <f>'[1]Adubos e corretivos'!M68</f>
        <v>0</v>
      </c>
      <c r="AG165" s="305">
        <f>'[1]Adubos e corretivos'!N68</f>
        <v>0</v>
      </c>
      <c r="AH165" s="305">
        <f>'[1]Adubos e corretivos'!O68</f>
        <v>0</v>
      </c>
      <c r="AI165" s="305">
        <f>'[1]Adubos e corretivos'!P68</f>
        <v>0</v>
      </c>
      <c r="AJ165" s="305">
        <f>'[1]Adubos e corretivos'!Q68</f>
        <v>0</v>
      </c>
      <c r="AK165" s="305">
        <f>'[1]Adubos e corretivos'!R68</f>
        <v>0</v>
      </c>
      <c r="AL165" s="305">
        <f>'[1]Adubos e corretivos'!S68</f>
        <v>0</v>
      </c>
      <c r="AM165" s="305">
        <f>'[1]Adubos e corretivos'!T68</f>
        <v>0</v>
      </c>
      <c r="AN165" s="305">
        <f>'[1]Adubos e corretivos'!U68</f>
        <v>0</v>
      </c>
      <c r="AO165" s="305">
        <f>'[1]Adubos e corretivos'!V68</f>
        <v>0</v>
      </c>
    </row>
    <row r="166" spans="11:44" ht="19.5" customHeight="1" x14ac:dyDescent="0.25">
      <c r="K166" s="215"/>
      <c r="L166" s="215"/>
      <c r="U166" s="544"/>
      <c r="V166" s="305">
        <f>'[1]Adubos e corretivos'!C69</f>
        <v>0</v>
      </c>
      <c r="W166" s="305">
        <f>'[1]Adubos e corretivos'!D69</f>
        <v>0</v>
      </c>
      <c r="X166" s="305">
        <f>'[1]Adubos e corretivos'!E69</f>
        <v>0</v>
      </c>
      <c r="Y166" s="305">
        <f>'[1]Adubos e corretivos'!F69</f>
        <v>0</v>
      </c>
      <c r="Z166" s="305">
        <f>'[1]Adubos e corretivos'!G69</f>
        <v>0</v>
      </c>
      <c r="AA166" s="305">
        <f>'[1]Adubos e corretivos'!H69</f>
        <v>0</v>
      </c>
      <c r="AB166" s="305">
        <f>'[1]Adubos e corretivos'!I69</f>
        <v>0</v>
      </c>
      <c r="AC166" s="305">
        <f>'[1]Adubos e corretivos'!J69</f>
        <v>0</v>
      </c>
      <c r="AD166" s="305">
        <f>'[1]Adubos e corretivos'!K69</f>
        <v>0</v>
      </c>
      <c r="AE166" s="305">
        <f>'[1]Adubos e corretivos'!L69</f>
        <v>0</v>
      </c>
      <c r="AF166" s="305">
        <f>'[1]Adubos e corretivos'!M69</f>
        <v>0</v>
      </c>
      <c r="AG166" s="305">
        <f>'[1]Adubos e corretivos'!N69</f>
        <v>0</v>
      </c>
      <c r="AH166" s="305">
        <f>'[1]Adubos e corretivos'!O69</f>
        <v>0</v>
      </c>
      <c r="AI166" s="305">
        <f>'[1]Adubos e corretivos'!P69</f>
        <v>0</v>
      </c>
      <c r="AJ166" s="305">
        <f>'[1]Adubos e corretivos'!Q69</f>
        <v>0</v>
      </c>
      <c r="AK166" s="305">
        <f>'[1]Adubos e corretivos'!R69</f>
        <v>0</v>
      </c>
      <c r="AL166" s="305">
        <f>'[1]Adubos e corretivos'!S69</f>
        <v>0</v>
      </c>
      <c r="AM166" s="305">
        <f>'[1]Adubos e corretivos'!T69</f>
        <v>0</v>
      </c>
      <c r="AN166" s="305">
        <f>'[1]Adubos e corretivos'!U69</f>
        <v>0</v>
      </c>
      <c r="AO166" s="305">
        <f>'[1]Adubos e corretivos'!V69</f>
        <v>0</v>
      </c>
    </row>
    <row r="167" spans="11:44" ht="19.5" customHeight="1" x14ac:dyDescent="0.25">
      <c r="K167" s="215"/>
      <c r="L167" s="215"/>
      <c r="U167" s="544"/>
      <c r="V167" s="305">
        <f>'[1]Adubos e corretivos'!C70</f>
        <v>0</v>
      </c>
      <c r="W167" s="305">
        <f>'[1]Adubos e corretivos'!D70</f>
        <v>0</v>
      </c>
      <c r="X167" s="305">
        <f>'[1]Adubos e corretivos'!E70</f>
        <v>0</v>
      </c>
      <c r="Y167" s="305">
        <f>'[1]Adubos e corretivos'!F70</f>
        <v>0</v>
      </c>
      <c r="Z167" s="305">
        <f>'[1]Adubos e corretivos'!G70</f>
        <v>0</v>
      </c>
      <c r="AA167" s="305">
        <f>'[1]Adubos e corretivos'!H70</f>
        <v>0</v>
      </c>
      <c r="AB167" s="305">
        <f>'[1]Adubos e corretivos'!I70</f>
        <v>0</v>
      </c>
      <c r="AC167" s="305">
        <f>'[1]Adubos e corretivos'!J70</f>
        <v>0</v>
      </c>
      <c r="AD167" s="305">
        <f>'[1]Adubos e corretivos'!K70</f>
        <v>0</v>
      </c>
      <c r="AE167" s="305">
        <f>'[1]Adubos e corretivos'!L70</f>
        <v>0</v>
      </c>
      <c r="AF167" s="305">
        <f>'[1]Adubos e corretivos'!M70</f>
        <v>0</v>
      </c>
      <c r="AG167" s="305">
        <f>'[1]Adubos e corretivos'!N70</f>
        <v>0</v>
      </c>
      <c r="AH167" s="305">
        <f>'[1]Adubos e corretivos'!O70</f>
        <v>0</v>
      </c>
      <c r="AI167" s="305">
        <f>'[1]Adubos e corretivos'!P70</f>
        <v>0</v>
      </c>
      <c r="AJ167" s="305">
        <f>'[1]Adubos e corretivos'!Q70</f>
        <v>0</v>
      </c>
      <c r="AK167" s="305">
        <f>'[1]Adubos e corretivos'!R70</f>
        <v>0</v>
      </c>
      <c r="AL167" s="305">
        <f>'[1]Adubos e corretivos'!S70</f>
        <v>0</v>
      </c>
      <c r="AM167" s="305">
        <f>'[1]Adubos e corretivos'!T70</f>
        <v>0</v>
      </c>
      <c r="AN167" s="305">
        <f>'[1]Adubos e corretivos'!U70</f>
        <v>0</v>
      </c>
      <c r="AO167" s="305">
        <f>'[1]Adubos e corretivos'!V70</f>
        <v>0</v>
      </c>
    </row>
    <row r="168" spans="11:44" ht="19.5" customHeight="1" x14ac:dyDescent="0.25">
      <c r="K168" s="215"/>
      <c r="L168" s="215"/>
      <c r="U168" s="544"/>
      <c r="V168" s="305">
        <f>'[1]Adubos e corretivos'!C71</f>
        <v>0</v>
      </c>
      <c r="W168" s="305">
        <f>'[1]Adubos e corretivos'!D71</f>
        <v>0</v>
      </c>
      <c r="X168" s="305">
        <f>'[1]Adubos e corretivos'!E71</f>
        <v>0</v>
      </c>
      <c r="Y168" s="305">
        <f>'[1]Adubos e corretivos'!F71</f>
        <v>0</v>
      </c>
      <c r="Z168" s="305">
        <f>'[1]Adubos e corretivos'!G71</f>
        <v>0</v>
      </c>
      <c r="AA168" s="305">
        <f>'[1]Adubos e corretivos'!H71</f>
        <v>0</v>
      </c>
      <c r="AB168" s="305">
        <f>'[1]Adubos e corretivos'!I71</f>
        <v>0</v>
      </c>
      <c r="AC168" s="305">
        <f>'[1]Adubos e corretivos'!J71</f>
        <v>0</v>
      </c>
      <c r="AD168" s="305">
        <f>'[1]Adubos e corretivos'!K71</f>
        <v>0</v>
      </c>
      <c r="AE168" s="305">
        <f>'[1]Adubos e corretivos'!L71</f>
        <v>0</v>
      </c>
      <c r="AF168" s="305">
        <f>'[1]Adubos e corretivos'!M71</f>
        <v>0</v>
      </c>
      <c r="AG168" s="305">
        <f>'[1]Adubos e corretivos'!N71</f>
        <v>0</v>
      </c>
      <c r="AH168" s="305">
        <f>'[1]Adubos e corretivos'!O71</f>
        <v>0</v>
      </c>
      <c r="AI168" s="305">
        <f>'[1]Adubos e corretivos'!P71</f>
        <v>0</v>
      </c>
      <c r="AJ168" s="305">
        <f>'[1]Adubos e corretivos'!Q71</f>
        <v>0</v>
      </c>
      <c r="AK168" s="305">
        <f>'[1]Adubos e corretivos'!R71</f>
        <v>0</v>
      </c>
      <c r="AL168" s="305">
        <f>'[1]Adubos e corretivos'!S71</f>
        <v>0</v>
      </c>
      <c r="AM168" s="305">
        <f>'[1]Adubos e corretivos'!T71</f>
        <v>0</v>
      </c>
      <c r="AN168" s="305">
        <f>'[1]Adubos e corretivos'!U71</f>
        <v>0</v>
      </c>
      <c r="AO168" s="305">
        <f>'[1]Adubos e corretivos'!V71</f>
        <v>0</v>
      </c>
    </row>
    <row r="169" spans="11:44" ht="19.5" customHeight="1" x14ac:dyDescent="0.25">
      <c r="K169" s="215"/>
      <c r="L169" s="215"/>
      <c r="U169" s="544"/>
      <c r="V169" s="305">
        <f>'[1]Adubos e corretivos'!C72</f>
        <v>0</v>
      </c>
      <c r="W169" s="305">
        <f>'[1]Adubos e corretivos'!D72</f>
        <v>0</v>
      </c>
      <c r="X169" s="305">
        <f>'[1]Adubos e corretivos'!E72</f>
        <v>0</v>
      </c>
      <c r="Y169" s="305">
        <f>'[1]Adubos e corretivos'!F72</f>
        <v>0</v>
      </c>
      <c r="Z169" s="305">
        <f>'[1]Adubos e corretivos'!G72</f>
        <v>0</v>
      </c>
      <c r="AA169" s="305">
        <f>'[1]Adubos e corretivos'!H72</f>
        <v>0</v>
      </c>
      <c r="AB169" s="305">
        <f>'[1]Adubos e corretivos'!I72</f>
        <v>0</v>
      </c>
      <c r="AC169" s="305">
        <f>'[1]Adubos e corretivos'!J72</f>
        <v>0</v>
      </c>
      <c r="AD169" s="305">
        <f>'[1]Adubos e corretivos'!K72</f>
        <v>0</v>
      </c>
      <c r="AE169" s="305">
        <f>'[1]Adubos e corretivos'!L72</f>
        <v>0</v>
      </c>
      <c r="AF169" s="305">
        <f>'[1]Adubos e corretivos'!M72</f>
        <v>0</v>
      </c>
      <c r="AG169" s="305">
        <f>'[1]Adubos e corretivos'!N72</f>
        <v>0</v>
      </c>
      <c r="AH169" s="305">
        <f>'[1]Adubos e corretivos'!O72</f>
        <v>0</v>
      </c>
      <c r="AI169" s="305">
        <f>'[1]Adubos e corretivos'!P72</f>
        <v>0</v>
      </c>
      <c r="AJ169" s="305">
        <f>'[1]Adubos e corretivos'!Q72</f>
        <v>0</v>
      </c>
      <c r="AK169" s="305">
        <f>'[1]Adubos e corretivos'!R72</f>
        <v>0</v>
      </c>
      <c r="AL169" s="305">
        <f>'[1]Adubos e corretivos'!S72</f>
        <v>0</v>
      </c>
      <c r="AM169" s="305">
        <f>'[1]Adubos e corretivos'!T72</f>
        <v>0</v>
      </c>
      <c r="AN169" s="305">
        <f>'[1]Adubos e corretivos'!U72</f>
        <v>0</v>
      </c>
      <c r="AO169" s="305">
        <f>'[1]Adubos e corretivos'!V72</f>
        <v>0</v>
      </c>
      <c r="AP169" s="215"/>
      <c r="AQ169" s="215"/>
      <c r="AR169" s="215"/>
    </row>
    <row r="170" spans="11:44" ht="19.5" customHeight="1" x14ac:dyDescent="0.25">
      <c r="K170" s="215"/>
      <c r="L170" s="215"/>
      <c r="U170" s="536" t="s">
        <v>135</v>
      </c>
      <c r="V170" s="305" t="str">
        <f>'[1]Adubos e corretivos'!C73</f>
        <v>Ácido Bórico</v>
      </c>
      <c r="W170" s="305">
        <f>'[1]Adubos e corretivos'!D73</f>
        <v>5.52</v>
      </c>
      <c r="X170" s="305">
        <f>'[1]Adubos e corretivos'!E73</f>
        <v>0</v>
      </c>
      <c r="Y170" s="305">
        <f>'[1]Adubos e corretivos'!F73</f>
        <v>0</v>
      </c>
      <c r="Z170" s="305">
        <f>'[1]Adubos e corretivos'!G73</f>
        <v>0</v>
      </c>
      <c r="AA170" s="305">
        <f>'[1]Adubos e corretivos'!H73</f>
        <v>0</v>
      </c>
      <c r="AB170" s="305">
        <f>'[1]Adubos e corretivos'!I73</f>
        <v>0</v>
      </c>
      <c r="AC170" s="305">
        <f>'[1]Adubos e corretivos'!J73</f>
        <v>0</v>
      </c>
      <c r="AD170" s="305">
        <f>'[1]Adubos e corretivos'!K73</f>
        <v>0</v>
      </c>
      <c r="AE170" s="305">
        <f>'[1]Adubos e corretivos'!L73</f>
        <v>0</v>
      </c>
      <c r="AF170" s="305">
        <f>'[1]Adubos e corretivos'!M73</f>
        <v>17.5</v>
      </c>
      <c r="AG170" s="305">
        <f>'[1]Adubos e corretivos'!N73</f>
        <v>0</v>
      </c>
      <c r="AH170" s="305">
        <f>'[1]Adubos e corretivos'!O73</f>
        <v>0</v>
      </c>
      <c r="AI170" s="305">
        <f>'[1]Adubos e corretivos'!P73</f>
        <v>0</v>
      </c>
      <c r="AJ170" s="305">
        <f>'[1]Adubos e corretivos'!Q73</f>
        <v>0</v>
      </c>
      <c r="AK170" s="305">
        <f>'[1]Adubos e corretivos'!R73</f>
        <v>0</v>
      </c>
      <c r="AL170" s="305">
        <f>'[1]Adubos e corretivos'!S73</f>
        <v>0</v>
      </c>
      <c r="AM170" s="305">
        <f>'[1]Adubos e corretivos'!T73</f>
        <v>0</v>
      </c>
      <c r="AN170" s="305">
        <f>'[1]Adubos e corretivos'!U73</f>
        <v>0</v>
      </c>
      <c r="AO170" s="305">
        <f>'[1]Adubos e corretivos'!V73</f>
        <v>0</v>
      </c>
    </row>
    <row r="171" spans="11:44" ht="19.5" customHeight="1" x14ac:dyDescent="0.25">
      <c r="K171" s="215"/>
      <c r="L171" s="215"/>
      <c r="U171" s="536"/>
      <c r="V171" s="305" t="str">
        <f>'[1]Adubos e corretivos'!C74</f>
        <v>Boráx</v>
      </c>
      <c r="W171" s="305">
        <f>'[1]Adubos e corretivos'!D74</f>
        <v>3.84</v>
      </c>
      <c r="X171" s="305">
        <f>'[1]Adubos e corretivos'!E74</f>
        <v>0</v>
      </c>
      <c r="Y171" s="305">
        <f>'[1]Adubos e corretivos'!F74</f>
        <v>0</v>
      </c>
      <c r="Z171" s="305">
        <f>'[1]Adubos e corretivos'!G74</f>
        <v>0</v>
      </c>
      <c r="AA171" s="305">
        <f>'[1]Adubos e corretivos'!H74</f>
        <v>0</v>
      </c>
      <c r="AB171" s="305">
        <f>'[1]Adubos e corretivos'!I74</f>
        <v>0</v>
      </c>
      <c r="AC171" s="305">
        <f>'[1]Adubos e corretivos'!J74</f>
        <v>0</v>
      </c>
      <c r="AD171" s="305">
        <f>'[1]Adubos e corretivos'!K74</f>
        <v>0</v>
      </c>
      <c r="AE171" s="305">
        <f>'[1]Adubos e corretivos'!L74</f>
        <v>0</v>
      </c>
      <c r="AF171" s="305">
        <f>'[1]Adubos e corretivos'!M74</f>
        <v>10.5</v>
      </c>
      <c r="AG171" s="305">
        <f>'[1]Adubos e corretivos'!N74</f>
        <v>0</v>
      </c>
      <c r="AH171" s="305">
        <f>'[1]Adubos e corretivos'!O74</f>
        <v>0</v>
      </c>
      <c r="AI171" s="305">
        <f>'[1]Adubos e corretivos'!P74</f>
        <v>0</v>
      </c>
      <c r="AJ171" s="305">
        <f>'[1]Adubos e corretivos'!Q74</f>
        <v>0</v>
      </c>
      <c r="AK171" s="305">
        <f>'[1]Adubos e corretivos'!R74</f>
        <v>0</v>
      </c>
      <c r="AL171" s="305">
        <f>'[1]Adubos e corretivos'!S74</f>
        <v>0</v>
      </c>
      <c r="AM171" s="305">
        <f>'[1]Adubos e corretivos'!T74</f>
        <v>0</v>
      </c>
      <c r="AN171" s="305">
        <f>'[1]Adubos e corretivos'!U74</f>
        <v>0</v>
      </c>
      <c r="AO171" s="305">
        <f>'[1]Adubos e corretivos'!V74</f>
        <v>0</v>
      </c>
    </row>
    <row r="172" spans="11:44" ht="19.5" customHeight="1" x14ac:dyDescent="0.25">
      <c r="K172" s="215"/>
      <c r="L172" s="215"/>
      <c r="U172" s="536"/>
      <c r="V172" s="305" t="str">
        <f>'[1]Adubos e corretivos'!C75</f>
        <v>Brexil Top</v>
      </c>
      <c r="W172" s="305">
        <f>'[1]Adubos e corretivos'!D75</f>
        <v>40</v>
      </c>
      <c r="X172" s="305">
        <f>'[1]Adubos e corretivos'!E75</f>
        <v>0</v>
      </c>
      <c r="Y172" s="305">
        <f>'[1]Adubos e corretivos'!F75</f>
        <v>0</v>
      </c>
      <c r="Z172" s="305">
        <f>'[1]Adubos e corretivos'!G75</f>
        <v>0</v>
      </c>
      <c r="AA172" s="305">
        <f>'[1]Adubos e corretivos'!H75</f>
        <v>0</v>
      </c>
      <c r="AB172" s="305">
        <f>'[1]Adubos e corretivos'!I75</f>
        <v>0</v>
      </c>
      <c r="AC172" s="305">
        <f>'[1]Adubos e corretivos'!J75</f>
        <v>0</v>
      </c>
      <c r="AD172" s="305">
        <f>'[1]Adubos e corretivos'!K75</f>
        <v>1.5</v>
      </c>
      <c r="AE172" s="305">
        <f>'[1]Adubos e corretivos'!L75</f>
        <v>10</v>
      </c>
      <c r="AF172" s="305">
        <f>'[1]Adubos e corretivos'!M75</f>
        <v>2</v>
      </c>
      <c r="AG172" s="305">
        <f>'[1]Adubos e corretivos'!N75</f>
        <v>5</v>
      </c>
      <c r="AH172" s="305">
        <f>'[1]Adubos e corretivos'!O75</f>
        <v>6</v>
      </c>
      <c r="AI172" s="305">
        <f>'[1]Adubos e corretivos'!P75</f>
        <v>0</v>
      </c>
      <c r="AJ172" s="305">
        <f>'[1]Adubos e corretivos'!Q75</f>
        <v>0.5</v>
      </c>
      <c r="AK172" s="305">
        <f>'[1]Adubos e corretivos'!R75</f>
        <v>0</v>
      </c>
      <c r="AL172" s="305">
        <f>'[1]Adubos e corretivos'!S75</f>
        <v>0</v>
      </c>
      <c r="AM172" s="305">
        <f>'[1]Adubos e corretivos'!T75</f>
        <v>0</v>
      </c>
      <c r="AN172" s="305">
        <f>'[1]Adubos e corretivos'!U75</f>
        <v>0</v>
      </c>
      <c r="AO172" s="305">
        <f>'[1]Adubos e corretivos'!V75</f>
        <v>0</v>
      </c>
    </row>
    <row r="173" spans="11:44" ht="19.5" customHeight="1" x14ac:dyDescent="0.25">
      <c r="K173" s="215"/>
      <c r="L173" s="215"/>
      <c r="U173" s="536"/>
      <c r="V173" s="305" t="str">
        <f>'[1]Adubos e corretivos'!C76</f>
        <v>Molibdato de sódio</v>
      </c>
      <c r="W173" s="305">
        <f>'[1]Adubos e corretivos'!D76</f>
        <v>154</v>
      </c>
      <c r="X173" s="305">
        <f>'[1]Adubos e corretivos'!E76</f>
        <v>0</v>
      </c>
      <c r="Y173" s="305">
        <f>'[1]Adubos e corretivos'!F76</f>
        <v>0</v>
      </c>
      <c r="Z173" s="305">
        <f>'[1]Adubos e corretivos'!G76</f>
        <v>0</v>
      </c>
      <c r="AA173" s="305">
        <f>'[1]Adubos e corretivos'!H76</f>
        <v>0</v>
      </c>
      <c r="AB173" s="305">
        <f>'[1]Adubos e corretivos'!I76</f>
        <v>0</v>
      </c>
      <c r="AC173" s="305">
        <f>'[1]Adubos e corretivos'!J76</f>
        <v>0</v>
      </c>
      <c r="AD173" s="305">
        <f>'[1]Adubos e corretivos'!K76</f>
        <v>0</v>
      </c>
      <c r="AE173" s="305">
        <f>'[1]Adubos e corretivos'!L76</f>
        <v>0</v>
      </c>
      <c r="AF173" s="305">
        <f>'[1]Adubos e corretivos'!M76</f>
        <v>0</v>
      </c>
      <c r="AG173" s="305">
        <f>'[1]Adubos e corretivos'!N76</f>
        <v>0</v>
      </c>
      <c r="AH173" s="305">
        <f>'[1]Adubos e corretivos'!O76</f>
        <v>0</v>
      </c>
      <c r="AI173" s="305">
        <f>'[1]Adubos e corretivos'!P76</f>
        <v>0</v>
      </c>
      <c r="AJ173" s="305">
        <f>'[1]Adubos e corretivos'!Q76</f>
        <v>39</v>
      </c>
      <c r="AK173" s="305">
        <f>'[1]Adubos e corretivos'!R76</f>
        <v>0</v>
      </c>
      <c r="AL173" s="305">
        <f>'[1]Adubos e corretivos'!S76</f>
        <v>0</v>
      </c>
      <c r="AM173" s="305">
        <f>'[1]Adubos e corretivos'!T76</f>
        <v>0</v>
      </c>
      <c r="AN173" s="305">
        <f>'[1]Adubos e corretivos'!U76</f>
        <v>0</v>
      </c>
      <c r="AO173" s="305">
        <f>'[1]Adubos e corretivos'!V76</f>
        <v>0</v>
      </c>
    </row>
    <row r="174" spans="11:44" ht="19.5" customHeight="1" x14ac:dyDescent="0.25">
      <c r="K174" s="215"/>
      <c r="L174" s="215"/>
      <c r="U174" s="536"/>
      <c r="V174" s="305" t="str">
        <f>'[1]Adubos e corretivos'!C77</f>
        <v>Sulfato de cobre</v>
      </c>
      <c r="W174" s="305">
        <f>'[1]Adubos e corretivos'!D77</f>
        <v>11.04</v>
      </c>
      <c r="X174" s="305">
        <f>'[1]Adubos e corretivos'!E77</f>
        <v>0</v>
      </c>
      <c r="Y174" s="305">
        <f>'[1]Adubos e corretivos'!F77</f>
        <v>0</v>
      </c>
      <c r="Z174" s="305">
        <f>'[1]Adubos e corretivos'!G77</f>
        <v>0</v>
      </c>
      <c r="AA174" s="305">
        <f>'[1]Adubos e corretivos'!H77</f>
        <v>0</v>
      </c>
      <c r="AB174" s="305">
        <f>'[1]Adubos e corretivos'!I77</f>
        <v>0</v>
      </c>
      <c r="AC174" s="305">
        <f>'[1]Adubos e corretivos'!J77</f>
        <v>0</v>
      </c>
      <c r="AD174" s="305">
        <f>'[1]Adubos e corretivos'!K77</f>
        <v>0</v>
      </c>
      <c r="AE174" s="305">
        <f>'[1]Adubos e corretivos'!L77</f>
        <v>12</v>
      </c>
      <c r="AF174" s="305">
        <f>'[1]Adubos e corretivos'!M77</f>
        <v>0</v>
      </c>
      <c r="AG174" s="305">
        <f>'[1]Adubos e corretivos'!N77</f>
        <v>0</v>
      </c>
      <c r="AH174" s="305">
        <f>'[1]Adubos e corretivos'!O77</f>
        <v>0</v>
      </c>
      <c r="AI174" s="305">
        <f>'[1]Adubos e corretivos'!P77</f>
        <v>25</v>
      </c>
      <c r="AJ174" s="305">
        <f>'[1]Adubos e corretivos'!Q77</f>
        <v>0</v>
      </c>
      <c r="AK174" s="305">
        <f>'[1]Adubos e corretivos'!R77</f>
        <v>0</v>
      </c>
      <c r="AL174" s="305">
        <f>'[1]Adubos e corretivos'!S77</f>
        <v>0</v>
      </c>
      <c r="AM174" s="305">
        <f>'[1]Adubos e corretivos'!T77</f>
        <v>0</v>
      </c>
      <c r="AN174" s="305">
        <f>'[1]Adubos e corretivos'!U77</f>
        <v>0</v>
      </c>
      <c r="AO174" s="305">
        <f>'[1]Adubos e corretivos'!V77</f>
        <v>0</v>
      </c>
    </row>
    <row r="175" spans="11:44" ht="19.5" customHeight="1" x14ac:dyDescent="0.25">
      <c r="K175" s="215"/>
      <c r="L175" s="215"/>
      <c r="U175" s="536"/>
      <c r="V175" s="305" t="str">
        <f>'[1]Adubos e corretivos'!C78</f>
        <v>Sulfato de manganês</v>
      </c>
      <c r="W175" s="305">
        <f>'[1]Adubos e corretivos'!D78</f>
        <v>6.72</v>
      </c>
      <c r="X175" s="305">
        <f>'[1]Adubos e corretivos'!E78</f>
        <v>0</v>
      </c>
      <c r="Y175" s="305">
        <f>'[1]Adubos e corretivos'!F78</f>
        <v>0</v>
      </c>
      <c r="Z175" s="305">
        <f>'[1]Adubos e corretivos'!G78</f>
        <v>0</v>
      </c>
      <c r="AA175" s="305">
        <f>'[1]Adubos e corretivos'!H78</f>
        <v>0</v>
      </c>
      <c r="AB175" s="305">
        <f>'[1]Adubos e corretivos'!I78</f>
        <v>0</v>
      </c>
      <c r="AC175" s="305">
        <f>'[1]Adubos e corretivos'!J78</f>
        <v>0</v>
      </c>
      <c r="AD175" s="305">
        <f>'[1]Adubos e corretivos'!K78</f>
        <v>0</v>
      </c>
      <c r="AE175" s="305">
        <f>'[1]Adubos e corretivos'!L78</f>
        <v>21</v>
      </c>
      <c r="AF175" s="305">
        <f>'[1]Adubos e corretivos'!M78</f>
        <v>0</v>
      </c>
      <c r="AG175" s="305">
        <f>'[1]Adubos e corretivos'!N78</f>
        <v>26</v>
      </c>
      <c r="AH175" s="305">
        <f>'[1]Adubos e corretivos'!O78</f>
        <v>0</v>
      </c>
      <c r="AI175" s="305">
        <f>'[1]Adubos e corretivos'!P78</f>
        <v>0</v>
      </c>
      <c r="AJ175" s="305">
        <f>'[1]Adubos e corretivos'!Q78</f>
        <v>0</v>
      </c>
      <c r="AK175" s="305">
        <f>'[1]Adubos e corretivos'!R78</f>
        <v>0</v>
      </c>
      <c r="AL175" s="305">
        <f>'[1]Adubos e corretivos'!S78</f>
        <v>0</v>
      </c>
      <c r="AM175" s="305">
        <f>'[1]Adubos e corretivos'!T78</f>
        <v>0</v>
      </c>
      <c r="AN175" s="305">
        <f>'[1]Adubos e corretivos'!U78</f>
        <v>0</v>
      </c>
      <c r="AO175" s="305">
        <f>'[1]Adubos e corretivos'!V78</f>
        <v>0</v>
      </c>
    </row>
    <row r="176" spans="11:44" ht="19.5" customHeight="1" x14ac:dyDescent="0.25">
      <c r="K176" s="215"/>
      <c r="L176" s="215"/>
      <c r="U176" s="536"/>
      <c r="V176" s="305" t="str">
        <f>'[1]Adubos e corretivos'!C79</f>
        <v>Sulfato de zinco</v>
      </c>
      <c r="W176" s="305">
        <f>'[1]Adubos e corretivos'!D79</f>
        <v>6.16</v>
      </c>
      <c r="X176" s="305">
        <f>'[1]Adubos e corretivos'!E79</f>
        <v>0</v>
      </c>
      <c r="Y176" s="305">
        <f>'[1]Adubos e corretivos'!F79</f>
        <v>0</v>
      </c>
      <c r="Z176" s="305">
        <f>'[1]Adubos e corretivos'!G79</f>
        <v>0</v>
      </c>
      <c r="AA176" s="305">
        <f>'[1]Adubos e corretivos'!H79</f>
        <v>0</v>
      </c>
      <c r="AB176" s="305">
        <f>'[1]Adubos e corretivos'!I79</f>
        <v>0</v>
      </c>
      <c r="AC176" s="305">
        <f>'[1]Adubos e corretivos'!J79</f>
        <v>0</v>
      </c>
      <c r="AD176" s="305">
        <f>'[1]Adubos e corretivos'!K79</f>
        <v>0</v>
      </c>
      <c r="AE176" s="305">
        <f>'[1]Adubos e corretivos'!L79</f>
        <v>17</v>
      </c>
      <c r="AF176" s="305">
        <f>'[1]Adubos e corretivos'!M79</f>
        <v>0</v>
      </c>
      <c r="AG176" s="305">
        <f>'[1]Adubos e corretivos'!N79</f>
        <v>0</v>
      </c>
      <c r="AH176" s="305">
        <f>'[1]Adubos e corretivos'!O79</f>
        <v>35</v>
      </c>
      <c r="AI176" s="305">
        <f>'[1]Adubos e corretivos'!P79</f>
        <v>0</v>
      </c>
      <c r="AJ176" s="305">
        <f>'[1]Adubos e corretivos'!Q79</f>
        <v>0</v>
      </c>
      <c r="AK176" s="305">
        <f>'[1]Adubos e corretivos'!R79</f>
        <v>0</v>
      </c>
      <c r="AL176" s="305">
        <f>'[1]Adubos e corretivos'!S79</f>
        <v>0</v>
      </c>
      <c r="AM176" s="305">
        <f>'[1]Adubos e corretivos'!T79</f>
        <v>0</v>
      </c>
      <c r="AN176" s="305">
        <f>'[1]Adubos e corretivos'!U79</f>
        <v>0</v>
      </c>
      <c r="AO176" s="305">
        <f>'[1]Adubos e corretivos'!V79</f>
        <v>0</v>
      </c>
    </row>
    <row r="177" spans="11:46" ht="19.5" customHeight="1" x14ac:dyDescent="0.25">
      <c r="K177" s="215"/>
      <c r="L177" s="215"/>
      <c r="U177" s="536"/>
      <c r="V177" s="305" t="str">
        <f>'[1]Adubos e corretivos'!C80</f>
        <v>Ferrelene</v>
      </c>
      <c r="W177" s="305">
        <f>'[1]Adubos e corretivos'!D80</f>
        <v>78</v>
      </c>
      <c r="X177" s="305">
        <f>'[1]Adubos e corretivos'!E80</f>
        <v>0</v>
      </c>
      <c r="Y177" s="305">
        <f>'[1]Adubos e corretivos'!F80</f>
        <v>0</v>
      </c>
      <c r="Z177" s="305">
        <f>'[1]Adubos e corretivos'!G80</f>
        <v>0</v>
      </c>
      <c r="AA177" s="305">
        <f>'[1]Adubos e corretivos'!H80</f>
        <v>0</v>
      </c>
      <c r="AB177" s="305">
        <f>'[1]Adubos e corretivos'!I80</f>
        <v>0</v>
      </c>
      <c r="AC177" s="305">
        <f>'[1]Adubos e corretivos'!J80</f>
        <v>0</v>
      </c>
      <c r="AD177" s="305">
        <f>'[1]Adubos e corretivos'!K80</f>
        <v>0</v>
      </c>
      <c r="AE177" s="305">
        <f>'[1]Adubos e corretivos'!L80</f>
        <v>0</v>
      </c>
      <c r="AF177" s="305">
        <f>'[1]Adubos e corretivos'!M80</f>
        <v>0</v>
      </c>
      <c r="AG177" s="305">
        <f>'[1]Adubos e corretivos'!N80</f>
        <v>0</v>
      </c>
      <c r="AH177" s="305">
        <f>'[1]Adubos e corretivos'!O80</f>
        <v>0</v>
      </c>
      <c r="AI177" s="305">
        <f>'[1]Adubos e corretivos'!P80</f>
        <v>0</v>
      </c>
      <c r="AJ177" s="305">
        <f>'[1]Adubos e corretivos'!Q80</f>
        <v>0</v>
      </c>
      <c r="AK177" s="305">
        <f>'[1]Adubos e corretivos'!R80</f>
        <v>6</v>
      </c>
      <c r="AL177" s="305">
        <f>'[1]Adubos e corretivos'!S80</f>
        <v>0</v>
      </c>
      <c r="AM177" s="305">
        <f>'[1]Adubos e corretivos'!T80</f>
        <v>0</v>
      </c>
      <c r="AN177" s="305">
        <f>'[1]Adubos e corretivos'!U80</f>
        <v>0</v>
      </c>
      <c r="AO177" s="305">
        <f>'[1]Adubos e corretivos'!V80</f>
        <v>0</v>
      </c>
    </row>
    <row r="178" spans="11:46" ht="19.5" customHeight="1" x14ac:dyDescent="0.25">
      <c r="K178" s="215"/>
      <c r="L178" s="215"/>
      <c r="U178" s="536"/>
      <c r="V178" s="305" t="str">
        <f>'[1]Adubos e corretivos'!C81</f>
        <v>FTE BR 12</v>
      </c>
      <c r="W178" s="305">
        <f>'[1]Adubos e corretivos'!D81</f>
        <v>0</v>
      </c>
      <c r="X178" s="305">
        <f>'[1]Adubos e corretivos'!E81</f>
        <v>0</v>
      </c>
      <c r="Y178" s="305">
        <f>'[1]Adubos e corretivos'!F81</f>
        <v>0</v>
      </c>
      <c r="Z178" s="305">
        <f>'[1]Adubos e corretivos'!G81</f>
        <v>0</v>
      </c>
      <c r="AA178" s="305">
        <f>'[1]Adubos e corretivos'!H81</f>
        <v>0</v>
      </c>
      <c r="AB178" s="305">
        <f>'[1]Adubos e corretivos'!I81</f>
        <v>0</v>
      </c>
      <c r="AC178" s="305">
        <f>'[1]Adubos e corretivos'!J81</f>
        <v>0</v>
      </c>
      <c r="AD178" s="305">
        <f>'[1]Adubos e corretivos'!K81</f>
        <v>0</v>
      </c>
      <c r="AE178" s="305">
        <f>'[1]Adubos e corretivos'!L81</f>
        <v>3.9</v>
      </c>
      <c r="AF178" s="305">
        <f>'[1]Adubos e corretivos'!M81</f>
        <v>1.8</v>
      </c>
      <c r="AG178" s="305">
        <f>'[1]Adubos e corretivos'!N81</f>
        <v>2</v>
      </c>
      <c r="AH178" s="305">
        <f>'[1]Adubos e corretivos'!O81</f>
        <v>9</v>
      </c>
      <c r="AI178" s="305">
        <f>'[1]Adubos e corretivos'!P81</f>
        <v>0.85</v>
      </c>
      <c r="AJ178" s="305">
        <f>'[1]Adubos e corretivos'!Q81</f>
        <v>0</v>
      </c>
      <c r="AK178" s="305">
        <f>'[1]Adubos e corretivos'!R81</f>
        <v>0</v>
      </c>
      <c r="AL178" s="305">
        <f>'[1]Adubos e corretivos'!S81</f>
        <v>0</v>
      </c>
      <c r="AM178" s="305">
        <f>'[1]Adubos e corretivos'!T81</f>
        <v>0</v>
      </c>
      <c r="AN178" s="305">
        <f>'[1]Adubos e corretivos'!U81</f>
        <v>0</v>
      </c>
      <c r="AO178" s="305">
        <f>'[1]Adubos e corretivos'!V81</f>
        <v>0</v>
      </c>
    </row>
    <row r="179" spans="11:46" ht="19.5" customHeight="1" x14ac:dyDescent="0.25">
      <c r="K179" s="215"/>
      <c r="L179" s="215"/>
      <c r="U179" s="536"/>
      <c r="V179" s="305" t="str">
        <f>'[1]Adubos e corretivos'!C82</f>
        <v>Gran 12</v>
      </c>
      <c r="W179" s="305">
        <f>'[1]Adubos e corretivos'!D82</f>
        <v>2.72</v>
      </c>
      <c r="X179" s="305">
        <f>'[1]Adubos e corretivos'!E82</f>
        <v>0</v>
      </c>
      <c r="Y179" s="305">
        <f>'[1]Adubos e corretivos'!F82</f>
        <v>0</v>
      </c>
      <c r="Z179" s="305">
        <f>'[1]Adubos e corretivos'!G82</f>
        <v>0</v>
      </c>
      <c r="AA179" s="305">
        <f>'[1]Adubos e corretivos'!H82</f>
        <v>0</v>
      </c>
      <c r="AB179" s="305">
        <f>'[1]Adubos e corretivos'!I82</f>
        <v>0</v>
      </c>
      <c r="AC179" s="305">
        <f>'[1]Adubos e corretivos'!J82</f>
        <v>1.5</v>
      </c>
      <c r="AD179" s="305">
        <f>'[1]Adubos e corretivos'!K82</f>
        <v>0</v>
      </c>
      <c r="AE179" s="305">
        <f>'[1]Adubos e corretivos'!L82</f>
        <v>3.2</v>
      </c>
      <c r="AF179" s="305">
        <f>'[1]Adubos e corretivos'!M82</f>
        <v>1.8</v>
      </c>
      <c r="AG179" s="305">
        <f>'[1]Adubos e corretivos'!N82</f>
        <v>2.1</v>
      </c>
      <c r="AH179" s="305">
        <f>'[1]Adubos e corretivos'!O82</f>
        <v>9</v>
      </c>
      <c r="AI179" s="305">
        <f>'[1]Adubos e corretivos'!P82</f>
        <v>0.85</v>
      </c>
      <c r="AJ179" s="305">
        <f>'[1]Adubos e corretivos'!Q82</f>
        <v>0.1</v>
      </c>
      <c r="AK179" s="305">
        <f>'[1]Adubos e corretivos'!R82</f>
        <v>0</v>
      </c>
      <c r="AL179" s="305">
        <f>'[1]Adubos e corretivos'!S82</f>
        <v>0</v>
      </c>
      <c r="AM179" s="305">
        <f>'[1]Adubos e corretivos'!T82</f>
        <v>0</v>
      </c>
      <c r="AN179" s="305">
        <f>'[1]Adubos e corretivos'!U82</f>
        <v>0</v>
      </c>
      <c r="AO179" s="305">
        <f>'[1]Adubos e corretivos'!V82</f>
        <v>0</v>
      </c>
    </row>
    <row r="186" spans="11:46" ht="19.5" customHeight="1" x14ac:dyDescent="0.25">
      <c r="U186" s="537" t="s">
        <v>136</v>
      </c>
      <c r="V186" s="537" t="s">
        <v>76</v>
      </c>
      <c r="W186" s="537" t="s">
        <v>77</v>
      </c>
      <c r="X186" s="537" t="s">
        <v>78</v>
      </c>
      <c r="Y186" s="537"/>
      <c r="Z186" s="537"/>
      <c r="AA186" s="538" t="s">
        <v>623</v>
      </c>
      <c r="AB186" s="538"/>
      <c r="AC186" s="538"/>
      <c r="AD186" s="538"/>
      <c r="AE186" s="538"/>
      <c r="AH186" s="312"/>
      <c r="AI186" s="312"/>
      <c r="AJ186" s="312"/>
      <c r="AK186" s="312"/>
      <c r="AL186" s="312"/>
      <c r="AM186" s="312"/>
      <c r="AN186" s="312"/>
      <c r="AO186" s="312"/>
      <c r="AP186" s="313"/>
      <c r="AQ186" s="313"/>
      <c r="AR186" s="313"/>
      <c r="AS186" s="313"/>
      <c r="AT186" s="313"/>
    </row>
    <row r="187" spans="11:46" ht="32.25" customHeight="1" x14ac:dyDescent="0.25">
      <c r="U187" s="537"/>
      <c r="V187" s="537"/>
      <c r="W187" s="537"/>
      <c r="X187" s="314" t="s">
        <v>33</v>
      </c>
      <c r="Y187" s="314" t="s">
        <v>66</v>
      </c>
      <c r="Z187" s="314" t="s">
        <v>67</v>
      </c>
      <c r="AA187" s="314" t="s">
        <v>624</v>
      </c>
      <c r="AB187" s="314" t="s">
        <v>625</v>
      </c>
      <c r="AC187" s="314" t="s">
        <v>33</v>
      </c>
      <c r="AD187" s="314" t="s">
        <v>66</v>
      </c>
      <c r="AE187" s="314" t="s">
        <v>224</v>
      </c>
      <c r="AH187" s="313"/>
      <c r="AI187" s="313"/>
      <c r="AJ187" s="313"/>
      <c r="AK187" s="313"/>
      <c r="AL187" s="313"/>
      <c r="AM187" s="313"/>
      <c r="AN187" s="313"/>
      <c r="AO187" s="313"/>
      <c r="AP187" s="215"/>
      <c r="AQ187" s="215"/>
      <c r="AR187" s="215"/>
      <c r="AS187" s="215"/>
      <c r="AT187" s="215"/>
    </row>
    <row r="188" spans="11:46" ht="19.5" customHeight="1" x14ac:dyDescent="0.25">
      <c r="U188" s="535" t="s">
        <v>626</v>
      </c>
      <c r="V188" s="315" t="str">
        <f>O117</f>
        <v>Esterco de galinha</v>
      </c>
      <c r="W188" s="316">
        <f>(VLOOKUP(V188,$V$100:$AB$179,2,0))</f>
        <v>0.25</v>
      </c>
      <c r="X188" s="316">
        <f>(VLOOKUP(V188,$V$100:$AB$179,3,0))</f>
        <v>3</v>
      </c>
      <c r="Y188" s="316">
        <f>(VLOOKUP(V188,$V$100:$AB$179,5,0))</f>
        <v>3</v>
      </c>
      <c r="Z188" s="316">
        <f>(VLOOKUP(V188,$V$100:$AB$179,7,0))</f>
        <v>2</v>
      </c>
      <c r="AA188" s="317">
        <v>0</v>
      </c>
      <c r="AB188" s="317">
        <f>AA188*W188</f>
        <v>0</v>
      </c>
      <c r="AC188" s="317">
        <f>AA188*X188%</f>
        <v>0</v>
      </c>
      <c r="AD188" s="317">
        <f>AA188*Y188%</f>
        <v>0</v>
      </c>
      <c r="AE188" s="317">
        <f>AA188*Z188%</f>
        <v>0</v>
      </c>
      <c r="AH188" s="318"/>
      <c r="AI188" s="318"/>
      <c r="AJ188" s="318"/>
      <c r="AK188" s="318"/>
      <c r="AL188" s="318"/>
      <c r="AM188" s="318"/>
      <c r="AN188" s="318"/>
      <c r="AO188" s="318"/>
      <c r="AP188" s="215"/>
      <c r="AQ188" s="215"/>
      <c r="AR188" s="215"/>
      <c r="AS188" s="215"/>
      <c r="AT188" s="215"/>
    </row>
    <row r="189" spans="11:46" ht="19.5" customHeight="1" x14ac:dyDescent="0.25">
      <c r="U189" s="535"/>
      <c r="V189" s="315" t="str">
        <f t="shared" ref="V189:V214" si="18">O118</f>
        <v>Esterco de gado</v>
      </c>
      <c r="W189" s="316">
        <f t="shared" ref="W189:W214" si="19">(VLOOKUP(V189,$V$100:$AB$179,2,0))</f>
        <v>0.25</v>
      </c>
      <c r="X189" s="316">
        <f t="shared" ref="X189:X214" si="20">(VLOOKUP(V189,$V$100:$AB$179,3,0))</f>
        <v>1</v>
      </c>
      <c r="Y189" s="316">
        <f t="shared" ref="Y189:Y214" si="21">(VLOOKUP(V189,$V$100:$AB$179,5,0))</f>
        <v>1</v>
      </c>
      <c r="Z189" s="316">
        <f t="shared" ref="Z189:Z214" si="22">(VLOOKUP(V189,$V$100:$AB$179,7,0))</f>
        <v>0.7</v>
      </c>
      <c r="AA189" s="317">
        <v>0</v>
      </c>
      <c r="AB189" s="317">
        <f t="shared" ref="AB189:AB214" si="23">AA189*W189</f>
        <v>0</v>
      </c>
      <c r="AC189" s="317">
        <f t="shared" ref="AC189:AC214" si="24">AA189*X189%</f>
        <v>0</v>
      </c>
      <c r="AD189" s="317">
        <f t="shared" ref="AD189:AD214" si="25">AA189*Y189%</f>
        <v>0</v>
      </c>
      <c r="AE189" s="317">
        <f t="shared" ref="AE189:AE214" si="26">AA189*Z189%</f>
        <v>0</v>
      </c>
      <c r="AH189" s="318"/>
      <c r="AI189" s="318"/>
      <c r="AJ189" s="318"/>
      <c r="AK189" s="318"/>
      <c r="AL189" s="318"/>
      <c r="AM189" s="318"/>
      <c r="AN189" s="318"/>
      <c r="AO189" s="318"/>
      <c r="AP189" s="215"/>
      <c r="AQ189" s="215"/>
      <c r="AR189" s="215"/>
      <c r="AS189" s="215"/>
      <c r="AT189" s="215"/>
    </row>
    <row r="190" spans="11:46" ht="19.5" customHeight="1" x14ac:dyDescent="0.25">
      <c r="U190" s="535"/>
      <c r="V190" s="315" t="str">
        <f t="shared" si="18"/>
        <v>Minhofertil (61 3361-6634)</v>
      </c>
      <c r="W190" s="316" t="e">
        <f t="shared" si="19"/>
        <v>#N/A</v>
      </c>
      <c r="X190" s="316" t="e">
        <f t="shared" si="20"/>
        <v>#N/A</v>
      </c>
      <c r="Y190" s="316" t="e">
        <f t="shared" si="21"/>
        <v>#N/A</v>
      </c>
      <c r="Z190" s="316" t="e">
        <f t="shared" si="22"/>
        <v>#N/A</v>
      </c>
      <c r="AA190" s="317">
        <v>5.6843418860808015E-14</v>
      </c>
      <c r="AB190" s="317" t="e">
        <f t="shared" si="23"/>
        <v>#N/A</v>
      </c>
      <c r="AC190" s="317" t="e">
        <f t="shared" si="24"/>
        <v>#N/A</v>
      </c>
      <c r="AD190" s="317" t="e">
        <f t="shared" si="25"/>
        <v>#N/A</v>
      </c>
      <c r="AE190" s="317" t="e">
        <f t="shared" si="26"/>
        <v>#N/A</v>
      </c>
      <c r="AH190" s="318"/>
      <c r="AI190" s="318"/>
      <c r="AJ190" s="318"/>
      <c r="AK190" s="318"/>
      <c r="AL190" s="318"/>
      <c r="AM190" s="318"/>
      <c r="AN190" s="318"/>
      <c r="AO190" s="318"/>
      <c r="AP190" s="215"/>
      <c r="AQ190" s="215"/>
      <c r="AR190" s="215"/>
      <c r="AS190" s="215"/>
      <c r="AT190" s="215"/>
    </row>
    <row r="191" spans="11:46" ht="19.5" customHeight="1" x14ac:dyDescent="0.25">
      <c r="U191" s="535"/>
      <c r="V191" s="315" t="str">
        <f t="shared" si="18"/>
        <v>Composto ORGANICS (062 3247-3100)</v>
      </c>
      <c r="W191" s="316" t="e">
        <f t="shared" si="19"/>
        <v>#N/A</v>
      </c>
      <c r="X191" s="316" t="e">
        <f t="shared" si="20"/>
        <v>#N/A</v>
      </c>
      <c r="Y191" s="316" t="e">
        <f t="shared" si="21"/>
        <v>#N/A</v>
      </c>
      <c r="Z191" s="316" t="e">
        <f t="shared" si="22"/>
        <v>#N/A</v>
      </c>
      <c r="AA191" s="317">
        <v>3.6785727068673189</v>
      </c>
      <c r="AB191" s="317" t="e">
        <f t="shared" si="23"/>
        <v>#N/A</v>
      </c>
      <c r="AC191" s="317" t="e">
        <f t="shared" si="24"/>
        <v>#N/A</v>
      </c>
      <c r="AD191" s="317" t="e">
        <f t="shared" si="25"/>
        <v>#N/A</v>
      </c>
      <c r="AE191" s="317" t="e">
        <f t="shared" si="26"/>
        <v>#N/A</v>
      </c>
      <c r="AH191" s="318"/>
      <c r="AI191" s="318"/>
      <c r="AJ191" s="318"/>
      <c r="AK191" s="318"/>
      <c r="AL191" s="318"/>
      <c r="AM191" s="318"/>
      <c r="AN191" s="318"/>
      <c r="AO191" s="318"/>
      <c r="AP191" s="215"/>
      <c r="AQ191" s="215"/>
      <c r="AR191" s="215"/>
      <c r="AS191" s="215"/>
      <c r="AT191" s="215"/>
    </row>
    <row r="192" spans="11:46" ht="19.5" customHeight="1" x14ac:dyDescent="0.25">
      <c r="U192" s="535"/>
      <c r="V192" s="315" t="str">
        <f t="shared" si="18"/>
        <v>Composto Bioforte BONASA (061 9 9967-0863)</v>
      </c>
      <c r="W192" s="316" t="e">
        <f t="shared" si="19"/>
        <v>#N/A</v>
      </c>
      <c r="X192" s="316" t="e">
        <f t="shared" si="20"/>
        <v>#N/A</v>
      </c>
      <c r="Y192" s="316" t="e">
        <f t="shared" si="21"/>
        <v>#N/A</v>
      </c>
      <c r="Z192" s="316" t="e">
        <f t="shared" si="22"/>
        <v>#N/A</v>
      </c>
      <c r="AA192" s="317">
        <v>0</v>
      </c>
      <c r="AB192" s="317" t="e">
        <f t="shared" si="23"/>
        <v>#N/A</v>
      </c>
      <c r="AC192" s="317" t="e">
        <f t="shared" si="24"/>
        <v>#N/A</v>
      </c>
      <c r="AD192" s="317" t="e">
        <f t="shared" si="25"/>
        <v>#N/A</v>
      </c>
      <c r="AE192" s="317" t="e">
        <f t="shared" si="26"/>
        <v>#N/A</v>
      </c>
      <c r="AH192" s="318"/>
      <c r="AI192" s="318"/>
      <c r="AJ192" s="318"/>
      <c r="AK192" s="318"/>
      <c r="AL192" s="318"/>
      <c r="AM192" s="318"/>
      <c r="AN192" s="318"/>
      <c r="AO192" s="318"/>
      <c r="AP192" s="215"/>
      <c r="AQ192" s="215"/>
      <c r="AR192" s="215"/>
      <c r="AS192" s="215"/>
      <c r="AT192" s="215"/>
    </row>
    <row r="193" spans="21:46" ht="19.5" customHeight="1" x14ac:dyDescent="0.25">
      <c r="U193" s="535"/>
      <c r="V193" s="315" t="str">
        <f t="shared" si="18"/>
        <v>Composto Bioensima BONASA (061 9 9967-0863)</v>
      </c>
      <c r="W193" s="316" t="e">
        <f t="shared" si="19"/>
        <v>#N/A</v>
      </c>
      <c r="X193" s="316" t="e">
        <f t="shared" si="20"/>
        <v>#N/A</v>
      </c>
      <c r="Y193" s="316" t="e">
        <f t="shared" si="21"/>
        <v>#N/A</v>
      </c>
      <c r="Z193" s="316" t="e">
        <f t="shared" si="22"/>
        <v>#N/A</v>
      </c>
      <c r="AA193" s="317">
        <v>35416.666628886451</v>
      </c>
      <c r="AB193" s="317" t="e">
        <f t="shared" si="23"/>
        <v>#N/A</v>
      </c>
      <c r="AC193" s="317" t="e">
        <f t="shared" si="24"/>
        <v>#N/A</v>
      </c>
      <c r="AD193" s="317" t="e">
        <f t="shared" si="25"/>
        <v>#N/A</v>
      </c>
      <c r="AE193" s="317" t="e">
        <f t="shared" si="26"/>
        <v>#N/A</v>
      </c>
      <c r="AH193" s="318"/>
      <c r="AI193" s="318"/>
      <c r="AJ193" s="318"/>
      <c r="AK193" s="318"/>
      <c r="AL193" s="318"/>
      <c r="AM193" s="318"/>
      <c r="AN193" s="318"/>
      <c r="AO193" s="318"/>
      <c r="AP193" s="215"/>
      <c r="AQ193" s="215"/>
      <c r="AR193" s="215"/>
      <c r="AS193" s="215"/>
      <c r="AT193" s="215"/>
    </row>
    <row r="194" spans="21:46" ht="19.5" customHeight="1" x14ac:dyDescent="0.25">
      <c r="U194" s="535"/>
      <c r="V194" s="315" t="str">
        <f t="shared" si="18"/>
        <v>Bokashi Carlos (061 9 9681-3730)</v>
      </c>
      <c r="W194" s="316" t="e">
        <f t="shared" si="19"/>
        <v>#N/A</v>
      </c>
      <c r="X194" s="316" t="e">
        <f t="shared" si="20"/>
        <v>#N/A</v>
      </c>
      <c r="Y194" s="316" t="e">
        <f t="shared" si="21"/>
        <v>#N/A</v>
      </c>
      <c r="Z194" s="316" t="e">
        <f t="shared" si="22"/>
        <v>#N/A</v>
      </c>
      <c r="AA194" s="317">
        <v>4547.0477514809891</v>
      </c>
      <c r="AB194" s="317" t="e">
        <f t="shared" si="23"/>
        <v>#N/A</v>
      </c>
      <c r="AC194" s="317" t="e">
        <f t="shared" si="24"/>
        <v>#N/A</v>
      </c>
      <c r="AD194" s="317" t="e">
        <f t="shared" si="25"/>
        <v>#N/A</v>
      </c>
      <c r="AE194" s="317" t="e">
        <f t="shared" si="26"/>
        <v>#N/A</v>
      </c>
      <c r="AH194" s="318"/>
      <c r="AI194" s="318"/>
      <c r="AJ194" s="318"/>
      <c r="AK194" s="318"/>
      <c r="AL194" s="318"/>
      <c r="AM194" s="318"/>
      <c r="AN194" s="318"/>
      <c r="AO194" s="318"/>
      <c r="AP194" s="215"/>
      <c r="AQ194" s="215"/>
      <c r="AR194" s="215"/>
      <c r="AS194" s="215"/>
      <c r="AT194" s="215"/>
    </row>
    <row r="195" spans="21:46" ht="19.5" customHeight="1" x14ac:dyDescent="0.25">
      <c r="U195" s="535"/>
      <c r="V195" s="315" t="str">
        <f t="shared" si="18"/>
        <v>Bokashi Valdemar (9 9811-2414)</v>
      </c>
      <c r="W195" s="316" t="e">
        <f t="shared" si="19"/>
        <v>#N/A</v>
      </c>
      <c r="X195" s="316" t="e">
        <f t="shared" si="20"/>
        <v>#N/A</v>
      </c>
      <c r="Y195" s="316" t="e">
        <f t="shared" si="21"/>
        <v>#N/A</v>
      </c>
      <c r="Z195" s="316" t="e">
        <f t="shared" si="22"/>
        <v>#N/A</v>
      </c>
      <c r="AA195" s="317">
        <v>5108.9959152090014</v>
      </c>
      <c r="AB195" s="317" t="e">
        <f t="shared" si="23"/>
        <v>#N/A</v>
      </c>
      <c r="AC195" s="317" t="e">
        <f t="shared" si="24"/>
        <v>#N/A</v>
      </c>
      <c r="AD195" s="317" t="e">
        <f t="shared" si="25"/>
        <v>#N/A</v>
      </c>
      <c r="AE195" s="317" t="e">
        <f t="shared" si="26"/>
        <v>#N/A</v>
      </c>
      <c r="AH195" s="318"/>
      <c r="AI195" s="318"/>
      <c r="AJ195" s="318"/>
      <c r="AK195" s="318"/>
      <c r="AL195" s="318"/>
      <c r="AM195" s="318"/>
      <c r="AN195" s="318"/>
      <c r="AO195" s="318"/>
      <c r="AP195" s="215"/>
      <c r="AQ195" s="215"/>
      <c r="AR195" s="215"/>
      <c r="AS195" s="215"/>
      <c r="AT195" s="215"/>
    </row>
    <row r="196" spans="21:46" ht="19.5" customHeight="1" x14ac:dyDescent="0.25">
      <c r="U196" s="535"/>
      <c r="V196" s="315" t="str">
        <f t="shared" si="18"/>
        <v>Biobokashi Farelado FERTIBIO (61 9827-4439)</v>
      </c>
      <c r="W196" s="316" t="e">
        <f t="shared" si="19"/>
        <v>#N/A</v>
      </c>
      <c r="X196" s="316" t="e">
        <f t="shared" si="20"/>
        <v>#N/A</v>
      </c>
      <c r="Y196" s="316" t="e">
        <f t="shared" si="21"/>
        <v>#N/A</v>
      </c>
      <c r="Z196" s="316" t="e">
        <f t="shared" si="22"/>
        <v>#N/A</v>
      </c>
      <c r="AA196" s="317">
        <v>0</v>
      </c>
      <c r="AB196" s="317" t="e">
        <f t="shared" si="23"/>
        <v>#N/A</v>
      </c>
      <c r="AC196" s="317" t="e">
        <f t="shared" si="24"/>
        <v>#N/A</v>
      </c>
      <c r="AD196" s="317" t="e">
        <f t="shared" si="25"/>
        <v>#N/A</v>
      </c>
      <c r="AE196" s="317" t="e">
        <f t="shared" si="26"/>
        <v>#N/A</v>
      </c>
      <c r="AH196" s="318"/>
      <c r="AI196" s="318"/>
      <c r="AJ196" s="318"/>
      <c r="AK196" s="318"/>
      <c r="AL196" s="318"/>
      <c r="AM196" s="318"/>
      <c r="AN196" s="318"/>
      <c r="AO196" s="318"/>
      <c r="AP196" s="215"/>
      <c r="AQ196" s="215"/>
      <c r="AR196" s="215"/>
      <c r="AS196" s="215"/>
      <c r="AT196" s="215"/>
    </row>
    <row r="197" spans="21:46" ht="19.5" customHeight="1" x14ac:dyDescent="0.25">
      <c r="U197" s="535"/>
      <c r="V197" s="315" t="str">
        <f t="shared" si="18"/>
        <v>Torta de mamona Super thorg (061 9 9827-4439)</v>
      </c>
      <c r="W197" s="316" t="e">
        <f t="shared" si="19"/>
        <v>#N/A</v>
      </c>
      <c r="X197" s="316" t="e">
        <f t="shared" si="20"/>
        <v>#N/A</v>
      </c>
      <c r="Y197" s="316" t="e">
        <f t="shared" si="21"/>
        <v>#N/A</v>
      </c>
      <c r="Z197" s="316" t="e">
        <f t="shared" si="22"/>
        <v>#N/A</v>
      </c>
      <c r="AA197" s="317">
        <v>-7.1054273576010019E-15</v>
      </c>
      <c r="AB197" s="317" t="e">
        <f t="shared" si="23"/>
        <v>#N/A</v>
      </c>
      <c r="AC197" s="317" t="e">
        <f t="shared" si="24"/>
        <v>#N/A</v>
      </c>
      <c r="AD197" s="317" t="e">
        <f t="shared" si="25"/>
        <v>#N/A</v>
      </c>
      <c r="AE197" s="317" t="e">
        <f t="shared" si="26"/>
        <v>#N/A</v>
      </c>
      <c r="AH197" s="318"/>
      <c r="AI197" s="318"/>
      <c r="AJ197" s="318"/>
      <c r="AK197" s="318"/>
      <c r="AL197" s="318"/>
      <c r="AM197" s="318"/>
      <c r="AN197" s="318"/>
      <c r="AO197" s="318"/>
      <c r="AP197" s="215"/>
      <c r="AQ197" s="215"/>
      <c r="AR197" s="215"/>
      <c r="AS197" s="215"/>
      <c r="AT197" s="215"/>
    </row>
    <row r="198" spans="21:46" ht="19.5" customHeight="1" x14ac:dyDescent="0.25">
      <c r="U198" s="535"/>
      <c r="V198" s="315" t="str">
        <f t="shared" si="18"/>
        <v>Torta de mamona Nutrisafra (062 3310-8133)</v>
      </c>
      <c r="W198" s="316" t="e">
        <f t="shared" si="19"/>
        <v>#N/A</v>
      </c>
      <c r="X198" s="316" t="e">
        <f t="shared" si="20"/>
        <v>#N/A</v>
      </c>
      <c r="Y198" s="316" t="e">
        <f t="shared" si="21"/>
        <v>#N/A</v>
      </c>
      <c r="Z198" s="316" t="e">
        <f t="shared" si="22"/>
        <v>#N/A</v>
      </c>
      <c r="AA198" s="317">
        <v>0</v>
      </c>
      <c r="AB198" s="317" t="e">
        <f t="shared" si="23"/>
        <v>#N/A</v>
      </c>
      <c r="AC198" s="317" t="e">
        <f t="shared" si="24"/>
        <v>#N/A</v>
      </c>
      <c r="AD198" s="317" t="e">
        <f t="shared" si="25"/>
        <v>#N/A</v>
      </c>
      <c r="AE198" s="317" t="e">
        <f t="shared" si="26"/>
        <v>#N/A</v>
      </c>
      <c r="AH198" s="318"/>
      <c r="AI198" s="318"/>
      <c r="AJ198" s="318"/>
      <c r="AK198" s="318"/>
      <c r="AL198" s="318"/>
      <c r="AM198" s="318"/>
      <c r="AN198" s="318"/>
      <c r="AO198" s="318"/>
      <c r="AP198" s="215"/>
      <c r="AQ198" s="215"/>
      <c r="AR198" s="215"/>
      <c r="AS198" s="215"/>
      <c r="AT198" s="215"/>
    </row>
    <row r="199" spans="21:46" ht="19.5" customHeight="1" x14ac:dyDescent="0.25">
      <c r="U199" s="535"/>
      <c r="V199" s="315" t="str">
        <f t="shared" si="18"/>
        <v>Torta de mamona Vitaplan (061 3234-8485)</v>
      </c>
      <c r="W199" s="316" t="e">
        <f t="shared" si="19"/>
        <v>#N/A</v>
      </c>
      <c r="X199" s="316" t="e">
        <f t="shared" si="20"/>
        <v>#N/A</v>
      </c>
      <c r="Y199" s="316" t="e">
        <f t="shared" si="21"/>
        <v>#N/A</v>
      </c>
      <c r="Z199" s="316" t="e">
        <f t="shared" si="22"/>
        <v>#N/A</v>
      </c>
      <c r="AA199" s="317">
        <v>1.1368683772161603E-13</v>
      </c>
      <c r="AB199" s="317" t="e">
        <f t="shared" si="23"/>
        <v>#N/A</v>
      </c>
      <c r="AC199" s="317" t="e">
        <f t="shared" si="24"/>
        <v>#N/A</v>
      </c>
      <c r="AD199" s="317" t="e">
        <f t="shared" si="25"/>
        <v>#N/A</v>
      </c>
      <c r="AE199" s="317" t="e">
        <f t="shared" si="26"/>
        <v>#N/A</v>
      </c>
      <c r="AH199" s="318"/>
      <c r="AI199" s="318"/>
      <c r="AJ199" s="318"/>
      <c r="AK199" s="318"/>
      <c r="AL199" s="318"/>
      <c r="AM199" s="318"/>
      <c r="AN199" s="318"/>
      <c r="AO199" s="318"/>
      <c r="AP199" s="215"/>
      <c r="AQ199" s="215"/>
      <c r="AR199" s="215"/>
      <c r="AS199" s="215"/>
      <c r="AT199" s="215"/>
    </row>
    <row r="200" spans="21:46" ht="19.5" customHeight="1" x14ac:dyDescent="0.25">
      <c r="U200" s="535"/>
      <c r="V200" s="315" t="str">
        <f t="shared" si="18"/>
        <v>Farinha de osso</v>
      </c>
      <c r="W200" s="316">
        <f t="shared" si="19"/>
        <v>0</v>
      </c>
      <c r="X200" s="316">
        <f t="shared" si="20"/>
        <v>0</v>
      </c>
      <c r="Y200" s="316">
        <f t="shared" si="21"/>
        <v>42</v>
      </c>
      <c r="Z200" s="316">
        <f t="shared" si="22"/>
        <v>0</v>
      </c>
      <c r="AA200" s="317">
        <v>0</v>
      </c>
      <c r="AB200" s="317">
        <f t="shared" si="23"/>
        <v>0</v>
      </c>
      <c r="AC200" s="317">
        <f t="shared" si="24"/>
        <v>0</v>
      </c>
      <c r="AD200" s="317">
        <f t="shared" si="25"/>
        <v>0</v>
      </c>
      <c r="AE200" s="317">
        <f t="shared" si="26"/>
        <v>0</v>
      </c>
      <c r="AH200" s="318"/>
      <c r="AI200" s="318"/>
      <c r="AJ200" s="318"/>
      <c r="AK200" s="318"/>
      <c r="AL200" s="318"/>
      <c r="AM200" s="318"/>
      <c r="AN200" s="318"/>
      <c r="AO200" s="318"/>
      <c r="AP200" s="215"/>
      <c r="AQ200" s="215"/>
      <c r="AR200" s="215"/>
      <c r="AS200" s="215"/>
      <c r="AT200" s="215"/>
    </row>
    <row r="201" spans="21:46" ht="19.5" customHeight="1" x14ac:dyDescent="0.2">
      <c r="U201" s="535"/>
      <c r="V201" s="315" t="str">
        <f t="shared" si="18"/>
        <v>Termofosfato YOORIN</v>
      </c>
      <c r="W201" s="316">
        <f t="shared" si="19"/>
        <v>2.3250000000000002</v>
      </c>
      <c r="X201" s="316">
        <f t="shared" si="20"/>
        <v>0</v>
      </c>
      <c r="Y201" s="316">
        <f t="shared" si="21"/>
        <v>17.5</v>
      </c>
      <c r="Z201" s="316">
        <f t="shared" si="22"/>
        <v>0</v>
      </c>
      <c r="AA201" s="317">
        <v>0</v>
      </c>
      <c r="AB201" s="317">
        <f t="shared" si="23"/>
        <v>0</v>
      </c>
      <c r="AC201" s="317">
        <f t="shared" si="24"/>
        <v>0</v>
      </c>
      <c r="AD201" s="317">
        <f t="shared" si="25"/>
        <v>0</v>
      </c>
      <c r="AE201" s="317">
        <f t="shared" si="26"/>
        <v>0</v>
      </c>
      <c r="AH201" s="319"/>
      <c r="AI201" s="319"/>
      <c r="AJ201" s="319"/>
      <c r="AK201" s="319"/>
      <c r="AL201" s="319"/>
      <c r="AM201" s="319"/>
      <c r="AN201" s="319"/>
      <c r="AO201" s="319"/>
      <c r="AP201" s="215"/>
      <c r="AQ201" s="215"/>
      <c r="AR201" s="215"/>
      <c r="AS201" s="215"/>
      <c r="AT201" s="215"/>
    </row>
    <row r="202" spans="21:46" ht="19.5" customHeight="1" x14ac:dyDescent="0.25">
      <c r="U202" s="535"/>
      <c r="V202" s="315" t="str">
        <f>O131</f>
        <v>Kmag</v>
      </c>
      <c r="W202" s="316">
        <f t="shared" si="19"/>
        <v>2.9</v>
      </c>
      <c r="X202" s="316">
        <f t="shared" si="20"/>
        <v>0</v>
      </c>
      <c r="Y202" s="316">
        <f t="shared" si="21"/>
        <v>0</v>
      </c>
      <c r="Z202" s="316">
        <f t="shared" si="22"/>
        <v>21</v>
      </c>
      <c r="AA202" s="317">
        <v>963.62433740756171</v>
      </c>
      <c r="AB202" s="317">
        <f t="shared" si="23"/>
        <v>2794.5105784819289</v>
      </c>
      <c r="AC202" s="317">
        <f t="shared" si="24"/>
        <v>0</v>
      </c>
      <c r="AD202" s="317">
        <f t="shared" si="25"/>
        <v>0</v>
      </c>
      <c r="AE202" s="317">
        <f t="shared" si="26"/>
        <v>202.36111085558795</v>
      </c>
    </row>
    <row r="203" spans="21:46" ht="19.5" customHeight="1" x14ac:dyDescent="0.25">
      <c r="U203" s="535"/>
      <c r="V203" s="315" t="str">
        <f t="shared" si="18"/>
        <v>Algas marinhas Algen</v>
      </c>
      <c r="W203" s="316">
        <f t="shared" si="19"/>
        <v>1.96</v>
      </c>
      <c r="X203" s="316">
        <f t="shared" si="20"/>
        <v>0</v>
      </c>
      <c r="Y203" s="316">
        <f t="shared" si="21"/>
        <v>0</v>
      </c>
      <c r="Z203" s="316">
        <f t="shared" si="22"/>
        <v>0</v>
      </c>
      <c r="AA203" s="317">
        <v>0</v>
      </c>
      <c r="AB203" s="317">
        <f t="shared" si="23"/>
        <v>0</v>
      </c>
      <c r="AC203" s="317">
        <f t="shared" si="24"/>
        <v>0</v>
      </c>
      <c r="AD203" s="317">
        <f t="shared" si="25"/>
        <v>0</v>
      </c>
      <c r="AE203" s="317">
        <f t="shared" si="26"/>
        <v>0</v>
      </c>
    </row>
    <row r="204" spans="21:46" ht="19.5" customHeight="1" x14ac:dyDescent="0.25">
      <c r="U204" s="535"/>
      <c r="V204" s="315" t="str">
        <f t="shared" si="18"/>
        <v>Torta de mamona Hortibraz</v>
      </c>
      <c r="W204" s="316" t="e">
        <f t="shared" si="19"/>
        <v>#N/A</v>
      </c>
      <c r="X204" s="316" t="e">
        <f t="shared" si="20"/>
        <v>#N/A</v>
      </c>
      <c r="Y204" s="316" t="e">
        <f t="shared" si="21"/>
        <v>#N/A</v>
      </c>
      <c r="Z204" s="316" t="e">
        <f t="shared" si="22"/>
        <v>#N/A</v>
      </c>
      <c r="AA204" s="317">
        <v>0</v>
      </c>
      <c r="AB204" s="317" t="e">
        <f t="shared" si="23"/>
        <v>#N/A</v>
      </c>
      <c r="AC204" s="317" t="e">
        <f t="shared" si="24"/>
        <v>#N/A</v>
      </c>
      <c r="AD204" s="317" t="e">
        <f t="shared" si="25"/>
        <v>#N/A</v>
      </c>
      <c r="AE204" s="317" t="e">
        <f t="shared" si="26"/>
        <v>#N/A</v>
      </c>
    </row>
    <row r="205" spans="21:46" ht="19.5" customHeight="1" x14ac:dyDescent="0.25">
      <c r="U205" s="535"/>
      <c r="V205" s="315">
        <f t="shared" si="18"/>
        <v>0</v>
      </c>
      <c r="W205" s="316">
        <f t="shared" si="19"/>
        <v>0</v>
      </c>
      <c r="X205" s="316">
        <f t="shared" si="20"/>
        <v>0</v>
      </c>
      <c r="Y205" s="316">
        <f t="shared" si="21"/>
        <v>0</v>
      </c>
      <c r="Z205" s="316">
        <f t="shared" si="22"/>
        <v>0</v>
      </c>
      <c r="AA205" s="317">
        <v>0</v>
      </c>
      <c r="AB205" s="317">
        <f t="shared" si="23"/>
        <v>0</v>
      </c>
      <c r="AC205" s="317">
        <f t="shared" si="24"/>
        <v>0</v>
      </c>
      <c r="AD205" s="317">
        <f t="shared" si="25"/>
        <v>0</v>
      </c>
      <c r="AE205" s="317">
        <f t="shared" si="26"/>
        <v>0</v>
      </c>
    </row>
    <row r="206" spans="21:46" ht="19.5" customHeight="1" x14ac:dyDescent="0.25">
      <c r="U206" s="535"/>
      <c r="V206" s="315">
        <f t="shared" si="18"/>
        <v>0</v>
      </c>
      <c r="W206" s="316">
        <f t="shared" si="19"/>
        <v>0</v>
      </c>
      <c r="X206" s="316">
        <f t="shared" si="20"/>
        <v>0</v>
      </c>
      <c r="Y206" s="316">
        <f t="shared" si="21"/>
        <v>0</v>
      </c>
      <c r="Z206" s="316">
        <f t="shared" si="22"/>
        <v>0</v>
      </c>
      <c r="AA206" s="317">
        <v>0</v>
      </c>
      <c r="AB206" s="317">
        <f t="shared" si="23"/>
        <v>0</v>
      </c>
      <c r="AC206" s="317">
        <f t="shared" si="24"/>
        <v>0</v>
      </c>
      <c r="AD206" s="317">
        <f t="shared" si="25"/>
        <v>0</v>
      </c>
      <c r="AE206" s="317">
        <f t="shared" si="26"/>
        <v>0</v>
      </c>
    </row>
    <row r="207" spans="21:46" ht="19.5" customHeight="1" x14ac:dyDescent="0.25">
      <c r="U207" s="535"/>
      <c r="V207" s="315">
        <f t="shared" si="18"/>
        <v>0</v>
      </c>
      <c r="W207" s="316">
        <f t="shared" si="19"/>
        <v>0</v>
      </c>
      <c r="X207" s="316">
        <f t="shared" si="20"/>
        <v>0</v>
      </c>
      <c r="Y207" s="316">
        <f t="shared" si="21"/>
        <v>0</v>
      </c>
      <c r="Z207" s="316">
        <f t="shared" si="22"/>
        <v>0</v>
      </c>
      <c r="AA207" s="317">
        <v>0</v>
      </c>
      <c r="AB207" s="317">
        <f t="shared" si="23"/>
        <v>0</v>
      </c>
      <c r="AC207" s="317">
        <f t="shared" si="24"/>
        <v>0</v>
      </c>
      <c r="AD207" s="317">
        <f t="shared" si="25"/>
        <v>0</v>
      </c>
      <c r="AE207" s="317">
        <f t="shared" si="26"/>
        <v>0</v>
      </c>
    </row>
    <row r="208" spans="21:46" ht="19.5" customHeight="1" x14ac:dyDescent="0.25">
      <c r="U208" s="535"/>
      <c r="V208" s="315">
        <f t="shared" si="18"/>
        <v>0</v>
      </c>
      <c r="W208" s="316">
        <f t="shared" si="19"/>
        <v>0</v>
      </c>
      <c r="X208" s="316">
        <f t="shared" si="20"/>
        <v>0</v>
      </c>
      <c r="Y208" s="316">
        <f t="shared" si="21"/>
        <v>0</v>
      </c>
      <c r="Z208" s="316">
        <f t="shared" si="22"/>
        <v>0</v>
      </c>
      <c r="AA208" s="317">
        <v>0</v>
      </c>
      <c r="AB208" s="317">
        <f t="shared" si="23"/>
        <v>0</v>
      </c>
      <c r="AC208" s="317">
        <f t="shared" si="24"/>
        <v>0</v>
      </c>
      <c r="AD208" s="317">
        <f t="shared" si="25"/>
        <v>0</v>
      </c>
      <c r="AE208" s="317">
        <f t="shared" si="26"/>
        <v>0</v>
      </c>
    </row>
    <row r="209" spans="21:31" ht="19.5" customHeight="1" x14ac:dyDescent="0.25">
      <c r="U209" s="535"/>
      <c r="V209" s="315">
        <f>O138</f>
        <v>0</v>
      </c>
      <c r="W209" s="316">
        <f t="shared" si="19"/>
        <v>0</v>
      </c>
      <c r="X209" s="316">
        <f t="shared" si="20"/>
        <v>0</v>
      </c>
      <c r="Y209" s="316">
        <f t="shared" si="21"/>
        <v>0</v>
      </c>
      <c r="Z209" s="316">
        <f t="shared" si="22"/>
        <v>0</v>
      </c>
      <c r="AA209" s="317">
        <v>0</v>
      </c>
      <c r="AB209" s="317">
        <f t="shared" si="23"/>
        <v>0</v>
      </c>
      <c r="AC209" s="317">
        <f t="shared" si="24"/>
        <v>0</v>
      </c>
      <c r="AD209" s="317">
        <f t="shared" si="25"/>
        <v>0</v>
      </c>
      <c r="AE209" s="317">
        <f t="shared" si="26"/>
        <v>0</v>
      </c>
    </row>
    <row r="210" spans="21:31" ht="19.5" customHeight="1" x14ac:dyDescent="0.25">
      <c r="U210" s="535"/>
      <c r="V210" s="315">
        <f t="shared" si="18"/>
        <v>0</v>
      </c>
      <c r="W210" s="316">
        <f t="shared" si="19"/>
        <v>0</v>
      </c>
      <c r="X210" s="316">
        <f t="shared" si="20"/>
        <v>0</v>
      </c>
      <c r="Y210" s="316">
        <f t="shared" si="21"/>
        <v>0</v>
      </c>
      <c r="Z210" s="316">
        <f t="shared" si="22"/>
        <v>0</v>
      </c>
      <c r="AA210" s="317">
        <v>0</v>
      </c>
      <c r="AB210" s="317">
        <f t="shared" si="23"/>
        <v>0</v>
      </c>
      <c r="AC210" s="317">
        <f t="shared" si="24"/>
        <v>0</v>
      </c>
      <c r="AD210" s="317">
        <f t="shared" si="25"/>
        <v>0</v>
      </c>
      <c r="AE210" s="317">
        <f t="shared" si="26"/>
        <v>0</v>
      </c>
    </row>
    <row r="211" spans="21:31" ht="19.5" customHeight="1" x14ac:dyDescent="0.25">
      <c r="U211" s="535"/>
      <c r="V211" s="315">
        <f t="shared" si="18"/>
        <v>0</v>
      </c>
      <c r="W211" s="316">
        <f t="shared" si="19"/>
        <v>0</v>
      </c>
      <c r="X211" s="316">
        <f t="shared" si="20"/>
        <v>0</v>
      </c>
      <c r="Y211" s="316">
        <f t="shared" si="21"/>
        <v>0</v>
      </c>
      <c r="Z211" s="316">
        <f t="shared" si="22"/>
        <v>0</v>
      </c>
      <c r="AA211" s="317">
        <v>0</v>
      </c>
      <c r="AB211" s="317">
        <f t="shared" si="23"/>
        <v>0</v>
      </c>
      <c r="AC211" s="317">
        <f t="shared" si="24"/>
        <v>0</v>
      </c>
      <c r="AD211" s="317">
        <f t="shared" si="25"/>
        <v>0</v>
      </c>
      <c r="AE211" s="317">
        <f t="shared" si="26"/>
        <v>0</v>
      </c>
    </row>
    <row r="212" spans="21:31" ht="19.5" customHeight="1" x14ac:dyDescent="0.25">
      <c r="U212" s="535"/>
      <c r="V212" s="315">
        <f t="shared" si="18"/>
        <v>0</v>
      </c>
      <c r="W212" s="316">
        <f t="shared" si="19"/>
        <v>0</v>
      </c>
      <c r="X212" s="316">
        <f t="shared" si="20"/>
        <v>0</v>
      </c>
      <c r="Y212" s="316">
        <f t="shared" si="21"/>
        <v>0</v>
      </c>
      <c r="Z212" s="316">
        <f t="shared" si="22"/>
        <v>0</v>
      </c>
      <c r="AA212" s="317">
        <v>0</v>
      </c>
      <c r="AB212" s="317">
        <f t="shared" si="23"/>
        <v>0</v>
      </c>
      <c r="AC212" s="317">
        <f t="shared" si="24"/>
        <v>0</v>
      </c>
      <c r="AD212" s="317">
        <f t="shared" si="25"/>
        <v>0</v>
      </c>
      <c r="AE212" s="317">
        <f t="shared" si="26"/>
        <v>0</v>
      </c>
    </row>
    <row r="213" spans="21:31" ht="19.5" customHeight="1" x14ac:dyDescent="0.25">
      <c r="U213" s="535"/>
      <c r="V213" s="315">
        <f>O142</f>
        <v>0</v>
      </c>
      <c r="W213" s="316">
        <f t="shared" si="19"/>
        <v>0</v>
      </c>
      <c r="X213" s="316">
        <f t="shared" si="20"/>
        <v>0</v>
      </c>
      <c r="Y213" s="316">
        <f t="shared" si="21"/>
        <v>0</v>
      </c>
      <c r="Z213" s="316">
        <f t="shared" si="22"/>
        <v>0</v>
      </c>
      <c r="AA213" s="317">
        <v>0</v>
      </c>
      <c r="AB213" s="317">
        <f t="shared" si="23"/>
        <v>0</v>
      </c>
      <c r="AC213" s="317">
        <f t="shared" si="24"/>
        <v>0</v>
      </c>
      <c r="AD213" s="317">
        <f t="shared" si="25"/>
        <v>0</v>
      </c>
      <c r="AE213" s="317">
        <f t="shared" si="26"/>
        <v>0</v>
      </c>
    </row>
    <row r="214" spans="21:31" ht="19.5" customHeight="1" x14ac:dyDescent="0.25">
      <c r="U214" s="535"/>
      <c r="V214" s="315">
        <f t="shared" si="18"/>
        <v>0</v>
      </c>
      <c r="W214" s="316">
        <f t="shared" si="19"/>
        <v>0</v>
      </c>
      <c r="X214" s="316">
        <f t="shared" si="20"/>
        <v>0</v>
      </c>
      <c r="Y214" s="316">
        <f t="shared" si="21"/>
        <v>0</v>
      </c>
      <c r="Z214" s="316">
        <f t="shared" si="22"/>
        <v>0</v>
      </c>
      <c r="AA214" s="317">
        <v>0</v>
      </c>
      <c r="AB214" s="317">
        <f t="shared" si="23"/>
        <v>0</v>
      </c>
      <c r="AC214" s="317">
        <f t="shared" si="24"/>
        <v>0</v>
      </c>
      <c r="AD214" s="317">
        <f t="shared" si="25"/>
        <v>0</v>
      </c>
      <c r="AE214" s="317">
        <f t="shared" si="26"/>
        <v>0</v>
      </c>
    </row>
    <row r="215" spans="21:31" ht="19.5" customHeight="1" x14ac:dyDescent="0.2">
      <c r="AA215" s="320">
        <f>SUM(AA188:AA214)</f>
        <v>46040.013205690877</v>
      </c>
      <c r="AB215" s="320" t="e">
        <f>SUM(AB188:AB214)</f>
        <v>#N/A</v>
      </c>
      <c r="AC215" s="320" t="e">
        <f t="shared" ref="AC215:AE215" si="27">SUM(AC188:AC214)</f>
        <v>#N/A</v>
      </c>
      <c r="AD215" s="320" t="e">
        <f t="shared" si="27"/>
        <v>#N/A</v>
      </c>
      <c r="AE215" s="320" t="e">
        <f t="shared" si="27"/>
        <v>#N/A</v>
      </c>
    </row>
    <row r="220" spans="21:31" ht="19.5" customHeight="1" x14ac:dyDescent="0.25">
      <c r="AD220" s="23" t="s">
        <v>33</v>
      </c>
      <c r="AE220" s="23">
        <v>126</v>
      </c>
    </row>
    <row r="221" spans="21:31" ht="19.5" customHeight="1" x14ac:dyDescent="0.25">
      <c r="AD221" s="23" t="s">
        <v>66</v>
      </c>
      <c r="AE221" s="23">
        <v>108</v>
      </c>
    </row>
    <row r="222" spans="21:31" ht="19.5" customHeight="1" x14ac:dyDescent="0.25">
      <c r="AD222" s="23" t="s">
        <v>67</v>
      </c>
      <c r="AE222" s="23">
        <v>144</v>
      </c>
    </row>
  </sheetData>
  <mergeCells count="289">
    <mergeCell ref="AQ4:AR5"/>
    <mergeCell ref="AV4:AV5"/>
    <mergeCell ref="V6:X6"/>
    <mergeCell ref="AQ6:AR6"/>
    <mergeCell ref="Z7:AB7"/>
    <mergeCell ref="AF7:AM7"/>
    <mergeCell ref="AQ7:AR7"/>
    <mergeCell ref="M2:R2"/>
    <mergeCell ref="U3:X5"/>
    <mergeCell ref="Y3:AD6"/>
    <mergeCell ref="M4:N25"/>
    <mergeCell ref="O4:P4"/>
    <mergeCell ref="AP4:AP5"/>
    <mergeCell ref="AD8:AD11"/>
    <mergeCell ref="AG8:AH8"/>
    <mergeCell ref="AI8:AJ8"/>
    <mergeCell ref="AM18:AM20"/>
    <mergeCell ref="AQ8:AR8"/>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AF15:AF17"/>
    <mergeCell ref="AJ15:AJ17"/>
    <mergeCell ref="AK15:AK17"/>
    <mergeCell ref="AL15:AL17"/>
    <mergeCell ref="AM15:AM17"/>
    <mergeCell ref="B16:I16"/>
    <mergeCell ref="AP16:AP17"/>
    <mergeCell ref="AQ18:AR18"/>
    <mergeCell ref="AQ19:AR19"/>
    <mergeCell ref="B20:E20"/>
    <mergeCell ref="V20:X20"/>
    <mergeCell ref="AQ20:AR20"/>
    <mergeCell ref="Z21:AB21"/>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AQ35:AR35"/>
    <mergeCell ref="M36:R36"/>
    <mergeCell ref="AB36:AC36"/>
    <mergeCell ref="AQ36:AR36"/>
    <mergeCell ref="B30:C31"/>
    <mergeCell ref="E30:G30"/>
    <mergeCell ref="AQ30:AR30"/>
    <mergeCell ref="E31:G31"/>
    <mergeCell ref="O31:Q31"/>
    <mergeCell ref="AQ31:AR31"/>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AP43:AQ43"/>
    <mergeCell ref="B44:I44"/>
    <mergeCell ref="M44:R44"/>
    <mergeCell ref="AP44:AQ44"/>
    <mergeCell ref="B45:C46"/>
    <mergeCell ref="E45:G45"/>
    <mergeCell ref="O45:Q46"/>
    <mergeCell ref="U45:V45"/>
    <mergeCell ref="X45:Z45"/>
    <mergeCell ref="E46:G46"/>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B60:C61"/>
    <mergeCell ref="E60:G60"/>
    <mergeCell ref="O60:Q60"/>
    <mergeCell ref="E61:G61"/>
    <mergeCell ref="O62:Q62"/>
    <mergeCell ref="B63:C64"/>
    <mergeCell ref="E63:G63"/>
    <mergeCell ref="E64:G64"/>
    <mergeCell ref="B57:C58"/>
    <mergeCell ref="E57:G57"/>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W71:W72"/>
    <mergeCell ref="X71:Z71"/>
    <mergeCell ref="B72:C73"/>
    <mergeCell ref="E72:G72"/>
    <mergeCell ref="O72:P72"/>
    <mergeCell ref="E73:G73"/>
    <mergeCell ref="O73:P73"/>
    <mergeCell ref="U73:U82"/>
    <mergeCell ref="B75:I78"/>
    <mergeCell ref="O75:Q75"/>
    <mergeCell ref="O83:Q83"/>
    <mergeCell ref="B85:C86"/>
    <mergeCell ref="E85:G85"/>
    <mergeCell ref="O85:Q85"/>
    <mergeCell ref="U85:U86"/>
    <mergeCell ref="V85:V86"/>
    <mergeCell ref="O77:Q77"/>
    <mergeCell ref="O78:Q78"/>
    <mergeCell ref="O79:P79"/>
    <mergeCell ref="B80:I80"/>
    <mergeCell ref="O80:P80"/>
    <mergeCell ref="O81:P81"/>
    <mergeCell ref="W85:W86"/>
    <mergeCell ref="X85:AE85"/>
    <mergeCell ref="E86:G86"/>
    <mergeCell ref="O86:Q86"/>
    <mergeCell ref="O87:P87"/>
    <mergeCell ref="U87:U95"/>
    <mergeCell ref="E88:G88"/>
    <mergeCell ref="O88:P88"/>
    <mergeCell ref="E89:G89"/>
    <mergeCell ref="O89:P89"/>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O137:P137"/>
    <mergeCell ref="O138:P138"/>
    <mergeCell ref="O139:P139"/>
    <mergeCell ref="O140:P140"/>
    <mergeCell ref="O141:P141"/>
    <mergeCell ref="O142:P142"/>
    <mergeCell ref="O128:P128"/>
    <mergeCell ref="O129:P129"/>
    <mergeCell ref="O130:P130"/>
    <mergeCell ref="O131:P131"/>
    <mergeCell ref="O132:P132"/>
    <mergeCell ref="O133:P133"/>
    <mergeCell ref="O134:P134"/>
    <mergeCell ref="O135:P135"/>
    <mergeCell ref="O136:P136"/>
    <mergeCell ref="U188:U21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U131:U150"/>
  </mergeCells>
  <dataValidations count="5">
    <dataValidation type="list" allowBlank="1" showInputMessage="1" showErrorMessage="1" sqref="O42:Q42">
      <formula1>$AK$29:$AK$38</formula1>
    </dataValidation>
    <dataValidation type="list" allowBlank="1" showInputMessage="1" showErrorMessage="1" sqref="Q79:Q81 Q87:Q89 Q71:Q73 Q47 Q50">
      <formula1>$AI$29:$AI$40</formula1>
    </dataValidation>
    <dataValidation type="list" allowBlank="1" showInputMessage="1" showErrorMessage="1" sqref="P39:Q39">
      <formula1>$AE$31:$AE$35</formula1>
    </dataValidation>
    <dataValidation type="list" allowBlank="1" showInputMessage="1" showErrorMessage="1" sqref="O60">
      <formula1>$AG$29:$AG$30</formula1>
    </dataValidation>
    <dataValidation type="list" allowBlank="1" showInputMessage="1" showErrorMessage="1" sqref="O102:Q106">
      <formula1>$V$170:$V$179</formula1>
    </dataValidation>
  </dataValidations>
  <hyperlinks>
    <hyperlink ref="K4:L4" location="'Apresentação (1)'!A1" display="Voltar"/>
    <hyperlink ref="K4" location="'Apresentação (1)'!A1" display="Voltar"/>
    <hyperlink ref="K10" location="'Abacate formação'!A1" display="Abacate - formação"/>
    <hyperlink ref="K12" location="'Abacaxi produção'!A1" display="Abacaxi - produção"/>
    <hyperlink ref="K13" location="'Acerola formação'!A1" display="Acerola - formação"/>
    <hyperlink ref="K14" location="'Acerola produção'!A1" display="Acerola - produção"/>
    <hyperlink ref="K15" location="'Banana formação'!A1" display="Banana - formação"/>
    <hyperlink ref="K16" location="'Banana produção'!A1" display="Banana - produção"/>
    <hyperlink ref="K17" location="'Laranja industria formação'!A1" display="Citros - formação"/>
    <hyperlink ref="K18" location="'Laranja industria produção'!A1" display="Citros - produção"/>
    <hyperlink ref="K21" location="'Goiaba formação'!A1" display="Goiaba - formação"/>
    <hyperlink ref="K22" location="'Goiaba produção'!A1" display="Goiaba - produção"/>
    <hyperlink ref="K23" location="'Graviola formação'!A1" display="Graviola - formação"/>
    <hyperlink ref="K24" location="'Graviola produção'!A1" display="Graviola -produção"/>
    <hyperlink ref="K26" location="'Mamão produção'!A1" display="Mamão - produção"/>
    <hyperlink ref="K27" location="'Manga formação'!A1" display="Manga - formação"/>
    <hyperlink ref="K28" location="'Manga produção'!A1" display="Manga - produção"/>
    <hyperlink ref="K30" location="'Maracujá produção'!A1" display="Maracujá - produção"/>
    <hyperlink ref="K6" location="'Análise de solo'!A1" display="Análise de solo"/>
    <hyperlink ref="K8" location="Espaçamentos!A1" display="Espaçamentos"/>
    <hyperlink ref="K7" location="'Análise foliar'!A1" display="Análise foliar"/>
    <hyperlink ref="K9" location="'Adubos e corretivos'!A1" display="Adubos e corretivos"/>
    <hyperlink ref="K11" location="'Abacate produção'!A1" display="Abacate - produção"/>
    <hyperlink ref="K32" location="'Pitaya produção'!A1" display="Pitaya - produção"/>
    <hyperlink ref="K31" location="'Pitaya formação'!A1" display="Pitaya - formação"/>
    <hyperlink ref="K29" location="'Maracujá formação'!A1" display="Maracujá - formação"/>
    <hyperlink ref="K19" location="'Limão e Lima formação'!A1" display="Laranja industria - formação"/>
    <hyperlink ref="K20" location="'Limão e Lima produção'!A1" display="Laranja industria - produção"/>
    <hyperlink ref="K25" location="'Mamão produção'!A1" display="Mamão - produção"/>
    <hyperlink ref="K34" location="'Laranja Tangerina mesa produção'!A1" display="Laranja e tangerinas - produção"/>
    <hyperlink ref="K33" location="'Laranja Tangerina mesa formação'!A1" display="Laranja e tangerinas - formação"/>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'[1]Adubos e corretivos'!#REF!</xm:f>
          </x14:formula1>
          <xm:sqref>O56:Q56</xm:sqref>
        </x14:dataValidation>
        <x14:dataValidation type="list" allowBlank="1" showInputMessage="1" showErrorMessage="1">
          <x14:formula1>
            <xm:f>'[1]Adubos e corretivos'!#REF!</xm:f>
          </x14:formula1>
          <xm:sqref>O47:P47</xm:sqref>
        </x14:dataValidation>
        <x14:dataValidation type="list" allowBlank="1" showInputMessage="1" showErrorMessage="1">
          <x14:formula1>
            <xm:f>'[1]Adubos e corretivos'!#REF!</xm:f>
          </x14:formula1>
          <xm:sqref>O50:P50</xm:sqref>
        </x14:dataValidation>
        <x14:dataValidation type="list" allowBlank="1" showInputMessage="1" showErrorMessage="1">
          <x14:formula1>
            <xm:f>'[1]Adubos e corretivos'!#REF!</xm:f>
          </x14:formula1>
          <xm:sqref>O71:P73 O79:P81 O87:P89 O117:P143</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V27" sqref="V27"/>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22" style="11" customWidth="1"/>
    <col min="17" max="17" width="52.85546875" style="11" customWidth="1"/>
    <col min="18" max="18" width="8.7109375" style="11" customWidth="1"/>
    <col min="19" max="19" width="11.42578125" style="11" bestFit="1" customWidth="1"/>
    <col min="20" max="20" width="30.140625" style="11" hidden="1" customWidth="1" outlineLevel="1"/>
    <col min="21" max="21" width="43.5703125" style="11" hidden="1" customWidth="1" outlineLevel="1"/>
    <col min="22" max="22" width="65.42578125" style="11" hidden="1" customWidth="1" outlineLevel="1"/>
    <col min="23" max="23" width="19.85546875" style="11" hidden="1" customWidth="1" outlineLevel="1"/>
    <col min="24" max="24" width="12" style="11" hidden="1" customWidth="1" outlineLevel="1"/>
    <col min="25" max="25" width="21.85546875" style="11" hidden="1" customWidth="1" outlineLevel="1"/>
    <col min="26" max="26" width="14.140625" style="11" hidden="1" customWidth="1" outlineLevel="1"/>
    <col min="27" max="27" width="31.5703125" style="11" hidden="1" customWidth="1" outlineLevel="1"/>
    <col min="28" max="28" width="21.42578125" style="11" hidden="1" customWidth="1" outlineLevel="1"/>
    <col min="29" max="29" width="27" style="11" hidden="1" customWidth="1" outlineLevel="1"/>
    <col min="30" max="30" width="24.85546875" style="11" hidden="1" customWidth="1" outlineLevel="1"/>
    <col min="31" max="31" width="26.28515625" style="11" hidden="1" customWidth="1" outlineLevel="1"/>
    <col min="32" max="32" width="15.5703125" style="11" hidden="1" customWidth="1" outlineLevel="1"/>
    <col min="33" max="33" width="28.42578125" style="11" hidden="1" customWidth="1" outlineLevel="1"/>
    <col min="34" max="34" width="28.5703125" style="11" hidden="1" customWidth="1" outlineLevel="1"/>
    <col min="35" max="35" width="23" style="11" hidden="1" customWidth="1" outlineLevel="1"/>
    <col min="36" max="36" width="14" style="11" hidden="1" customWidth="1" outlineLevel="1"/>
    <col min="37" max="37" width="19.85546875" style="11" hidden="1" customWidth="1" outlineLevel="1"/>
    <col min="38" max="38" width="25.28515625" style="11" hidden="1" customWidth="1" outlineLevel="1"/>
    <col min="39" max="39" width="34.85546875" style="11" hidden="1" customWidth="1" outlineLevel="1"/>
    <col min="40" max="40" width="23.7109375" style="11" hidden="1" customWidth="1" outlineLevel="1"/>
    <col min="41" max="41" width="23.42578125" style="11" hidden="1" customWidth="1" outlineLevel="1"/>
    <col min="42" max="42" width="9.42578125" style="11" hidden="1" customWidth="1" outlineLevel="1"/>
    <col min="43" max="43" width="16.7109375" style="11" hidden="1" customWidth="1" outlineLevel="1"/>
    <col min="44" max="44" width="6.7109375" style="11" hidden="1" customWidth="1" outlineLevel="1"/>
    <col min="45" max="45" width="8.28515625" style="11" hidden="1" customWidth="1" outlineLevel="1"/>
    <col min="46" max="46" width="8.42578125" style="11" hidden="1" customWidth="1" outlineLevel="1"/>
    <col min="47" max="47" width="31.5703125" style="11" hidden="1" customWidth="1" outlineLevel="1"/>
    <col min="48" max="48" width="35.5703125" style="11" hidden="1" customWidth="1" outlineLevel="1"/>
    <col min="49" max="52" width="6.7109375"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94"/>
      <c r="V3" s="94"/>
      <c r="W3" s="94"/>
      <c r="X3" s="94"/>
      <c r="Y3" s="25"/>
      <c r="Z3" s="25"/>
      <c r="AA3" s="25"/>
      <c r="AB3" s="25"/>
      <c r="AC3" s="25"/>
      <c r="AD3" s="25"/>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94"/>
      <c r="V4" s="94"/>
      <c r="W4" s="94"/>
      <c r="X4" s="94"/>
      <c r="Y4" s="51" t="s">
        <v>63</v>
      </c>
      <c r="AB4" s="25"/>
      <c r="AC4" s="25"/>
      <c r="AD4" s="25"/>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94"/>
      <c r="V5" s="94"/>
      <c r="W5" s="94"/>
      <c r="X5" s="94"/>
      <c r="Y5" s="51" t="s">
        <v>189</v>
      </c>
      <c r="Z5" s="25"/>
      <c r="AA5" s="25"/>
      <c r="AB5" s="25"/>
      <c r="AC5" s="25"/>
      <c r="AD5" s="25"/>
      <c r="AO5" s="47"/>
      <c r="AP5" s="447"/>
      <c r="AQ5" s="447"/>
      <c r="AR5" s="447"/>
      <c r="AS5" s="55">
        <f>$V$26</f>
        <v>9</v>
      </c>
      <c r="AT5" s="55">
        <f>$V$27</f>
        <v>12</v>
      </c>
      <c r="AU5" s="55">
        <f>$V$28</f>
        <v>12</v>
      </c>
      <c r="AV5" s="509"/>
      <c r="AW5" s="47"/>
      <c r="AX5" s="47"/>
      <c r="AY5" s="47"/>
      <c r="AZ5" s="47"/>
      <c r="BA5" s="47"/>
      <c r="BB5" s="47"/>
    </row>
    <row r="6" spans="1:54" ht="20.25" customHeight="1" x14ac:dyDescent="0.25">
      <c r="M6" s="364"/>
      <c r="N6" s="453"/>
      <c r="O6" s="51" t="s">
        <v>3</v>
      </c>
      <c r="P6" s="56">
        <v>2</v>
      </c>
      <c r="Q6" s="51" t="s">
        <v>55</v>
      </c>
      <c r="R6" s="53"/>
      <c r="U6" s="591" t="s">
        <v>56</v>
      </c>
      <c r="V6" s="592"/>
      <c r="W6" s="510" t="s">
        <v>58</v>
      </c>
      <c r="X6" s="25"/>
      <c r="Y6" s="51" t="s">
        <v>190</v>
      </c>
      <c r="Z6" s="25"/>
      <c r="AA6" s="25"/>
      <c r="AB6" s="25"/>
      <c r="AC6" s="25"/>
      <c r="AD6" s="25"/>
      <c r="AO6" s="47"/>
      <c r="AP6" s="54">
        <v>1</v>
      </c>
      <c r="AQ6" s="517" t="str">
        <f>O74</f>
        <v>Termofosfato YOORIN</v>
      </c>
      <c r="AR6" s="518"/>
      <c r="AS6" s="55">
        <f>IFERROR((VLOOKUP(AQ6,$V$100:$AB$179,3,0)*0.01)*AV6,0)</f>
        <v>0</v>
      </c>
      <c r="AT6" s="55">
        <f>IFERROR((VLOOKUP(AQ6,$V$100:$AB$179,5,0)*0.01)*AV6,0)</f>
        <v>6</v>
      </c>
      <c r="AU6" s="55">
        <f>IFERROR((VLOOKUP(AQ6,$V$100:$AB$179,7,0)*0.01)*AV6,0)</f>
        <v>0</v>
      </c>
      <c r="AV6" s="55">
        <f>IFERROR($AT$5*Q74/(VLOOKUP(AQ6,$V$100:$AB$179,5,0)/100),0)</f>
        <v>34.285714285714285</v>
      </c>
      <c r="AW6" s="47"/>
      <c r="AX6" s="47"/>
      <c r="AY6" s="47"/>
      <c r="AZ6" s="47"/>
      <c r="BA6" s="47"/>
      <c r="BB6" s="47"/>
    </row>
    <row r="7" spans="1:54" ht="20.25" customHeight="1" x14ac:dyDescent="0.25">
      <c r="M7" s="364"/>
      <c r="N7" s="453"/>
      <c r="O7" s="51" t="s">
        <v>4</v>
      </c>
      <c r="P7" s="32">
        <v>1</v>
      </c>
      <c r="Q7" s="51" t="s">
        <v>55</v>
      </c>
      <c r="R7" s="53"/>
      <c r="U7" s="593"/>
      <c r="V7" s="594"/>
      <c r="W7" s="370"/>
      <c r="X7" s="25"/>
      <c r="Y7" s="79">
        <f>10000/((($O$32/2)+($P$32/2))*$Q$32)</f>
        <v>1250</v>
      </c>
      <c r="Z7" s="25"/>
      <c r="AA7" s="76" t="s">
        <v>63</v>
      </c>
      <c r="AB7" s="25"/>
      <c r="AC7" s="25"/>
      <c r="AD7" s="25"/>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6</v>
      </c>
      <c r="AU7" s="55">
        <f>IFERROR((VLOOKUP(AQ7,$V$100:$AB$179,7,0)*0.01)*AV7,0)</f>
        <v>0</v>
      </c>
      <c r="AV7" s="55">
        <f>IFERROR($AT$5*Q75/(VLOOKUP(AQ7,$V$100:$AB$179,5,0)/100),0)</f>
        <v>33.333333333333336</v>
      </c>
      <c r="AW7" s="47"/>
      <c r="AX7" s="47"/>
      <c r="AY7" s="47"/>
      <c r="AZ7" s="47"/>
      <c r="BA7" s="47"/>
      <c r="BB7" s="47"/>
    </row>
    <row r="8" spans="1:54" ht="20.25" customHeight="1" thickBot="1" x14ac:dyDescent="0.3">
      <c r="M8" s="364"/>
      <c r="N8" s="453"/>
      <c r="O8" s="51" t="s">
        <v>5</v>
      </c>
      <c r="P8" s="56">
        <v>0.14000000000000001</v>
      </c>
      <c r="Q8" s="57" t="s">
        <v>55</v>
      </c>
      <c r="R8" s="53"/>
      <c r="U8" s="125" t="s">
        <v>559</v>
      </c>
      <c r="V8" s="51" t="str">
        <f>IF($P$13&lt;10,"baixo","erro")</f>
        <v>baixo</v>
      </c>
      <c r="W8" s="595" t="str">
        <f>IF(V8="baixo","baixo",IF(V9="adequado","adequado",IF(V10="alto","alto",0)))</f>
        <v>baixo</v>
      </c>
      <c r="X8" s="25"/>
      <c r="Y8" s="25"/>
      <c r="Z8" s="25"/>
      <c r="AA8" s="51" t="s">
        <v>286</v>
      </c>
      <c r="AB8" s="25"/>
      <c r="AD8" s="25"/>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125" t="s">
        <v>558</v>
      </c>
      <c r="V9" s="51" t="str">
        <f>IF(AND($P$13&gt;=10,$P$13&lt;=30),"adequado","erro")</f>
        <v>erro</v>
      </c>
      <c r="W9" s="597"/>
      <c r="X9" s="25"/>
      <c r="Y9" s="76" t="s">
        <v>63</v>
      </c>
      <c r="Z9" s="25"/>
      <c r="AA9" s="51" t="s">
        <v>293</v>
      </c>
      <c r="AB9" s="25"/>
      <c r="AD9" s="25"/>
      <c r="AF9" s="511" t="s">
        <v>246</v>
      </c>
      <c r="AG9" s="58" t="s">
        <v>25</v>
      </c>
      <c r="AH9" s="58" t="s">
        <v>242</v>
      </c>
      <c r="AI9" s="51" t="str">
        <f>IF($P$14&lt;=0.2,"baixo","erro")</f>
        <v>baixo</v>
      </c>
      <c r="AJ9" s="457" t="str">
        <f>IF($AI$9="baixo","baixo",IF($AI$10="medio","medio",IF($AI$11="adequado","adequado",0)))</f>
        <v>baixo</v>
      </c>
      <c r="AK9" s="457">
        <f>IF(AJ9="Baixo",AL9,0)</f>
        <v>1.2</v>
      </c>
      <c r="AL9" s="457">
        <f>(AM9*1000)/$E$18</f>
        <v>1.2</v>
      </c>
      <c r="AM9" s="456">
        <v>2</v>
      </c>
      <c r="AO9" s="47"/>
      <c r="AP9" s="47"/>
      <c r="AQ9" s="47"/>
      <c r="AR9" s="47"/>
      <c r="AS9" s="59">
        <f>AS5-(SUM(AS6:AS8))</f>
        <v>9</v>
      </c>
      <c r="AT9" s="59">
        <f>AT5-(SUM(AT6:AT8))</f>
        <v>0</v>
      </c>
      <c r="AU9" s="59">
        <f>AU5-(SUM(AU6:AU8))</f>
        <v>12</v>
      </c>
      <c r="AV9" s="59"/>
      <c r="AW9" s="47"/>
      <c r="AX9" s="47"/>
      <c r="AY9" s="47"/>
      <c r="AZ9" s="47"/>
      <c r="BA9" s="47"/>
      <c r="BB9" s="47"/>
    </row>
    <row r="10" spans="1:54" ht="20.25" customHeight="1" x14ac:dyDescent="0.25">
      <c r="M10" s="364"/>
      <c r="N10" s="453"/>
      <c r="O10" s="51" t="s">
        <v>7</v>
      </c>
      <c r="P10" s="56">
        <v>0.1</v>
      </c>
      <c r="Q10" s="51" t="s">
        <v>55</v>
      </c>
      <c r="R10" s="53"/>
      <c r="U10" s="125" t="s">
        <v>527</v>
      </c>
      <c r="V10" s="51" t="str">
        <f>IF(AND($P$13&gt;30),"alto","erro")</f>
        <v>erro</v>
      </c>
      <c r="W10" s="596"/>
      <c r="X10" s="25"/>
      <c r="Y10" s="76"/>
      <c r="Z10" s="25"/>
      <c r="AA10" s="51" t="s">
        <v>158</v>
      </c>
      <c r="AB10" s="25"/>
      <c r="AD10" s="25"/>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X11" s="25"/>
      <c r="Y11" s="76">
        <v>0</v>
      </c>
      <c r="Z11" s="25"/>
      <c r="AA11" s="51" t="s">
        <v>292</v>
      </c>
      <c r="AB11" s="25"/>
      <c r="AD11" s="25"/>
      <c r="AF11" s="511"/>
      <c r="AG11" s="58" t="s">
        <v>234</v>
      </c>
      <c r="AH11" s="58" t="s">
        <v>233</v>
      </c>
      <c r="AI11" s="51" t="str">
        <f>IF($P$14&gt;0.5,"adequado","erro")</f>
        <v>erro</v>
      </c>
      <c r="AJ11" s="457"/>
      <c r="AK11" s="457"/>
      <c r="AL11" s="457"/>
      <c r="AM11" s="456"/>
      <c r="AO11" s="47"/>
      <c r="AP11" s="447"/>
      <c r="AQ11" s="447"/>
      <c r="AR11" s="447"/>
      <c r="AS11" s="55">
        <f>AS9</f>
        <v>9</v>
      </c>
      <c r="AT11" s="55">
        <f t="shared" ref="AT11:AU11" si="0">AT9</f>
        <v>0</v>
      </c>
      <c r="AU11" s="55">
        <f t="shared" si="0"/>
        <v>12</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X12" s="25"/>
      <c r="Y12" s="76">
        <v>0.1</v>
      </c>
      <c r="Z12" s="25"/>
      <c r="AA12" s="51" t="s">
        <v>292</v>
      </c>
      <c r="AB12" s="25"/>
      <c r="AC12" s="25"/>
      <c r="AD12" s="25"/>
      <c r="AF12" s="511" t="s">
        <v>245</v>
      </c>
      <c r="AG12" s="58" t="s">
        <v>25</v>
      </c>
      <c r="AH12" s="58" t="s">
        <v>241</v>
      </c>
      <c r="AI12" s="51" t="str">
        <f>IF($P$16&lt;=0.4,"baixo","erro")</f>
        <v>erro</v>
      </c>
      <c r="AJ12" s="457" t="str">
        <f>IF($AI$12="baixo","baixo",IF($AI$13="medio","medio",IF($AI$14="adequado","adequado",0)))</f>
        <v>adequado</v>
      </c>
      <c r="AK12" s="457">
        <f>IF(AJ12="Baixo",AL12,0)</f>
        <v>0</v>
      </c>
      <c r="AL12" s="457">
        <f>(AM12*1000)/$E$18</f>
        <v>1.2</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6</v>
      </c>
      <c r="AV12" s="55">
        <f>IFERROR($AU$11*Q82/(VLOOKUP(AQ12,$V$100:$AB$179,7,0)/100),0)</f>
        <v>10</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9</v>
      </c>
      <c r="Q13" s="51" t="s">
        <v>12</v>
      </c>
      <c r="R13" s="53"/>
      <c r="U13" s="457" t="s">
        <v>500</v>
      </c>
      <c r="V13" s="457"/>
      <c r="W13" s="457"/>
      <c r="X13" s="25"/>
      <c r="Y13" s="76">
        <v>0.2</v>
      </c>
      <c r="Z13" s="25"/>
      <c r="AA13" s="51" t="s">
        <v>292</v>
      </c>
      <c r="AB13" s="25"/>
      <c r="AC13" s="25"/>
      <c r="AD13" s="25"/>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6</v>
      </c>
      <c r="AV13" s="55">
        <f>IFERROR($AU$11*Q83/(VLOOKUP(AQ13,$V$100:$AB$179,7,0)/100),0)</f>
        <v>75</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U14" s="457"/>
      <c r="V14" s="457"/>
      <c r="W14" s="457"/>
      <c r="X14" s="25"/>
      <c r="Y14" s="76">
        <v>0.3</v>
      </c>
      <c r="Z14" s="25"/>
      <c r="AA14" s="51" t="s">
        <v>288</v>
      </c>
      <c r="AB14" s="25"/>
      <c r="AC14" s="25"/>
      <c r="AD14" s="25"/>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U15" s="51" t="s">
        <v>521</v>
      </c>
      <c r="V15" s="51" t="str">
        <f>IF($P$8&lt;=0.15,"baixo","erro")</f>
        <v>baixo</v>
      </c>
      <c r="W15" s="208" t="s">
        <v>58</v>
      </c>
      <c r="X15" s="25"/>
      <c r="Y15" s="76">
        <v>0.4</v>
      </c>
      <c r="Z15" s="25"/>
      <c r="AA15" s="51" t="s">
        <v>289</v>
      </c>
      <c r="AB15" s="25"/>
      <c r="AC15" s="25"/>
      <c r="AD15" s="25"/>
      <c r="AF15" s="511" t="s">
        <v>244</v>
      </c>
      <c r="AG15" s="58" t="s">
        <v>25</v>
      </c>
      <c r="AH15" s="58" t="s">
        <v>240</v>
      </c>
      <c r="AI15" s="51" t="str">
        <f>IF($P$18&lt;=1.9,"baixo","erro")</f>
        <v>erro</v>
      </c>
      <c r="AJ15" s="457" t="str">
        <f>IF($AI$15="baixo","baixo",IF($AI$16="medio","medio",IF($AI$17="adequado","adequado",0)))</f>
        <v>adequado</v>
      </c>
      <c r="AK15" s="457">
        <f>IF(AJ15="Baixo",AL15,0)</f>
        <v>0</v>
      </c>
      <c r="AL15" s="457">
        <f>(AM15*1000)/$E$18</f>
        <v>3.5999999999999996</v>
      </c>
      <c r="AM15" s="456">
        <v>6</v>
      </c>
      <c r="AO15" s="47"/>
      <c r="AP15" s="47"/>
      <c r="AQ15" s="47"/>
      <c r="AR15" s="47"/>
      <c r="AS15" s="59">
        <f>AS11-(SUM(AS12:AS14))</f>
        <v>9</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U16" s="51" t="s">
        <v>497</v>
      </c>
      <c r="V16" s="51" t="str">
        <f>IF(AND($P$8&gt;=0.16,$P$8&lt;=0.3),"adequado","erro")</f>
        <v>erro</v>
      </c>
      <c r="W16" s="595" t="str">
        <f>IF(V15="baixo","baixo",IF(V16="adequado","adequado",IF(V17="alto","alto",0)))</f>
        <v>baixo</v>
      </c>
      <c r="X16" s="25"/>
      <c r="Y16" s="76">
        <v>0.5</v>
      </c>
      <c r="AA16" s="51" t="s">
        <v>290</v>
      </c>
      <c r="AB16" s="25"/>
      <c r="AC16" s="25"/>
      <c r="AD16" s="25"/>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 t="s">
        <v>523</v>
      </c>
      <c r="V17" s="51" t="str">
        <f>IF(AND($P$8&gt;0.3),"alto","erro")</f>
        <v>erro</v>
      </c>
      <c r="W17" s="596"/>
      <c r="X17" s="94"/>
      <c r="Y17" s="76">
        <v>0.6</v>
      </c>
      <c r="AA17" s="51"/>
      <c r="AB17" s="25"/>
      <c r="AC17" s="25"/>
      <c r="AD17" s="25"/>
      <c r="AF17" s="511"/>
      <c r="AG17" s="58" t="s">
        <v>234</v>
      </c>
      <c r="AH17" s="58" t="s">
        <v>231</v>
      </c>
      <c r="AI17" s="51" t="str">
        <f>IF($P$18&gt;5,"adequado","erro")</f>
        <v>adequado</v>
      </c>
      <c r="AJ17" s="457"/>
      <c r="AK17" s="457"/>
      <c r="AL17" s="457"/>
      <c r="AM17" s="456"/>
      <c r="AO17" s="47"/>
      <c r="AP17" s="447"/>
      <c r="AQ17" s="447"/>
      <c r="AR17" s="447"/>
      <c r="AS17" s="55">
        <f>AS15</f>
        <v>9</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1666.6666666666667</v>
      </c>
      <c r="F18" s="457" t="s">
        <v>125</v>
      </c>
      <c r="G18" s="457"/>
      <c r="H18" s="457"/>
      <c r="I18" s="51">
        <f>O34</f>
        <v>1</v>
      </c>
      <c r="M18" s="364"/>
      <c r="N18" s="453"/>
      <c r="O18" s="51" t="s">
        <v>17</v>
      </c>
      <c r="P18" s="56">
        <v>43.1</v>
      </c>
      <c r="Q18" s="51" t="s">
        <v>12</v>
      </c>
      <c r="R18" s="53"/>
      <c r="X18" s="94"/>
      <c r="Y18" s="76">
        <v>0.7</v>
      </c>
      <c r="AB18" s="25"/>
      <c r="AC18" s="25"/>
      <c r="AD18" s="25"/>
      <c r="AF18" s="511" t="s">
        <v>243</v>
      </c>
      <c r="AG18" s="58" t="s">
        <v>25</v>
      </c>
      <c r="AH18" s="58" t="s">
        <v>239</v>
      </c>
      <c r="AI18" s="51" t="str">
        <f>IF($P$19&lt;=1,"baixo","erro")</f>
        <v>erro</v>
      </c>
      <c r="AJ18" s="457" t="str">
        <f>IF($AI$18="baixo","baixo",IF($AI$19="medio","medio",IF($AI$20="adequado","adequado",0)))</f>
        <v>adequado</v>
      </c>
      <c r="AK18" s="457">
        <f>IF(AJ18="Baixo",AL18,0)</f>
        <v>0</v>
      </c>
      <c r="AL18" s="457">
        <f>(AM18*1000)/$E$18</f>
        <v>3.5999999999999996</v>
      </c>
      <c r="AM18" s="456">
        <v>6</v>
      </c>
      <c r="AO18" s="47"/>
      <c r="AP18" s="54">
        <v>13</v>
      </c>
      <c r="AQ18" s="447" t="str">
        <f>O90</f>
        <v>Nitrato de Amônio</v>
      </c>
      <c r="AR18" s="447"/>
      <c r="AS18" s="55">
        <f>IFERROR((VLOOKUP(AQ18,$V$100:$AB$179,3,0)*0.01)*AV18,0)</f>
        <v>9</v>
      </c>
      <c r="AT18" s="55">
        <f>IFERROR((VLOOKUP(AQ18,$V$100:$AB$179,5,0)*0.01)*AV18,0)</f>
        <v>0</v>
      </c>
      <c r="AU18" s="55">
        <f>IFERROR((VLOOKUP(AQ18,$V$100:$AB$179,7,0)*0.01)*AV18,0)</f>
        <v>0</v>
      </c>
      <c r="AV18" s="55">
        <f>IFERROR($AS$17*Q90/(VLOOKUP(AQ18,$V$100:$AB$179,3,0)/100),0)</f>
        <v>31.03448275862069</v>
      </c>
      <c r="AW18" s="47"/>
      <c r="AX18" s="47"/>
      <c r="AY18" s="47"/>
      <c r="AZ18" s="47"/>
      <c r="BA18" s="47"/>
      <c r="BB18" s="47"/>
    </row>
    <row r="19" spans="2:54" ht="20.25" customHeight="1" x14ac:dyDescent="0.25">
      <c r="M19" s="364"/>
      <c r="N19" s="453"/>
      <c r="O19" s="51" t="s">
        <v>18</v>
      </c>
      <c r="P19" s="32">
        <v>20.100000000000001</v>
      </c>
      <c r="Q19" s="51" t="s">
        <v>12</v>
      </c>
      <c r="R19" s="53"/>
      <c r="S19" s="61"/>
      <c r="X19" s="94"/>
      <c r="Y19" s="76">
        <v>0.8</v>
      </c>
      <c r="AC19" s="25"/>
      <c r="AD19" s="25"/>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57.00636942675159</v>
      </c>
      <c r="H20" s="63" t="s">
        <v>52</v>
      </c>
      <c r="I20" s="60">
        <f>P21</f>
        <v>47.5</v>
      </c>
      <c r="M20" s="364"/>
      <c r="N20" s="453"/>
      <c r="O20" s="51" t="s">
        <v>19</v>
      </c>
      <c r="P20" s="56">
        <v>27.5</v>
      </c>
      <c r="Q20" s="57" t="s">
        <v>23</v>
      </c>
      <c r="R20" s="53"/>
      <c r="U20" s="25"/>
      <c r="V20" s="25"/>
      <c r="W20" s="25"/>
      <c r="X20" s="25"/>
      <c r="Y20" s="76">
        <v>0.9</v>
      </c>
      <c r="AC20" s="25"/>
      <c r="AD20" s="25"/>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X21" s="25"/>
      <c r="Y21" s="76">
        <v>1</v>
      </c>
      <c r="AB21" s="25"/>
      <c r="AC21" s="25"/>
      <c r="AD21" s="25"/>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2</v>
      </c>
      <c r="D22" s="63" t="s">
        <v>79</v>
      </c>
      <c r="E22" s="63">
        <f>P13</f>
        <v>9</v>
      </c>
      <c r="F22" s="63" t="s">
        <v>84</v>
      </c>
      <c r="G22" s="63">
        <f>P14</f>
        <v>0.04</v>
      </c>
      <c r="H22" s="63" t="s">
        <v>86</v>
      </c>
      <c r="I22" s="63">
        <f>P19</f>
        <v>20.100000000000001</v>
      </c>
      <c r="M22" s="364"/>
      <c r="N22" s="453"/>
      <c r="O22" s="51" t="s">
        <v>20</v>
      </c>
      <c r="P22" s="56">
        <v>25</v>
      </c>
      <c r="Q22" s="57" t="s">
        <v>23</v>
      </c>
      <c r="R22" s="53"/>
      <c r="X22" s="25"/>
      <c r="Y22" s="25"/>
      <c r="Z22" s="25"/>
      <c r="AA22" s="25"/>
      <c r="AB22" s="25"/>
      <c r="AC22" s="25"/>
      <c r="AD22" s="25"/>
      <c r="AO22" s="47"/>
      <c r="AP22" s="47"/>
      <c r="AQ22" s="47"/>
      <c r="AR22" s="47"/>
      <c r="AS22" s="47"/>
      <c r="AT22" s="47"/>
      <c r="AU22" s="47"/>
      <c r="AV22" s="47"/>
      <c r="AW22" s="47"/>
      <c r="AX22" s="47"/>
      <c r="AY22" s="47"/>
      <c r="AZ22" s="47"/>
      <c r="BA22" s="47"/>
      <c r="BB22" s="47"/>
    </row>
    <row r="23" spans="2:54" ht="20.25" customHeight="1" x14ac:dyDescent="0.25">
      <c r="B23" s="64" t="s">
        <v>82</v>
      </c>
      <c r="C23" s="65">
        <f>P7</f>
        <v>1</v>
      </c>
      <c r="D23" s="63" t="s">
        <v>129</v>
      </c>
      <c r="E23" s="63">
        <f>P11</f>
        <v>2.7</v>
      </c>
      <c r="F23" s="63" t="s">
        <v>87</v>
      </c>
      <c r="G23" s="63">
        <f>P16</f>
        <v>4</v>
      </c>
      <c r="H23" s="63" t="s">
        <v>83</v>
      </c>
      <c r="I23" s="63">
        <f>P15</f>
        <v>20</v>
      </c>
      <c r="J23" s="66"/>
      <c r="M23" s="364"/>
      <c r="N23" s="453"/>
      <c r="O23" s="51" t="s">
        <v>21</v>
      </c>
      <c r="P23" s="32">
        <v>47.6</v>
      </c>
      <c r="Q23" s="51" t="s">
        <v>10</v>
      </c>
      <c r="R23" s="53"/>
      <c r="U23" s="25"/>
      <c r="V23" s="25"/>
      <c r="W23" s="25"/>
      <c r="X23" s="25"/>
      <c r="Y23" s="25"/>
      <c r="Z23" s="25"/>
      <c r="AA23" s="25"/>
      <c r="AB23" s="25"/>
      <c r="AC23" s="25"/>
      <c r="AD23" s="25"/>
      <c r="AO23" s="47"/>
      <c r="AP23" s="47"/>
      <c r="AQ23" s="47"/>
      <c r="AR23" s="47"/>
      <c r="AS23" s="47"/>
      <c r="AT23" s="47"/>
      <c r="AU23" s="47"/>
      <c r="AV23" s="47"/>
      <c r="AW23" s="47"/>
      <c r="AX23" s="47"/>
      <c r="AY23" s="47"/>
      <c r="AZ23" s="47"/>
      <c r="BA23" s="47"/>
      <c r="BB23" s="47"/>
    </row>
    <row r="24" spans="2:54" ht="20.25" customHeight="1" x14ac:dyDescent="0.25">
      <c r="B24" s="64" t="s">
        <v>80</v>
      </c>
      <c r="C24" s="65">
        <f>P8</f>
        <v>0.14000000000000001</v>
      </c>
      <c r="D24" s="63" t="s">
        <v>130</v>
      </c>
      <c r="E24" s="63">
        <f>P10</f>
        <v>0.1</v>
      </c>
      <c r="F24" s="63" t="s">
        <v>89</v>
      </c>
      <c r="G24" s="63">
        <f>P17</f>
        <v>58.4</v>
      </c>
      <c r="H24" s="63" t="s">
        <v>131</v>
      </c>
      <c r="I24" s="63">
        <f>P25</f>
        <v>6.28</v>
      </c>
      <c r="J24" s="66"/>
      <c r="M24" s="364"/>
      <c r="N24" s="453"/>
      <c r="O24" s="51" t="s">
        <v>22</v>
      </c>
      <c r="P24" s="63">
        <f>100*(P6+P7+P8+P9)/P25</f>
        <v>57.00636942675159</v>
      </c>
      <c r="Q24" s="51" t="s">
        <v>23</v>
      </c>
      <c r="R24" s="53"/>
      <c r="AO24" s="47"/>
      <c r="AP24" s="47"/>
      <c r="AQ24" s="47"/>
      <c r="AR24" s="47"/>
      <c r="AS24" s="59">
        <f>AS26-(SUM(AS27:AS36))</f>
        <v>1.1999798275862068</v>
      </c>
      <c r="AT24" s="59">
        <f t="shared" ref="AT24:AV24" si="3">AT26-(SUM(AT27:AT36))</f>
        <v>-2.0172413793103446E-5</v>
      </c>
      <c r="AU24" s="59">
        <f t="shared" si="3"/>
        <v>-3.8793103448275865E-5</v>
      </c>
      <c r="AV24" s="59">
        <f t="shared" si="3"/>
        <v>-4.3448275862068973E-6</v>
      </c>
      <c r="AW24" s="47"/>
      <c r="AX24" s="47"/>
      <c r="AY24" s="47"/>
      <c r="AZ24" s="47"/>
      <c r="BA24" s="47"/>
      <c r="BB24" s="47"/>
    </row>
    <row r="25" spans="2:54" ht="20.25" customHeight="1" thickBot="1" x14ac:dyDescent="0.3">
      <c r="J25" s="66"/>
      <c r="M25" s="364"/>
      <c r="N25" s="453"/>
      <c r="O25" s="51" t="s">
        <v>24</v>
      </c>
      <c r="P25" s="67">
        <f>(P6+P7+P8+P9+P11)</f>
        <v>6.28</v>
      </c>
      <c r="Q25" s="51" t="s">
        <v>55</v>
      </c>
      <c r="R25" s="53"/>
      <c r="U25" s="458" t="s">
        <v>65</v>
      </c>
      <c r="V25" s="458"/>
      <c r="X25" s="457" t="s">
        <v>507</v>
      </c>
      <c r="Y25" s="457"/>
      <c r="AE25" s="457" t="s">
        <v>508</v>
      </c>
      <c r="AF25" s="457"/>
      <c r="AG25" s="457"/>
      <c r="AH25" s="457"/>
      <c r="AJ25" s="457" t="s">
        <v>509</v>
      </c>
      <c r="AK25" s="457"/>
      <c r="AL25" s="457"/>
      <c r="AM25" s="457"/>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78" t="s">
        <v>33</v>
      </c>
      <c r="V26" s="78">
        <f>VLOOKUP($P$39,$X$27:$Y$31,2,0)/$E$18</f>
        <v>9</v>
      </c>
      <c r="W26" s="25"/>
      <c r="X26" s="51" t="s">
        <v>32</v>
      </c>
      <c r="Y26" s="51" t="s">
        <v>512</v>
      </c>
      <c r="AE26" s="51" t="s">
        <v>32</v>
      </c>
      <c r="AF26" s="51" t="s">
        <v>75</v>
      </c>
      <c r="AG26" s="51" t="s">
        <v>71</v>
      </c>
      <c r="AH26" s="51" t="s">
        <v>513</v>
      </c>
      <c r="AJ26" s="51" t="s">
        <v>32</v>
      </c>
      <c r="AK26" s="51" t="s">
        <v>75</v>
      </c>
      <c r="AL26" s="51" t="s">
        <v>71</v>
      </c>
      <c r="AM26" s="51" t="s">
        <v>514</v>
      </c>
      <c r="AO26" s="47"/>
      <c r="AP26" s="461"/>
      <c r="AQ26" s="461"/>
      <c r="AR26" s="461"/>
      <c r="AS26" s="72">
        <f>AK9</f>
        <v>1.2</v>
      </c>
      <c r="AT26" s="72">
        <f>AK12</f>
        <v>0</v>
      </c>
      <c r="AU26" s="72">
        <f>AK15</f>
        <v>0</v>
      </c>
      <c r="AV26" s="72">
        <f>AK18</f>
        <v>0</v>
      </c>
      <c r="AW26" s="47"/>
      <c r="AX26" s="47"/>
      <c r="AY26" s="47"/>
      <c r="AZ26" s="47"/>
      <c r="BA26" s="47"/>
      <c r="BB26" s="47"/>
    </row>
    <row r="27" spans="2:54" ht="20.25" customHeight="1" thickBot="1" x14ac:dyDescent="0.3">
      <c r="B27" s="488" t="str">
        <f>IF($O$47&gt;0,$O$47,"-")</f>
        <v>BRICCAL Calcítico</v>
      </c>
      <c r="C27" s="488"/>
      <c r="D27" s="73">
        <f>IF(J27&gt;0,J27,"-")</f>
        <v>0.50847457627118664</v>
      </c>
      <c r="E27" s="365" t="str">
        <f>IF(J27&gt;0,"toneladas por hectare ou,","-")</f>
        <v>toneladas por hectare ou,</v>
      </c>
      <c r="F27" s="365"/>
      <c r="G27" s="365"/>
      <c r="H27" s="365"/>
      <c r="I27" s="365"/>
      <c r="J27" s="74">
        <f>V51</f>
        <v>0.50847457627118664</v>
      </c>
      <c r="U27" s="78" t="s">
        <v>66</v>
      </c>
      <c r="V27" s="78">
        <f>VLOOKUP(U32,AG27:AH41,2,0)/$E$18</f>
        <v>12</v>
      </c>
      <c r="W27" s="25"/>
      <c r="X27" s="75" t="s">
        <v>503</v>
      </c>
      <c r="Y27" s="75">
        <v>60000</v>
      </c>
      <c r="AE27" s="75" t="s">
        <v>503</v>
      </c>
      <c r="AF27" s="75" t="s">
        <v>68</v>
      </c>
      <c r="AG27" s="75" t="str">
        <f>CONCATENATE(AE27," - ",AF27)</f>
        <v>Plantio - baixo</v>
      </c>
      <c r="AH27" s="75">
        <v>60000</v>
      </c>
      <c r="AJ27" s="75" t="s">
        <v>503</v>
      </c>
      <c r="AK27" s="75" t="s">
        <v>68</v>
      </c>
      <c r="AL27" s="75" t="str">
        <f t="shared" ref="AL27:AL41" si="4">CONCATENATE(AJ27," - ",AK27)</f>
        <v>Plantio - baixo</v>
      </c>
      <c r="AM27" s="75">
        <v>0</v>
      </c>
      <c r="AO27" s="47"/>
      <c r="AP27" s="447" t="s">
        <v>261</v>
      </c>
      <c r="AQ27" s="447" t="str">
        <f>B29</f>
        <v>Remax Mistel (61) 99414-1975</v>
      </c>
      <c r="AR27" s="447"/>
      <c r="AS27" s="55">
        <f t="shared" ref="AS27:AS36" si="5">IFERROR(VLOOKUP(AQ27,$V$100:$AL$179,11,0)*0.01*VLOOKUP(AQ27,$B$27:$J$47,9,0),0)</f>
        <v>0</v>
      </c>
      <c r="AT27" s="55">
        <f t="shared" ref="AT27:AT36" si="6">IFERROR(VLOOKUP(AQ27,$V$100:$AL$179,12,0)*0.01*VLOOKUP(AQ27,$B$27:$J$47,9,0),0)</f>
        <v>0</v>
      </c>
      <c r="AU27" s="55">
        <f t="shared" ref="AU27:AU36" si="7">IFERROR(VLOOKUP(AQ27,$V$100:$AL$179,13,0)*0.01*VLOOKUP(AQ27,$B$27:$J$47,9,0),0)</f>
        <v>0</v>
      </c>
      <c r="AV27" s="55">
        <f t="shared" ref="AV27:AV36" si="8">IFERROR(VLOOKUP(AQ27,$V$100:$AL$179,14,0)*0.01*VLOOKUP(AQ27,$B$27:$J$47,9,0),0)</f>
        <v>0</v>
      </c>
      <c r="AW27" s="47"/>
      <c r="AX27" s="47"/>
      <c r="AY27" s="47"/>
      <c r="AZ27" s="47"/>
      <c r="BA27" s="47"/>
      <c r="BB27" s="47"/>
    </row>
    <row r="28" spans="2:54" ht="20.25" customHeight="1" x14ac:dyDescent="0.25">
      <c r="B28" s="488"/>
      <c r="C28" s="488"/>
      <c r="D28" s="73">
        <f>IF(J28&gt;0,J28,"-")</f>
        <v>5.0847457627118661E-2</v>
      </c>
      <c r="E28" s="365" t="str">
        <f>IF(J28&gt;0,"quilos por metro quadrado","-")</f>
        <v>quilos por metro quadrado</v>
      </c>
      <c r="F28" s="365"/>
      <c r="G28" s="365"/>
      <c r="H28" s="365"/>
      <c r="I28" s="365"/>
      <c r="J28" s="74">
        <f>J27/10</f>
        <v>5.0847457627118661E-2</v>
      </c>
      <c r="M28" s="48"/>
      <c r="N28" s="49"/>
      <c r="O28" s="49"/>
      <c r="P28" s="49"/>
      <c r="Q28" s="49"/>
      <c r="R28" s="50"/>
      <c r="U28" s="78" t="s">
        <v>67</v>
      </c>
      <c r="V28" s="78">
        <f>VLOOKUP($U$35,AL27:AM41,2,0)/$E$18</f>
        <v>12</v>
      </c>
      <c r="W28" s="25"/>
      <c r="X28" s="75">
        <v>30</v>
      </c>
      <c r="Y28" s="75">
        <v>10000</v>
      </c>
      <c r="AE28" s="75" t="s">
        <v>503</v>
      </c>
      <c r="AF28" s="75" t="s">
        <v>70</v>
      </c>
      <c r="AG28" s="75" t="str">
        <f t="shared" ref="AG28:AG41" si="9">CONCATENATE(AE28," - ",AF28)</f>
        <v>Plantio - adequado</v>
      </c>
      <c r="AH28" s="75">
        <v>40000</v>
      </c>
      <c r="AJ28" s="75" t="s">
        <v>503</v>
      </c>
      <c r="AK28" s="75" t="s">
        <v>70</v>
      </c>
      <c r="AL28" s="75" t="str">
        <f t="shared" si="4"/>
        <v>Plantio - adequado</v>
      </c>
      <c r="AM28" s="75">
        <v>0</v>
      </c>
      <c r="AO28" s="47"/>
      <c r="AP28" s="447"/>
      <c r="AQ28" s="447" t="str">
        <f t="shared" ref="AQ28:AQ36" si="10">B41</f>
        <v>Termofosfato YOORIN</v>
      </c>
      <c r="AR28" s="447"/>
      <c r="AS28" s="55">
        <f t="shared" si="5"/>
        <v>0</v>
      </c>
      <c r="AT28" s="55">
        <f t="shared" si="6"/>
        <v>0</v>
      </c>
      <c r="AU28" s="55">
        <f t="shared" si="7"/>
        <v>0</v>
      </c>
      <c r="AV28" s="55">
        <f t="shared" si="8"/>
        <v>0</v>
      </c>
      <c r="AW28" s="47"/>
      <c r="AX28" s="47"/>
      <c r="AY28" s="47"/>
      <c r="AZ28" s="47"/>
      <c r="BA28" s="47"/>
      <c r="BB28" s="47"/>
    </row>
    <row r="29" spans="2:54" ht="20.25" customHeight="1" x14ac:dyDescent="0.25">
      <c r="B29" s="488" t="str">
        <f>IF($O$50&gt;0,$O$50,"-")</f>
        <v>Remax Mistel (61) 99414-1975</v>
      </c>
      <c r="C29" s="488"/>
      <c r="D29" s="73">
        <f>IF(J29&gt;0,J29,"-")</f>
        <v>0.98220723286630063</v>
      </c>
      <c r="E29" s="365" t="str">
        <f>IF(J29&gt;0,"toneladas por hectare ou,","-")</f>
        <v>toneladas por hectare ou,</v>
      </c>
      <c r="F29" s="365"/>
      <c r="G29" s="365"/>
      <c r="H29" s="365"/>
      <c r="I29" s="365"/>
      <c r="J29" s="74">
        <f>Z49</f>
        <v>0.98220723286630063</v>
      </c>
      <c r="M29" s="364" t="s">
        <v>211</v>
      </c>
      <c r="N29" s="453"/>
      <c r="O29" s="473" t="s">
        <v>197</v>
      </c>
      <c r="P29" s="474"/>
      <c r="Q29" s="475"/>
      <c r="R29" s="53"/>
      <c r="W29" s="25"/>
      <c r="X29" s="75">
        <v>60</v>
      </c>
      <c r="Y29" s="75">
        <v>10000</v>
      </c>
      <c r="AE29" s="75" t="s">
        <v>503</v>
      </c>
      <c r="AF29" s="75" t="s">
        <v>331</v>
      </c>
      <c r="AG29" s="75" t="str">
        <f t="shared" si="9"/>
        <v>Plantio - alto</v>
      </c>
      <c r="AH29" s="75">
        <v>20000</v>
      </c>
      <c r="AJ29" s="75" t="s">
        <v>503</v>
      </c>
      <c r="AK29" s="75" t="s">
        <v>331</v>
      </c>
      <c r="AL29" s="75" t="str">
        <f t="shared" si="4"/>
        <v>Plantio - alto</v>
      </c>
      <c r="AM29" s="75">
        <v>0</v>
      </c>
      <c r="AO29" s="47"/>
      <c r="AP29" s="447"/>
      <c r="AQ29" s="447" t="str">
        <f t="shared" si="10"/>
        <v>Superfosfato simples</v>
      </c>
      <c r="AR29" s="447"/>
      <c r="AS29" s="55">
        <f t="shared" si="5"/>
        <v>0</v>
      </c>
      <c r="AT29" s="55">
        <f t="shared" si="6"/>
        <v>0</v>
      </c>
      <c r="AU29" s="55">
        <f t="shared" si="7"/>
        <v>0</v>
      </c>
      <c r="AV29" s="55">
        <f t="shared" si="8"/>
        <v>0</v>
      </c>
      <c r="AW29" s="47"/>
      <c r="AX29" s="47"/>
      <c r="AY29" s="47"/>
      <c r="AZ29" s="47"/>
      <c r="BA29" s="47"/>
      <c r="BB29" s="47"/>
    </row>
    <row r="30" spans="2:54" ht="20.25" customHeight="1" x14ac:dyDescent="0.25">
      <c r="B30" s="488"/>
      <c r="C30" s="488"/>
      <c r="D30" s="73">
        <f>IF(J30&gt;0,J30,"-")</f>
        <v>9.8220723286630063E-2</v>
      </c>
      <c r="E30" s="365" t="str">
        <f>IF(J30&gt;0,"quilos por metro quadrado","-")</f>
        <v>quilos por metro quadrado</v>
      </c>
      <c r="F30" s="365"/>
      <c r="G30" s="365"/>
      <c r="H30" s="365"/>
      <c r="I30" s="365"/>
      <c r="J30" s="74">
        <f>J29/10</f>
        <v>9.8220723286630063E-2</v>
      </c>
      <c r="M30" s="364"/>
      <c r="N30" s="453"/>
      <c r="O30" s="32"/>
      <c r="P30" s="77" t="s">
        <v>200</v>
      </c>
      <c r="Q30" s="32"/>
      <c r="R30" s="53"/>
      <c r="W30" s="25"/>
      <c r="X30" s="75">
        <v>90</v>
      </c>
      <c r="Y30" s="75">
        <v>15000</v>
      </c>
      <c r="AE30" s="75">
        <v>30</v>
      </c>
      <c r="AF30" s="75" t="s">
        <v>68</v>
      </c>
      <c r="AG30" s="75" t="str">
        <f t="shared" si="9"/>
        <v>30 - baixo</v>
      </c>
      <c r="AH30" s="75">
        <v>0</v>
      </c>
      <c r="AJ30" s="75">
        <v>30</v>
      </c>
      <c r="AK30" s="75" t="s">
        <v>68</v>
      </c>
      <c r="AL30" s="75" t="str">
        <f t="shared" si="4"/>
        <v>30 - baixo</v>
      </c>
      <c r="AM30" s="75">
        <v>20000</v>
      </c>
      <c r="AO30" s="47"/>
      <c r="AP30" s="447"/>
      <c r="AQ30" s="447" t="str">
        <f t="shared" si="10"/>
        <v>-</v>
      </c>
      <c r="AR30" s="447"/>
      <c r="AS30" s="55">
        <f t="shared" si="5"/>
        <v>0</v>
      </c>
      <c r="AT30" s="55">
        <f t="shared" si="6"/>
        <v>0</v>
      </c>
      <c r="AU30" s="55">
        <f t="shared" si="7"/>
        <v>0</v>
      </c>
      <c r="AV30" s="55">
        <f t="shared" si="8"/>
        <v>0</v>
      </c>
      <c r="AW30" s="47"/>
      <c r="AX30" s="47"/>
      <c r="AY30" s="47"/>
      <c r="AZ30" s="47"/>
      <c r="BA30" s="47"/>
      <c r="BB30" s="47"/>
    </row>
    <row r="31" spans="2:54" ht="20.25" customHeight="1" x14ac:dyDescent="0.25">
      <c r="B31" s="514" t="s">
        <v>533</v>
      </c>
      <c r="C31" s="514"/>
      <c r="D31" s="514"/>
      <c r="E31" s="514"/>
      <c r="F31" s="514"/>
      <c r="G31" s="514"/>
      <c r="H31" s="514"/>
      <c r="I31" s="514"/>
      <c r="J31" s="74"/>
      <c r="M31" s="364"/>
      <c r="N31" s="453"/>
      <c r="O31" s="473" t="s">
        <v>519</v>
      </c>
      <c r="P31" s="474"/>
      <c r="Q31" s="475"/>
      <c r="R31" s="53"/>
      <c r="U31" s="457" t="s">
        <v>72</v>
      </c>
      <c r="V31" s="457"/>
      <c r="W31" s="25"/>
      <c r="X31" s="75">
        <v>120</v>
      </c>
      <c r="Y31" s="75">
        <v>15000</v>
      </c>
      <c r="AE31" s="75">
        <v>30</v>
      </c>
      <c r="AF31" s="75" t="s">
        <v>70</v>
      </c>
      <c r="AG31" s="75" t="str">
        <f t="shared" si="9"/>
        <v>30 - adequado</v>
      </c>
      <c r="AH31" s="75">
        <v>0</v>
      </c>
      <c r="AJ31" s="75">
        <v>30</v>
      </c>
      <c r="AK31" s="75" t="s">
        <v>70</v>
      </c>
      <c r="AL31" s="75" t="str">
        <f t="shared" si="4"/>
        <v>30 - adequado</v>
      </c>
      <c r="AM31" s="75">
        <v>15000</v>
      </c>
      <c r="AO31" s="47"/>
      <c r="AP31" s="447"/>
      <c r="AQ31" s="447" t="str">
        <f t="shared" si="10"/>
        <v>Cloreto de potássio</v>
      </c>
      <c r="AR31" s="447"/>
      <c r="AS31" s="55">
        <f t="shared" si="5"/>
        <v>0</v>
      </c>
      <c r="AT31" s="55">
        <f t="shared" si="6"/>
        <v>0</v>
      </c>
      <c r="AU31" s="55">
        <f t="shared" si="7"/>
        <v>0</v>
      </c>
      <c r="AV31" s="55">
        <f t="shared" si="8"/>
        <v>0</v>
      </c>
      <c r="AW31" s="47"/>
      <c r="AX31" s="47"/>
      <c r="AY31" s="47"/>
      <c r="AZ31" s="47"/>
      <c r="BA31" s="47"/>
      <c r="BB31" s="47"/>
    </row>
    <row r="32" spans="2:54" ht="20.25" customHeight="1" x14ac:dyDescent="0.25">
      <c r="B32" s="514"/>
      <c r="C32" s="514"/>
      <c r="D32" s="514"/>
      <c r="E32" s="514"/>
      <c r="F32" s="514"/>
      <c r="G32" s="514"/>
      <c r="H32" s="514"/>
      <c r="I32" s="514"/>
      <c r="J32" s="74"/>
      <c r="M32" s="364"/>
      <c r="N32" s="453"/>
      <c r="O32" s="32">
        <v>2</v>
      </c>
      <c r="P32" s="32">
        <v>2</v>
      </c>
      <c r="Q32" s="32">
        <v>4</v>
      </c>
      <c r="R32" s="53"/>
      <c r="U32" s="457" t="str">
        <f>CONCATENATE($P$39," - ",$W$8)</f>
        <v>120 - baixo</v>
      </c>
      <c r="V32" s="457"/>
      <c r="W32" s="25"/>
      <c r="AE32" s="75">
        <v>30</v>
      </c>
      <c r="AF32" s="75" t="s">
        <v>331</v>
      </c>
      <c r="AG32" s="75" t="str">
        <f t="shared" si="9"/>
        <v>30 - alto</v>
      </c>
      <c r="AH32" s="75">
        <v>0</v>
      </c>
      <c r="AJ32" s="75">
        <v>30</v>
      </c>
      <c r="AK32" s="75" t="s">
        <v>331</v>
      </c>
      <c r="AL32" s="75" t="str">
        <f t="shared" si="4"/>
        <v>30 - alto</v>
      </c>
      <c r="AM32" s="75">
        <v>10000</v>
      </c>
      <c r="AO32" s="47"/>
      <c r="AP32" s="447"/>
      <c r="AQ32" s="447" t="str">
        <f t="shared" si="10"/>
        <v>EkoSil</v>
      </c>
      <c r="AR32" s="447"/>
      <c r="AS32" s="55">
        <f t="shared" si="5"/>
        <v>2.0172413793103446E-5</v>
      </c>
      <c r="AT32" s="55">
        <f t="shared" si="6"/>
        <v>2.0172413793103446E-5</v>
      </c>
      <c r="AU32" s="55">
        <f t="shared" si="7"/>
        <v>3.8793103448275865E-5</v>
      </c>
      <c r="AV32" s="55">
        <f t="shared" si="8"/>
        <v>4.3448275862068973E-6</v>
      </c>
      <c r="AW32" s="47"/>
      <c r="AX32" s="47"/>
      <c r="AY32" s="47"/>
      <c r="AZ32" s="47"/>
      <c r="BA32" s="47"/>
      <c r="BB32" s="47"/>
    </row>
    <row r="33" spans="2:57" ht="20.25" customHeight="1" thickBot="1" x14ac:dyDescent="0.3">
      <c r="B33" s="515"/>
      <c r="C33" s="515"/>
      <c r="D33" s="515"/>
      <c r="E33" s="515"/>
      <c r="F33" s="515"/>
      <c r="G33" s="515"/>
      <c r="H33" s="515"/>
      <c r="I33" s="515"/>
      <c r="J33" s="74"/>
      <c r="M33" s="364"/>
      <c r="N33" s="453"/>
      <c r="O33" s="473" t="s">
        <v>282</v>
      </c>
      <c r="P33" s="474"/>
      <c r="Q33" s="475"/>
      <c r="R33" s="53"/>
      <c r="W33" s="25"/>
      <c r="AE33" s="75">
        <v>60</v>
      </c>
      <c r="AF33" s="75" t="s">
        <v>68</v>
      </c>
      <c r="AG33" s="75" t="str">
        <f t="shared" si="9"/>
        <v>60 - baixo</v>
      </c>
      <c r="AH33" s="75">
        <v>20000</v>
      </c>
      <c r="AJ33" s="75">
        <v>60</v>
      </c>
      <c r="AK33" s="75" t="s">
        <v>68</v>
      </c>
      <c r="AL33" s="75" t="str">
        <f t="shared" si="4"/>
        <v>60 - baixo</v>
      </c>
      <c r="AM33" s="75">
        <v>20000</v>
      </c>
      <c r="AO33" s="47"/>
      <c r="AP33" s="447"/>
      <c r="AQ33" s="447" t="str">
        <f t="shared" si="10"/>
        <v>-</v>
      </c>
      <c r="AR33" s="447"/>
      <c r="AS33" s="55">
        <f t="shared" si="5"/>
        <v>0</v>
      </c>
      <c r="AT33" s="55">
        <f t="shared" si="6"/>
        <v>0</v>
      </c>
      <c r="AU33" s="55">
        <f t="shared" si="7"/>
        <v>0</v>
      </c>
      <c r="AV33" s="55">
        <f t="shared" si="8"/>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364"/>
      <c r="N34" s="453"/>
      <c r="O34" s="448">
        <v>1</v>
      </c>
      <c r="P34" s="448"/>
      <c r="Q34" s="448"/>
      <c r="R34" s="53"/>
      <c r="U34" s="457" t="s">
        <v>73</v>
      </c>
      <c r="V34" s="457"/>
      <c r="W34" s="25"/>
      <c r="AE34" s="75">
        <v>60</v>
      </c>
      <c r="AF34" s="75" t="s">
        <v>70</v>
      </c>
      <c r="AG34" s="75" t="str">
        <f t="shared" si="9"/>
        <v>60 - adequado</v>
      </c>
      <c r="AH34" s="75">
        <v>15000</v>
      </c>
      <c r="AJ34" s="75">
        <v>60</v>
      </c>
      <c r="AK34" s="75" t="s">
        <v>70</v>
      </c>
      <c r="AL34" s="75" t="str">
        <f t="shared" si="4"/>
        <v>60 - adequado</v>
      </c>
      <c r="AM34" s="75">
        <v>15000</v>
      </c>
      <c r="AO34" s="47"/>
      <c r="AP34" s="447"/>
      <c r="AQ34" s="447" t="str">
        <f t="shared" si="10"/>
        <v>Nitrato de Amônio</v>
      </c>
      <c r="AR34" s="447"/>
      <c r="AS34" s="55">
        <f t="shared" si="5"/>
        <v>0</v>
      </c>
      <c r="AT34" s="55">
        <f t="shared" si="6"/>
        <v>0</v>
      </c>
      <c r="AU34" s="55">
        <f t="shared" si="7"/>
        <v>0</v>
      </c>
      <c r="AV34" s="55">
        <f t="shared" si="8"/>
        <v>0</v>
      </c>
      <c r="AW34" s="47"/>
      <c r="AX34" s="47"/>
      <c r="AY34" s="47"/>
      <c r="AZ34" s="47"/>
      <c r="BA34" s="47"/>
      <c r="BB34" s="47"/>
    </row>
    <row r="35" spans="2:57" ht="20.25" customHeight="1" thickBot="1" x14ac:dyDescent="0.3">
      <c r="B35" s="488" t="str">
        <f>IF($O$55&gt;0,$O$55,"-")</f>
        <v>Gesso Agronelli</v>
      </c>
      <c r="C35" s="488"/>
      <c r="D35" s="73">
        <f>IF(J34&gt;0,J34,"-")</f>
        <v>356.25</v>
      </c>
      <c r="E35" s="365" t="str">
        <f>IF(J34&gt;0,"quilos por hectare ou,","-")</f>
        <v>quilos por hectare ou,</v>
      </c>
      <c r="F35" s="365"/>
      <c r="G35" s="365"/>
      <c r="H35" s="365"/>
      <c r="I35" s="365"/>
      <c r="J35" s="81">
        <f>J34/10</f>
        <v>35.625</v>
      </c>
      <c r="M35" s="69"/>
      <c r="N35" s="70"/>
      <c r="O35" s="70"/>
      <c r="P35" s="83" t="e">
        <f>10000/($O$30*$Q$30)</f>
        <v>#DIV/0!</v>
      </c>
      <c r="Q35" s="83">
        <f>10000/(((P32+Q32)/2)*O32)</f>
        <v>1666.6666666666667</v>
      </c>
      <c r="R35" s="71"/>
      <c r="U35" s="457" t="str">
        <f>CONCATENATE($P$39," - ",$W$16)</f>
        <v>120 - baixo</v>
      </c>
      <c r="V35" s="457"/>
      <c r="W35" s="25"/>
      <c r="AE35" s="75">
        <v>60</v>
      </c>
      <c r="AF35" s="75" t="s">
        <v>331</v>
      </c>
      <c r="AG35" s="75" t="str">
        <f t="shared" si="9"/>
        <v>60 - alto</v>
      </c>
      <c r="AH35" s="75">
        <v>10000</v>
      </c>
      <c r="AJ35" s="75">
        <v>60</v>
      </c>
      <c r="AK35" s="75" t="s">
        <v>331</v>
      </c>
      <c r="AL35" s="75" t="str">
        <f t="shared" si="4"/>
        <v>60 - alto</v>
      </c>
      <c r="AM35" s="75">
        <v>10000</v>
      </c>
      <c r="AO35" s="47"/>
      <c r="AP35" s="447"/>
      <c r="AQ35" s="447" t="str">
        <f t="shared" si="10"/>
        <v>-</v>
      </c>
      <c r="AR35" s="447"/>
      <c r="AS35" s="55">
        <f t="shared" si="5"/>
        <v>0</v>
      </c>
      <c r="AT35" s="55">
        <f t="shared" si="6"/>
        <v>0</v>
      </c>
      <c r="AU35" s="55">
        <f t="shared" si="7"/>
        <v>0</v>
      </c>
      <c r="AV35" s="55">
        <f t="shared" si="8"/>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25"/>
      <c r="V36" s="25"/>
      <c r="W36" s="25"/>
      <c r="AE36" s="75">
        <v>90</v>
      </c>
      <c r="AF36" s="75" t="s">
        <v>68</v>
      </c>
      <c r="AG36" s="75" t="str">
        <f t="shared" si="9"/>
        <v>90 - baixo</v>
      </c>
      <c r="AH36" s="75">
        <v>0</v>
      </c>
      <c r="AJ36" s="75">
        <v>90</v>
      </c>
      <c r="AK36" s="75" t="s">
        <v>68</v>
      </c>
      <c r="AL36" s="75" t="str">
        <f t="shared" si="4"/>
        <v>90 - baixo</v>
      </c>
      <c r="AM36" s="75">
        <v>20000</v>
      </c>
      <c r="AO36" s="47"/>
      <c r="AP36" s="447"/>
      <c r="AQ36" s="447" t="str">
        <f t="shared" si="10"/>
        <v>-</v>
      </c>
      <c r="AR36" s="447"/>
      <c r="AS36" s="55">
        <f t="shared" si="5"/>
        <v>0</v>
      </c>
      <c r="AT36" s="55">
        <f t="shared" si="6"/>
        <v>0</v>
      </c>
      <c r="AU36" s="55">
        <f t="shared" si="7"/>
        <v>0</v>
      </c>
      <c r="AV36" s="55">
        <f t="shared" si="8"/>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AE37" s="75">
        <v>90</v>
      </c>
      <c r="AF37" s="75" t="s">
        <v>70</v>
      </c>
      <c r="AG37" s="75" t="str">
        <f t="shared" si="9"/>
        <v>90 - adequado</v>
      </c>
      <c r="AH37" s="75">
        <v>0</v>
      </c>
      <c r="AJ37" s="75">
        <v>90</v>
      </c>
      <c r="AK37" s="75" t="s">
        <v>70</v>
      </c>
      <c r="AL37" s="75" t="str">
        <f t="shared" si="4"/>
        <v>90 - adequado</v>
      </c>
      <c r="AM37" s="75">
        <v>15000</v>
      </c>
      <c r="AO37" s="85"/>
      <c r="AP37" s="85"/>
      <c r="AQ37" s="85"/>
      <c r="AR37" s="85"/>
      <c r="AS37" s="59">
        <f>IF(AS24&gt;0,AS24,0)</f>
        <v>1.1999798275862068</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198</v>
      </c>
      <c r="P38" s="489"/>
      <c r="Q38" s="489"/>
      <c r="R38" s="53"/>
      <c r="U38" s="51" t="s">
        <v>63</v>
      </c>
      <c r="AE38" s="75">
        <v>90</v>
      </c>
      <c r="AF38" s="75" t="s">
        <v>331</v>
      </c>
      <c r="AG38" s="75" t="str">
        <f t="shared" si="9"/>
        <v>90 - alto</v>
      </c>
      <c r="AH38" s="75">
        <v>0</v>
      </c>
      <c r="AJ38" s="75">
        <v>90</v>
      </c>
      <c r="AK38" s="75" t="s">
        <v>331</v>
      </c>
      <c r="AL38" s="75" t="str">
        <f t="shared" si="4"/>
        <v>90 - alto</v>
      </c>
      <c r="AM38" s="75">
        <v>10000</v>
      </c>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34.285714285714285</v>
      </c>
      <c r="M39" s="364"/>
      <c r="N39" s="365"/>
      <c r="O39" s="110" t="s">
        <v>330</v>
      </c>
      <c r="P39" s="448">
        <v>120</v>
      </c>
      <c r="Q39" s="448"/>
      <c r="R39" s="53"/>
      <c r="U39" s="51" t="s">
        <v>32</v>
      </c>
      <c r="AE39" s="75">
        <v>120</v>
      </c>
      <c r="AF39" s="75" t="s">
        <v>68</v>
      </c>
      <c r="AG39" s="75" t="str">
        <f t="shared" si="9"/>
        <v>120 - baixo</v>
      </c>
      <c r="AH39" s="75">
        <v>20000</v>
      </c>
      <c r="AJ39" s="75">
        <v>120</v>
      </c>
      <c r="AK39" s="75" t="s">
        <v>68</v>
      </c>
      <c r="AL39" s="75" t="str">
        <f t="shared" si="4"/>
        <v>120 - baixo</v>
      </c>
      <c r="AM39" s="75">
        <v>20000</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t="str">
        <f>IF(AQ59&gt;0,AQ59,"-")</f>
        <v>-</v>
      </c>
      <c r="E40" s="362" t="str">
        <f>IF(AQ59&gt;0,"quilos por cova ou planta","-")</f>
        <v>-</v>
      </c>
      <c r="F40" s="362"/>
      <c r="G40" s="362"/>
      <c r="H40" s="362"/>
      <c r="I40" s="362"/>
      <c r="J40" s="81">
        <f>AV7</f>
        <v>33.333333333333336</v>
      </c>
      <c r="M40" s="364"/>
      <c r="N40" s="365"/>
      <c r="O40" s="25"/>
      <c r="P40" s="25"/>
      <c r="Q40" s="25"/>
      <c r="R40" s="53"/>
      <c r="U40" s="51" t="s">
        <v>34</v>
      </c>
      <c r="AE40" s="75">
        <v>120</v>
      </c>
      <c r="AF40" s="75" t="s">
        <v>70</v>
      </c>
      <c r="AG40" s="75" t="str">
        <f t="shared" si="9"/>
        <v>120 - adequado</v>
      </c>
      <c r="AH40" s="75">
        <v>15000</v>
      </c>
      <c r="AJ40" s="75">
        <v>120</v>
      </c>
      <c r="AK40" s="75" t="s">
        <v>70</v>
      </c>
      <c r="AL40" s="75" t="str">
        <f t="shared" si="4"/>
        <v>120 - adequado</v>
      </c>
      <c r="AM40" s="75">
        <v>15000</v>
      </c>
      <c r="AO40" s="47"/>
      <c r="AP40" s="447" t="str">
        <f>O105</f>
        <v>Ácido Bórico</v>
      </c>
      <c r="AQ40" s="447"/>
      <c r="AR40" s="55">
        <f>IFERROR($AS$37/((VLOOKUP(AP40,$V$100:$AO$179,11,0)*0.01)),0)</f>
        <v>6.857027586206895</v>
      </c>
      <c r="AS40" s="55">
        <f>IFERROR($AT$37/((VLOOKUP(AP40,$V$100:$AO$179,14,0)*0.01)),0)</f>
        <v>0</v>
      </c>
      <c r="AT40" s="55">
        <f>IFERROR($AU$37/((VLOOKUP(AP40,$V$100:$AO$179,12,0)*0.01)),0)</f>
        <v>0</v>
      </c>
      <c r="AU40" s="55">
        <f>IFERROR($AV$37/((VLOOKUP(AP40,$V$100:$AO$179,13,0)*0.01)),0)</f>
        <v>0</v>
      </c>
      <c r="AV40" s="55">
        <f>MAX(AR40:AU40)</f>
        <v>6.857027586206895</v>
      </c>
      <c r="AW40" s="55">
        <f>IFERROR(AV40*(VLOOKUP(AP40,$V$100:$AO$179,11,0)*0.01),0)</f>
        <v>1.1999798275862068</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f t="shared" ref="D41:D49" si="11">IF(J39&gt;0,J39,"-")</f>
        <v>34.285714285714285</v>
      </c>
      <c r="E41" s="365" t="str">
        <f t="shared" ref="E41:E49" si="12">IF(J39&gt;0,"gramas por planta","-")</f>
        <v>gramas por planta</v>
      </c>
      <c r="F41" s="365"/>
      <c r="G41" s="365"/>
      <c r="H41" s="365"/>
      <c r="I41" s="365"/>
      <c r="J41" s="81">
        <f>AV8</f>
        <v>0</v>
      </c>
      <c r="M41" s="364"/>
      <c r="N41" s="365"/>
      <c r="O41" s="489" t="s">
        <v>308</v>
      </c>
      <c r="P41" s="489"/>
      <c r="Q41" s="489"/>
      <c r="R41" s="53"/>
      <c r="U41" s="51">
        <v>30</v>
      </c>
      <c r="AE41" s="75">
        <v>120</v>
      </c>
      <c r="AF41" s="75" t="s">
        <v>331</v>
      </c>
      <c r="AG41" s="75" t="str">
        <f t="shared" si="9"/>
        <v>120 - alto</v>
      </c>
      <c r="AH41" s="75">
        <v>10000</v>
      </c>
      <c r="AJ41" s="75">
        <v>120</v>
      </c>
      <c r="AK41" s="75" t="s">
        <v>331</v>
      </c>
      <c r="AL41" s="75" t="str">
        <f t="shared" si="4"/>
        <v>120 - alto</v>
      </c>
      <c r="AM41" s="75">
        <v>10000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3">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f t="shared" si="11"/>
        <v>33.333333333333336</v>
      </c>
      <c r="E42" s="365" t="str">
        <f t="shared" si="12"/>
        <v>gramas por planta</v>
      </c>
      <c r="F42" s="365"/>
      <c r="G42" s="365"/>
      <c r="H42" s="365"/>
      <c r="I42" s="365"/>
      <c r="J42" s="81">
        <f>AV12</f>
        <v>10</v>
      </c>
      <c r="M42" s="364"/>
      <c r="N42" s="365"/>
      <c r="O42" s="483" t="s">
        <v>292</v>
      </c>
      <c r="P42" s="513"/>
      <c r="Q42" s="484"/>
      <c r="R42" s="53"/>
      <c r="U42" s="51">
        <v>60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3"/>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1"/>
        <v>-</v>
      </c>
      <c r="E43" s="365" t="str">
        <f t="shared" si="12"/>
        <v>-</v>
      </c>
      <c r="F43" s="365"/>
      <c r="G43" s="365"/>
      <c r="H43" s="365"/>
      <c r="I43" s="365"/>
      <c r="J43" s="81">
        <f>AV13</f>
        <v>75</v>
      </c>
      <c r="M43" s="69"/>
      <c r="N43" s="70"/>
      <c r="O43" s="70"/>
      <c r="P43" s="70"/>
      <c r="Q43" s="70"/>
      <c r="R43" s="71"/>
      <c r="U43" s="51">
        <v>120</v>
      </c>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3"/>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1"/>
        <v>10</v>
      </c>
      <c r="E44" s="365" t="str">
        <f t="shared" si="12"/>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1"/>
        <v>75</v>
      </c>
      <c r="E45" s="365" t="str">
        <f t="shared" si="12"/>
        <v>gramas por planta</v>
      </c>
      <c r="F45" s="365"/>
      <c r="G45" s="365"/>
      <c r="H45" s="365"/>
      <c r="I45" s="365"/>
      <c r="J45" s="81">
        <f>AV18</f>
        <v>31.03448275862069</v>
      </c>
      <c r="M45" s="48"/>
      <c r="N45" s="49"/>
      <c r="O45" s="499" t="s">
        <v>305</v>
      </c>
      <c r="P45" s="500"/>
      <c r="Q45" s="501"/>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1"/>
        <v>-</v>
      </c>
      <c r="E46" s="365" t="str">
        <f t="shared" si="12"/>
        <v>-</v>
      </c>
      <c r="F46" s="365"/>
      <c r="G46" s="365"/>
      <c r="H46" s="365"/>
      <c r="I46" s="365"/>
      <c r="J46" s="81">
        <f>AV19</f>
        <v>0</v>
      </c>
      <c r="M46" s="364" t="s">
        <v>213</v>
      </c>
      <c r="N46" s="365"/>
      <c r="O46" s="502"/>
      <c r="P46" s="503"/>
      <c r="Q46" s="504"/>
      <c r="R46" s="53"/>
      <c r="U46" s="75" t="s">
        <v>109</v>
      </c>
      <c r="V46" s="89">
        <v>70</v>
      </c>
      <c r="X46" s="455" t="s">
        <v>268</v>
      </c>
      <c r="Y46" s="455"/>
      <c r="Z46" s="63">
        <f>IFERROR(VLOOKUP(O50,$V$87:$AE$95,10,0),0)</f>
        <v>22.778167994795901</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1"/>
        <v>31.03448275862069</v>
      </c>
      <c r="E47" s="365" t="str">
        <f t="shared" si="12"/>
        <v>gramas por planta</v>
      </c>
      <c r="F47" s="365"/>
      <c r="G47" s="365"/>
      <c r="H47" s="365"/>
      <c r="I47" s="365"/>
      <c r="J47" s="81">
        <f>AV20</f>
        <v>0</v>
      </c>
      <c r="M47" s="364"/>
      <c r="N47" s="365"/>
      <c r="O47" s="481" t="s">
        <v>139</v>
      </c>
      <c r="P47" s="482"/>
      <c r="Q47" s="90">
        <v>0.5</v>
      </c>
      <c r="R47" s="53"/>
      <c r="U47" s="51" t="s">
        <v>111</v>
      </c>
      <c r="V47" s="63">
        <f>IFERROR((((V46-P24)*P25)/V49),0)</f>
        <v>1.0169491525423733</v>
      </c>
      <c r="X47" s="455" t="s">
        <v>203</v>
      </c>
      <c r="Y47" s="455"/>
      <c r="Z47" s="63">
        <f>IFERROR((($V$50/$Z$46)*$V$47),0)</f>
        <v>1.9644144657326013</v>
      </c>
      <c r="AO47" s="47"/>
      <c r="BA47" s="47"/>
      <c r="BB47" s="47"/>
    </row>
    <row r="48" spans="2:57" ht="20.25" customHeight="1" x14ac:dyDescent="0.25">
      <c r="B48" s="449" t="str">
        <f>IF(AQ19&gt;0,AQ19,"-")</f>
        <v>-</v>
      </c>
      <c r="C48" s="449"/>
      <c r="D48" s="87" t="str">
        <f t="shared" si="11"/>
        <v>-</v>
      </c>
      <c r="E48" s="365" t="str">
        <f t="shared" si="12"/>
        <v>-</v>
      </c>
      <c r="F48" s="365"/>
      <c r="G48" s="365"/>
      <c r="H48" s="365"/>
      <c r="I48" s="365"/>
      <c r="J48" s="91"/>
      <c r="M48" s="364"/>
      <c r="N48" s="365"/>
      <c r="O48" s="505" t="s">
        <v>306</v>
      </c>
      <c r="P48" s="506"/>
      <c r="Q48" s="507"/>
      <c r="R48" s="53"/>
      <c r="U48" s="51" t="s">
        <v>201</v>
      </c>
      <c r="V48" s="63">
        <f>IF(V47&lt;0,(0),IF(V47&gt;=0,(V47)))</f>
        <v>1.0169491525423733</v>
      </c>
      <c r="X48" s="455" t="s">
        <v>201</v>
      </c>
      <c r="Y48" s="455"/>
      <c r="Z48" s="63">
        <f>IFERROR(IF(Z47&lt;0,(0),IF(Z47&gt;=0,(Z47))),0)</f>
        <v>1.9644144657326013</v>
      </c>
    </row>
    <row r="49" spans="2:50" ht="20.25" customHeight="1" x14ac:dyDescent="0.25">
      <c r="B49" s="449" t="str">
        <f>IF(AQ20&gt;0,AQ20,"-")</f>
        <v>-</v>
      </c>
      <c r="C49" s="449"/>
      <c r="D49" s="87" t="str">
        <f t="shared" si="11"/>
        <v>-</v>
      </c>
      <c r="E49" s="365" t="str">
        <f t="shared" si="12"/>
        <v>-</v>
      </c>
      <c r="F49" s="365"/>
      <c r="G49" s="365"/>
      <c r="H49" s="365"/>
      <c r="I49" s="365"/>
      <c r="M49" s="364"/>
      <c r="N49" s="365"/>
      <c r="O49" s="502"/>
      <c r="P49" s="503"/>
      <c r="Q49" s="504"/>
      <c r="R49" s="53"/>
      <c r="U49" s="51" t="s">
        <v>110</v>
      </c>
      <c r="V49" s="63">
        <f>IFERROR(VLOOKUP($O$47,$V$56:$AA$68,5,0),0)</f>
        <v>80.239999999999995</v>
      </c>
      <c r="X49" s="455" t="s">
        <v>273</v>
      </c>
      <c r="Y49" s="455"/>
      <c r="Z49" s="63">
        <f>Z48*$Q$50</f>
        <v>0.98220723286630063</v>
      </c>
    </row>
    <row r="50" spans="2:50" ht="20.25" customHeight="1" x14ac:dyDescent="0.25">
      <c r="B50" s="476" t="s">
        <v>535</v>
      </c>
      <c r="C50" s="476"/>
      <c r="D50" s="476"/>
      <c r="E50" s="476"/>
      <c r="F50" s="476"/>
      <c r="G50" s="476"/>
      <c r="H50" s="476"/>
      <c r="I50" s="476"/>
      <c r="M50" s="364"/>
      <c r="N50" s="365"/>
      <c r="O50" s="483" t="s">
        <v>493</v>
      </c>
      <c r="P50" s="484"/>
      <c r="Q50" s="92">
        <v>0.5</v>
      </c>
      <c r="R50" s="53"/>
      <c r="U50" s="51" t="s">
        <v>193</v>
      </c>
      <c r="V50" s="63">
        <f>IFERROR(VLOOKUP($O$47,$V$56:$AA$68,6,0),0)</f>
        <v>44</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0.50847457627118664</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4">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4"/>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4"/>
        <v>3 - Composto de lixo (COL)</v>
      </c>
      <c r="AW54" s="51">
        <v>15</v>
      </c>
    </row>
    <row r="55" spans="2:50" ht="20.25" customHeight="1" x14ac:dyDescent="0.25">
      <c r="B55" s="449" t="str">
        <f>IF(AP40&gt;0,AP40,"-")</f>
        <v>Ácido Bórico</v>
      </c>
      <c r="C55" s="449"/>
      <c r="D55" s="87">
        <f>IF(AV40&gt;0,AV40,"-")</f>
        <v>6.857027586206895</v>
      </c>
      <c r="E55" s="365" t="str">
        <f>IF(AV40&gt;0,"gramas por planta","-")</f>
        <v>gramas por planta</v>
      </c>
      <c r="F55" s="365"/>
      <c r="G55" s="365"/>
      <c r="H55" s="365"/>
      <c r="I55" s="365"/>
      <c r="M55" s="364"/>
      <c r="N55" s="365"/>
      <c r="O55" s="448" t="s">
        <v>188</v>
      </c>
      <c r="P55" s="448"/>
      <c r="Q55" s="448"/>
      <c r="R55" s="53"/>
      <c r="U55" s="344"/>
      <c r="V55" s="344"/>
      <c r="W55" s="344"/>
      <c r="X55" s="95" t="s">
        <v>105</v>
      </c>
      <c r="Y55" s="95" t="s">
        <v>106</v>
      </c>
      <c r="Z55" s="95" t="s">
        <v>107</v>
      </c>
      <c r="AA55" s="95" t="s">
        <v>195</v>
      </c>
      <c r="AP55" s="465"/>
      <c r="AQ55" s="465"/>
      <c r="AS55" s="465"/>
      <c r="AT55" s="51">
        <v>4</v>
      </c>
      <c r="AU55" s="93" t="s">
        <v>286</v>
      </c>
      <c r="AV55" s="93" t="str">
        <f t="shared" si="14"/>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4"/>
        <v>0 - Cama de frango corte</v>
      </c>
      <c r="AW56" s="75">
        <v>4</v>
      </c>
      <c r="AX56" s="25"/>
    </row>
    <row r="57" spans="2:50" ht="20.25" customHeight="1" x14ac:dyDescent="0.25">
      <c r="B57" s="449" t="str">
        <f>IF(AP42&gt;0,AP42,"-")</f>
        <v>Sulfato de zinco</v>
      </c>
      <c r="C57" s="449"/>
      <c r="D57" s="87" t="str">
        <f>IF(AV42&gt;0,AV42,"-")</f>
        <v>-</v>
      </c>
      <c r="E57" s="365" t="str">
        <f t="shared" ref="E57:E59" si="15">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4"/>
        <v>1 - Cama de frango corte</v>
      </c>
      <c r="AW57" s="75">
        <v>1</v>
      </c>
    </row>
    <row r="58" spans="2:50" ht="20.25" customHeight="1" x14ac:dyDescent="0.25">
      <c r="B58" s="449" t="str">
        <f>IF(AP43&gt;0,AP43,"-")</f>
        <v>Sulfato de manganês</v>
      </c>
      <c r="C58" s="449"/>
      <c r="D58" s="87" t="str">
        <f>IF(AV43&gt;0,AV43,"-")</f>
        <v>-</v>
      </c>
      <c r="E58" s="365" t="str">
        <f t="shared" si="15"/>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120 - Esterco Bovino curtido</v>
      </c>
      <c r="AR58" s="463"/>
      <c r="AS58" s="25"/>
      <c r="AT58" s="75">
        <v>2</v>
      </c>
      <c r="AU58" s="97" t="s">
        <v>293</v>
      </c>
      <c r="AV58" s="97" t="str">
        <f t="shared" si="14"/>
        <v>2 - Cama de frango corte</v>
      </c>
      <c r="AW58" s="75">
        <v>3</v>
      </c>
    </row>
    <row r="59" spans="2:50" ht="20.25" customHeight="1" x14ac:dyDescent="0.25">
      <c r="B59" s="449" t="str">
        <f>IF(AP44&gt;0,AP44,"-")</f>
        <v>-</v>
      </c>
      <c r="C59" s="449"/>
      <c r="D59" s="87" t="str">
        <f>IF(AV44&gt;0,AV44,"-")</f>
        <v>-</v>
      </c>
      <c r="E59" s="365" t="str">
        <f t="shared" si="15"/>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0</v>
      </c>
      <c r="AR59" s="456"/>
      <c r="AS59" s="25"/>
      <c r="AT59" s="75">
        <v>3</v>
      </c>
      <c r="AU59" s="97" t="s">
        <v>293</v>
      </c>
      <c r="AV59" s="97" t="str">
        <f t="shared" si="14"/>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4"/>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4"/>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4"/>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4"/>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4"/>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4"/>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4"/>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4"/>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4"/>
        <v>2 - Esterco Bovino curtido</v>
      </c>
      <c r="AW68" s="75">
        <v>7</v>
      </c>
    </row>
    <row r="69" spans="2:49" ht="20.25" customHeight="1" thickBot="1" x14ac:dyDescent="0.3">
      <c r="M69" s="69"/>
      <c r="N69" s="70"/>
      <c r="O69" s="70"/>
      <c r="P69" s="70"/>
      <c r="Q69" s="70"/>
      <c r="R69" s="71"/>
      <c r="AT69" s="75">
        <v>3</v>
      </c>
      <c r="AU69" s="97" t="s">
        <v>292</v>
      </c>
      <c r="AV69" s="97" t="str">
        <f t="shared" si="14"/>
        <v>3 - Esterco Bovino curtido</v>
      </c>
      <c r="AW69" s="75">
        <v>12</v>
      </c>
    </row>
    <row r="70" spans="2:49" ht="20.25" customHeight="1" thickBot="1" x14ac:dyDescent="0.3">
      <c r="AT70" s="75">
        <v>4</v>
      </c>
      <c r="AU70" s="97" t="s">
        <v>292</v>
      </c>
      <c r="AV70" s="97" t="str">
        <f t="shared" si="14"/>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4"/>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4"/>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4"/>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4"/>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4"/>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4"/>
        <v>0 - Esterco de suínos</v>
      </c>
      <c r="AW76" s="75">
        <v>10</v>
      </c>
    </row>
    <row r="77" spans="2:49" ht="20.2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4"/>
        <v>1 - Esterco de suínos</v>
      </c>
      <c r="AW77" s="75">
        <v>4</v>
      </c>
    </row>
    <row r="78" spans="2:49" ht="20.2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4"/>
        <v>2 - Esterco de suínos</v>
      </c>
      <c r="AW78" s="75">
        <v>6</v>
      </c>
    </row>
    <row r="79" spans="2:49" ht="20.2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4"/>
        <v>3 - Esterco de suínos</v>
      </c>
      <c r="AW79" s="75">
        <v>10</v>
      </c>
    </row>
    <row r="80" spans="2:49" ht="20.2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4"/>
        <v>4 - Esterco de suínos</v>
      </c>
      <c r="AW80" s="75">
        <v>4</v>
      </c>
    </row>
    <row r="81" spans="13:49" ht="20.2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4"/>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4"/>
        <v>1 - Esterco de ovinos</v>
      </c>
      <c r="AW82" s="51">
        <v>4</v>
      </c>
    </row>
    <row r="83" spans="13:49" ht="20.25" customHeight="1" x14ac:dyDescent="0.25">
      <c r="M83" s="364"/>
      <c r="N83" s="365"/>
      <c r="O83" s="448" t="s">
        <v>116</v>
      </c>
      <c r="P83" s="448"/>
      <c r="Q83" s="92">
        <v>0.5</v>
      </c>
      <c r="R83" s="53"/>
      <c r="AT83" s="51">
        <v>2</v>
      </c>
      <c r="AU83" s="93" t="s">
        <v>288</v>
      </c>
      <c r="AV83" s="93" t="str">
        <f t="shared" si="14"/>
        <v>2 - Esterco de ovinos</v>
      </c>
      <c r="AW83" s="51">
        <v>6</v>
      </c>
    </row>
    <row r="84" spans="13:49" ht="20.25" customHeight="1" x14ac:dyDescent="0.25">
      <c r="M84" s="364"/>
      <c r="N84" s="365"/>
      <c r="O84" s="448"/>
      <c r="P84" s="448"/>
      <c r="Q84" s="92"/>
      <c r="R84" s="53"/>
      <c r="AT84" s="51">
        <v>3</v>
      </c>
      <c r="AU84" s="93" t="s">
        <v>288</v>
      </c>
      <c r="AV84" s="93" t="str">
        <f t="shared" si="14"/>
        <v>3 - Esterco de ovinos</v>
      </c>
      <c r="AW84" s="51">
        <v>10</v>
      </c>
    </row>
    <row r="85" spans="13:49" ht="20.2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T85" s="51">
        <v>4</v>
      </c>
      <c r="AU85" s="93" t="s">
        <v>288</v>
      </c>
      <c r="AV85" s="93" t="str">
        <f t="shared" si="14"/>
        <v>4 - Esterco de ovinos</v>
      </c>
      <c r="AW85" s="51">
        <v>4</v>
      </c>
    </row>
    <row r="86" spans="13:49" ht="20.2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4"/>
        <v>0 - Lodo de esgosto</v>
      </c>
      <c r="AW86" s="75">
        <v>15</v>
      </c>
    </row>
    <row r="87" spans="13:49" ht="20.2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6">Y160</f>
        <v>8.7999999999999995E-2</v>
      </c>
      <c r="Z87" s="99">
        <f t="shared" si="16"/>
        <v>0.2</v>
      </c>
      <c r="AA87" s="99">
        <f t="shared" si="16"/>
        <v>2.83</v>
      </c>
      <c r="AB87" s="99">
        <f t="shared" si="16"/>
        <v>3.4</v>
      </c>
      <c r="AC87" s="100">
        <f>AC160*0.602</f>
        <v>1.5155244755244754</v>
      </c>
      <c r="AD87" s="100">
        <f>AD160*0.715</f>
        <v>5.4634551495016606</v>
      </c>
      <c r="AE87" s="100">
        <f t="shared" ref="AE87:AE95" si="17">AB87+AC87+AD87</f>
        <v>10.378979625026137</v>
      </c>
      <c r="AT87" s="75">
        <v>1</v>
      </c>
      <c r="AU87" s="97" t="s">
        <v>289</v>
      </c>
      <c r="AV87" s="97" t="str">
        <f t="shared" si="14"/>
        <v>1 - Lodo de esgosto</v>
      </c>
      <c r="AW87" s="75">
        <v>10</v>
      </c>
    </row>
    <row r="88" spans="13:49" ht="20.25" customHeight="1" x14ac:dyDescent="0.25">
      <c r="M88" s="364"/>
      <c r="N88" s="365"/>
      <c r="O88" s="450" t="s">
        <v>254</v>
      </c>
      <c r="P88" s="451"/>
      <c r="Q88" s="452"/>
      <c r="R88" s="53"/>
      <c r="U88" s="466"/>
      <c r="V88" s="99" t="str">
        <f t="shared" ref="V88:W95" si="18">V161</f>
        <v>Kamafugito</v>
      </c>
      <c r="W88" s="99">
        <f t="shared" si="18"/>
        <v>0</v>
      </c>
      <c r="X88" s="99">
        <f t="shared" ref="X88:X95" si="19">AL161</f>
        <v>0</v>
      </c>
      <c r="Y88" s="99">
        <f t="shared" si="16"/>
        <v>1.5069999999999999</v>
      </c>
      <c r="Z88" s="99">
        <f t="shared" si="16"/>
        <v>3.5</v>
      </c>
      <c r="AA88" s="99">
        <f t="shared" si="16"/>
        <v>3.3250000000000002</v>
      </c>
      <c r="AB88" s="99">
        <f t="shared" si="16"/>
        <v>4</v>
      </c>
      <c r="AC88" s="100">
        <f t="shared" ref="AC88:AC95" si="20">AC161*0.602</f>
        <v>1.7217199999999999</v>
      </c>
      <c r="AD88" s="100">
        <f t="shared" ref="AD88:AD95" si="21">AD161*0.715</f>
        <v>0</v>
      </c>
      <c r="AE88" s="100">
        <f t="shared" si="17"/>
        <v>5.7217199999999995</v>
      </c>
      <c r="AT88" s="75">
        <v>2</v>
      </c>
      <c r="AU88" s="97" t="s">
        <v>289</v>
      </c>
      <c r="AV88" s="97" t="str">
        <f t="shared" si="14"/>
        <v>2 - Lodo de esgosto</v>
      </c>
      <c r="AW88" s="75">
        <v>5</v>
      </c>
    </row>
    <row r="89" spans="13:49" ht="20.25" customHeight="1" x14ac:dyDescent="0.25">
      <c r="M89" s="364"/>
      <c r="N89" s="365"/>
      <c r="O89" s="450" t="s">
        <v>251</v>
      </c>
      <c r="P89" s="451"/>
      <c r="Q89" s="452"/>
      <c r="R89" s="53"/>
      <c r="U89" s="466"/>
      <c r="V89" s="99" t="str">
        <f t="shared" si="18"/>
        <v>Micaxisto (61) 3233-9368</v>
      </c>
      <c r="W89" s="99">
        <f t="shared" si="18"/>
        <v>0</v>
      </c>
      <c r="X89" s="99">
        <f t="shared" si="19"/>
        <v>0</v>
      </c>
      <c r="Y89" s="99">
        <f t="shared" si="16"/>
        <v>4.4999999999999998E-2</v>
      </c>
      <c r="Z89" s="99">
        <f t="shared" si="16"/>
        <v>0.1</v>
      </c>
      <c r="AA89" s="99">
        <f t="shared" si="16"/>
        <v>4.32</v>
      </c>
      <c r="AB89" s="99">
        <f t="shared" si="16"/>
        <v>5.2</v>
      </c>
      <c r="AC89" s="100">
        <f t="shared" si="20"/>
        <v>0.75776223776223772</v>
      </c>
      <c r="AD89" s="100">
        <f t="shared" si="21"/>
        <v>0.83139534883720934</v>
      </c>
      <c r="AE89" s="100">
        <f t="shared" si="17"/>
        <v>6.7891575865994476</v>
      </c>
      <c r="AT89" s="75">
        <v>3</v>
      </c>
      <c r="AU89" s="97" t="s">
        <v>289</v>
      </c>
      <c r="AV89" s="97" t="str">
        <f t="shared" si="14"/>
        <v>3 - Lodo de esgosto</v>
      </c>
      <c r="AW89" s="75">
        <v>15</v>
      </c>
    </row>
    <row r="90" spans="13:49" ht="20.25" customHeight="1" x14ac:dyDescent="0.25">
      <c r="M90" s="364"/>
      <c r="N90" s="365"/>
      <c r="O90" s="448" t="s">
        <v>93</v>
      </c>
      <c r="P90" s="448"/>
      <c r="Q90" s="92">
        <v>1</v>
      </c>
      <c r="R90" s="53"/>
      <c r="U90" s="466"/>
      <c r="V90" s="99" t="str">
        <f t="shared" si="18"/>
        <v xml:space="preserve">Pó de brita Fmx (62) 3924 8565 </v>
      </c>
      <c r="W90" s="99">
        <f t="shared" si="18"/>
        <v>0</v>
      </c>
      <c r="X90" s="99">
        <f t="shared" si="19"/>
        <v>0</v>
      </c>
      <c r="Y90" s="99">
        <f t="shared" si="16"/>
        <v>0</v>
      </c>
      <c r="Z90" s="99">
        <f t="shared" si="16"/>
        <v>0</v>
      </c>
      <c r="AA90" s="99">
        <f t="shared" si="16"/>
        <v>4.99</v>
      </c>
      <c r="AB90" s="99">
        <f t="shared" si="16"/>
        <v>6</v>
      </c>
      <c r="AC90" s="100">
        <f t="shared" si="20"/>
        <v>2.5258741258741257</v>
      </c>
      <c r="AD90" s="100">
        <f t="shared" si="21"/>
        <v>0.59385382059800662</v>
      </c>
      <c r="AE90" s="100">
        <f t="shared" si="17"/>
        <v>9.1197279464721319</v>
      </c>
      <c r="AT90" s="75">
        <v>4</v>
      </c>
      <c r="AU90" s="97" t="s">
        <v>289</v>
      </c>
      <c r="AV90" s="97" t="str">
        <f t="shared" si="14"/>
        <v>4 - Lodo de esgosto</v>
      </c>
      <c r="AW90" s="75">
        <v>10</v>
      </c>
    </row>
    <row r="91" spans="13:49" ht="20.25" customHeight="1" x14ac:dyDescent="0.25">
      <c r="M91" s="364"/>
      <c r="N91" s="365"/>
      <c r="O91" s="448"/>
      <c r="P91" s="448"/>
      <c r="Q91" s="92"/>
      <c r="R91" s="53"/>
      <c r="U91" s="466"/>
      <c r="V91" s="99" t="str">
        <f t="shared" si="18"/>
        <v>Remax Mistel (61) 99414-1975</v>
      </c>
      <c r="W91" s="99">
        <f t="shared" si="18"/>
        <v>0</v>
      </c>
      <c r="X91" s="99">
        <f t="shared" si="19"/>
        <v>43.8</v>
      </c>
      <c r="Y91" s="99">
        <f t="shared" si="16"/>
        <v>4.4999999999999998E-2</v>
      </c>
      <c r="Z91" s="99">
        <f t="shared" si="16"/>
        <v>0.1</v>
      </c>
      <c r="AA91" s="99">
        <f t="shared" si="16"/>
        <v>2.1949999999999998</v>
      </c>
      <c r="AB91" s="99">
        <f t="shared" si="16"/>
        <v>2.6</v>
      </c>
      <c r="AC91" s="100">
        <f t="shared" si="20"/>
        <v>11.282237762237763</v>
      </c>
      <c r="AD91" s="100">
        <f t="shared" si="21"/>
        <v>8.8959302325581397</v>
      </c>
      <c r="AE91" s="100">
        <f t="shared" si="17"/>
        <v>22.778167994795901</v>
      </c>
      <c r="AT91" s="51">
        <v>0</v>
      </c>
      <c r="AU91" s="93" t="s">
        <v>290</v>
      </c>
      <c r="AV91" s="93" t="str">
        <f t="shared" si="14"/>
        <v>0 - Compostos orgânicos</v>
      </c>
      <c r="AW91" s="51">
        <v>6</v>
      </c>
    </row>
    <row r="92" spans="13:49" ht="20.25" customHeight="1" x14ac:dyDescent="0.25">
      <c r="M92" s="364"/>
      <c r="N92" s="365"/>
      <c r="O92" s="448"/>
      <c r="P92" s="448"/>
      <c r="Q92" s="92"/>
      <c r="R92" s="53"/>
      <c r="U92" s="466"/>
      <c r="V92" s="99">
        <f t="shared" si="18"/>
        <v>0</v>
      </c>
      <c r="W92" s="99">
        <f t="shared" si="18"/>
        <v>0</v>
      </c>
      <c r="X92" s="99">
        <f t="shared" si="19"/>
        <v>0</v>
      </c>
      <c r="Y92" s="99">
        <f t="shared" si="16"/>
        <v>0</v>
      </c>
      <c r="Z92" s="99">
        <f t="shared" si="16"/>
        <v>0</v>
      </c>
      <c r="AA92" s="99">
        <f t="shared" si="16"/>
        <v>0</v>
      </c>
      <c r="AB92" s="99">
        <f t="shared" si="16"/>
        <v>0</v>
      </c>
      <c r="AC92" s="100">
        <f t="shared" si="20"/>
        <v>0</v>
      </c>
      <c r="AD92" s="100">
        <f t="shared" si="21"/>
        <v>0</v>
      </c>
      <c r="AE92" s="100">
        <f t="shared" si="17"/>
        <v>0</v>
      </c>
      <c r="AT92" s="51">
        <v>1</v>
      </c>
      <c r="AU92" s="93" t="s">
        <v>290</v>
      </c>
      <c r="AV92" s="93" t="str">
        <f t="shared" si="14"/>
        <v>1 - Compostos orgânicos</v>
      </c>
      <c r="AW92" s="51">
        <v>2</v>
      </c>
    </row>
    <row r="93" spans="13:49" ht="20.25" customHeight="1" x14ac:dyDescent="0.25">
      <c r="M93" s="101"/>
      <c r="N93" s="25"/>
      <c r="O93" s="25"/>
      <c r="P93" s="25"/>
      <c r="Q93" s="25"/>
      <c r="R93" s="53"/>
      <c r="U93" s="466"/>
      <c r="V93" s="99">
        <f t="shared" si="18"/>
        <v>0</v>
      </c>
      <c r="W93" s="99">
        <f t="shared" si="18"/>
        <v>0</v>
      </c>
      <c r="X93" s="99">
        <f t="shared" si="19"/>
        <v>0</v>
      </c>
      <c r="Y93" s="99">
        <f t="shared" si="16"/>
        <v>0</v>
      </c>
      <c r="Z93" s="99">
        <f t="shared" si="16"/>
        <v>0</v>
      </c>
      <c r="AA93" s="99">
        <f t="shared" si="16"/>
        <v>0</v>
      </c>
      <c r="AB93" s="99">
        <f t="shared" si="16"/>
        <v>0</v>
      </c>
      <c r="AC93" s="100">
        <f t="shared" si="20"/>
        <v>0</v>
      </c>
      <c r="AD93" s="100">
        <f t="shared" si="21"/>
        <v>0</v>
      </c>
      <c r="AE93" s="100">
        <f t="shared" si="17"/>
        <v>0</v>
      </c>
      <c r="AT93" s="51">
        <v>2</v>
      </c>
      <c r="AU93" s="93" t="s">
        <v>290</v>
      </c>
      <c r="AV93" s="93" t="str">
        <f t="shared" si="14"/>
        <v>2 - Compostos orgânicos</v>
      </c>
      <c r="AW93" s="51">
        <v>4</v>
      </c>
    </row>
    <row r="94" spans="13:49" ht="20.25" customHeight="1" x14ac:dyDescent="0.25">
      <c r="M94" s="101"/>
      <c r="N94" s="25"/>
      <c r="O94" s="365" t="s">
        <v>264</v>
      </c>
      <c r="P94" s="365"/>
      <c r="Q94" s="365"/>
      <c r="R94" s="53"/>
      <c r="U94" s="466"/>
      <c r="V94" s="99">
        <f t="shared" si="18"/>
        <v>0</v>
      </c>
      <c r="W94" s="99">
        <f t="shared" si="18"/>
        <v>0</v>
      </c>
      <c r="X94" s="99">
        <f t="shared" si="19"/>
        <v>0</v>
      </c>
      <c r="Y94" s="99">
        <f t="shared" si="16"/>
        <v>0</v>
      </c>
      <c r="Z94" s="99">
        <f t="shared" si="16"/>
        <v>0</v>
      </c>
      <c r="AA94" s="99">
        <f t="shared" si="16"/>
        <v>0</v>
      </c>
      <c r="AB94" s="99">
        <f t="shared" si="16"/>
        <v>0</v>
      </c>
      <c r="AC94" s="100">
        <f t="shared" si="20"/>
        <v>0</v>
      </c>
      <c r="AD94" s="100">
        <f t="shared" si="21"/>
        <v>0</v>
      </c>
      <c r="AE94" s="100">
        <f t="shared" si="17"/>
        <v>0</v>
      </c>
      <c r="AT94" s="51">
        <v>3</v>
      </c>
      <c r="AU94" s="93" t="s">
        <v>290</v>
      </c>
      <c r="AV94" s="93" t="str">
        <f t="shared" si="14"/>
        <v>3 - Compostos orgânicos</v>
      </c>
      <c r="AW94" s="51">
        <v>6</v>
      </c>
    </row>
    <row r="95" spans="13:49" ht="20.25" customHeight="1" thickBot="1" x14ac:dyDescent="0.3">
      <c r="M95" s="69"/>
      <c r="N95" s="70"/>
      <c r="O95" s="70"/>
      <c r="P95" s="70"/>
      <c r="Q95" s="70"/>
      <c r="R95" s="71"/>
      <c r="U95" s="466"/>
      <c r="V95" s="99">
        <f t="shared" si="18"/>
        <v>0</v>
      </c>
      <c r="W95" s="99">
        <f t="shared" si="18"/>
        <v>0</v>
      </c>
      <c r="X95" s="99">
        <f t="shared" si="19"/>
        <v>0</v>
      </c>
      <c r="Y95" s="99">
        <f t="shared" si="16"/>
        <v>0</v>
      </c>
      <c r="Z95" s="99">
        <f t="shared" si="16"/>
        <v>0</v>
      </c>
      <c r="AA95" s="99">
        <f t="shared" si="16"/>
        <v>0</v>
      </c>
      <c r="AB95" s="99">
        <f t="shared" si="16"/>
        <v>0</v>
      </c>
      <c r="AC95" s="100">
        <f t="shared" si="20"/>
        <v>0</v>
      </c>
      <c r="AD95" s="100">
        <f t="shared" si="21"/>
        <v>0</v>
      </c>
      <c r="AE95" s="100">
        <f t="shared" si="17"/>
        <v>0</v>
      </c>
      <c r="AT95" s="51">
        <v>4</v>
      </c>
      <c r="AU95" s="93" t="s">
        <v>290</v>
      </c>
      <c r="AV95" s="93" t="str">
        <f t="shared" si="14"/>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$V$26</f>
        <v>9</v>
      </c>
      <c r="P99" s="103">
        <f>$V$27</f>
        <v>12</v>
      </c>
      <c r="Q99" s="103">
        <f>$V$28</f>
        <v>12</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1.2</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29">
    <mergeCell ref="U170:U179"/>
    <mergeCell ref="W8:W10"/>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O81:Q81"/>
    <mergeCell ref="O82:P82"/>
    <mergeCell ref="O83:P83"/>
    <mergeCell ref="X98:AO98"/>
    <mergeCell ref="M99:N99"/>
    <mergeCell ref="W85:W86"/>
    <mergeCell ref="X85:AE85"/>
    <mergeCell ref="O86:Q86"/>
    <mergeCell ref="U87:U95"/>
    <mergeCell ref="O88:Q88"/>
    <mergeCell ref="O89:Q89"/>
    <mergeCell ref="O90:P90"/>
    <mergeCell ref="O91:P91"/>
    <mergeCell ref="O92:P92"/>
    <mergeCell ref="O94:Q94"/>
    <mergeCell ref="O84:P84"/>
    <mergeCell ref="U85:U86"/>
    <mergeCell ref="V85:V86"/>
    <mergeCell ref="X71:Z71"/>
    <mergeCell ref="M72:N92"/>
    <mergeCell ref="O72:Q72"/>
    <mergeCell ref="O73:Q73"/>
    <mergeCell ref="U73:U82"/>
    <mergeCell ref="O74:P74"/>
    <mergeCell ref="O75:P75"/>
    <mergeCell ref="O76:P76"/>
    <mergeCell ref="O78:Q78"/>
    <mergeCell ref="O80:Q80"/>
    <mergeCell ref="F64:I66"/>
    <mergeCell ref="O66:Q67"/>
    <mergeCell ref="B67:E67"/>
    <mergeCell ref="F67:I67"/>
    <mergeCell ref="O68:Q68"/>
    <mergeCell ref="U71:U72"/>
    <mergeCell ref="V71:V72"/>
    <mergeCell ref="W71:W72"/>
    <mergeCell ref="AQ57:AR57"/>
    <mergeCell ref="B58:C58"/>
    <mergeCell ref="E58:I58"/>
    <mergeCell ref="AQ58:AR58"/>
    <mergeCell ref="B59:C59"/>
    <mergeCell ref="E59:I59"/>
    <mergeCell ref="AQ59:AR59"/>
    <mergeCell ref="AP54:AP55"/>
    <mergeCell ref="AQ54:AQ55"/>
    <mergeCell ref="AS54:AS55"/>
    <mergeCell ref="B55:C55"/>
    <mergeCell ref="E55:I55"/>
    <mergeCell ref="O55:Q55"/>
    <mergeCell ref="B50:I53"/>
    <mergeCell ref="O50:P50"/>
    <mergeCell ref="AT50:AW50"/>
    <mergeCell ref="B54:I54"/>
    <mergeCell ref="M54:N68"/>
    <mergeCell ref="O54:Q54"/>
    <mergeCell ref="U54:U55"/>
    <mergeCell ref="V54:V55"/>
    <mergeCell ref="W54:W55"/>
    <mergeCell ref="X54:AA54"/>
    <mergeCell ref="B56:C56"/>
    <mergeCell ref="E56:I56"/>
    <mergeCell ref="O56:Q64"/>
    <mergeCell ref="U56:U68"/>
    <mergeCell ref="B57:C57"/>
    <mergeCell ref="E57:I57"/>
    <mergeCell ref="B60:I63"/>
    <mergeCell ref="B64:E66"/>
    <mergeCell ref="B45:C45"/>
    <mergeCell ref="E45:I45"/>
    <mergeCell ref="O45:Q46"/>
    <mergeCell ref="U45:V45"/>
    <mergeCell ref="X45:Z45"/>
    <mergeCell ref="B46:C46"/>
    <mergeCell ref="E46:I46"/>
    <mergeCell ref="M46:N50"/>
    <mergeCell ref="X46:Y46"/>
    <mergeCell ref="B47:C47"/>
    <mergeCell ref="E47:I47"/>
    <mergeCell ref="O47:P47"/>
    <mergeCell ref="X47:Y47"/>
    <mergeCell ref="B48:C48"/>
    <mergeCell ref="E48:I48"/>
    <mergeCell ref="O48:Q49"/>
    <mergeCell ref="X48:Y48"/>
    <mergeCell ref="B49:C49"/>
    <mergeCell ref="E49:I49"/>
    <mergeCell ref="X49:Y49"/>
    <mergeCell ref="B43:C43"/>
    <mergeCell ref="E43:I43"/>
    <mergeCell ref="AP43:AQ43"/>
    <mergeCell ref="B44:C44"/>
    <mergeCell ref="E44:I44"/>
    <mergeCell ref="M44:R44"/>
    <mergeCell ref="AP44:AQ44"/>
    <mergeCell ref="E41:I41"/>
    <mergeCell ref="O41:Q41"/>
    <mergeCell ref="AP41:AQ41"/>
    <mergeCell ref="B42:C42"/>
    <mergeCell ref="E42:I42"/>
    <mergeCell ref="O42:Q42"/>
    <mergeCell ref="AP42:AQ42"/>
    <mergeCell ref="B37:I38"/>
    <mergeCell ref="M38:N42"/>
    <mergeCell ref="O38:Q38"/>
    <mergeCell ref="B39:I39"/>
    <mergeCell ref="P39:Q39"/>
    <mergeCell ref="AP39:AQ39"/>
    <mergeCell ref="B40:C40"/>
    <mergeCell ref="E40:I40"/>
    <mergeCell ref="AP40:AQ40"/>
    <mergeCell ref="B41:C41"/>
    <mergeCell ref="E36:I36"/>
    <mergeCell ref="M36:R36"/>
    <mergeCell ref="AQ36:AR36"/>
    <mergeCell ref="O33:Q33"/>
    <mergeCell ref="AQ33:AR33"/>
    <mergeCell ref="B34:I34"/>
    <mergeCell ref="O34:Q34"/>
    <mergeCell ref="U34:V34"/>
    <mergeCell ref="AQ34:AR34"/>
    <mergeCell ref="B26:I26"/>
    <mergeCell ref="B27:C28"/>
    <mergeCell ref="E27:I27"/>
    <mergeCell ref="AP27:AP36"/>
    <mergeCell ref="AQ27:AR27"/>
    <mergeCell ref="E28:I28"/>
    <mergeCell ref="AQ28:AR28"/>
    <mergeCell ref="B29:C30"/>
    <mergeCell ref="E29:I29"/>
    <mergeCell ref="M29:N34"/>
    <mergeCell ref="O29:Q29"/>
    <mergeCell ref="AQ29:AR29"/>
    <mergeCell ref="E30:I30"/>
    <mergeCell ref="AQ30:AR30"/>
    <mergeCell ref="B31:I33"/>
    <mergeCell ref="O31:Q31"/>
    <mergeCell ref="U31:V31"/>
    <mergeCell ref="AQ31:AR31"/>
    <mergeCell ref="U32:V32"/>
    <mergeCell ref="AQ32:AR32"/>
    <mergeCell ref="B35:C36"/>
    <mergeCell ref="E35:I35"/>
    <mergeCell ref="U35:V35"/>
    <mergeCell ref="AQ35:AR35"/>
    <mergeCell ref="B20:E20"/>
    <mergeCell ref="AQ20:AR20"/>
    <mergeCell ref="B16:I16"/>
    <mergeCell ref="AP16:AP17"/>
    <mergeCell ref="AQ16:AR17"/>
    <mergeCell ref="AV16:AV17"/>
    <mergeCell ref="W16:W17"/>
    <mergeCell ref="B18:D18"/>
    <mergeCell ref="F18:H18"/>
    <mergeCell ref="AF18:AF20"/>
    <mergeCell ref="AJ18:AJ20"/>
    <mergeCell ref="AK18:AK20"/>
    <mergeCell ref="AL18:AL20"/>
    <mergeCell ref="AM18:AM20"/>
    <mergeCell ref="AQ18:AR18"/>
    <mergeCell ref="AQ19:AR19"/>
    <mergeCell ref="C12:I12"/>
    <mergeCell ref="AF12:AF14"/>
    <mergeCell ref="AJ12:AJ14"/>
    <mergeCell ref="AK12:AK14"/>
    <mergeCell ref="AL12:AL14"/>
    <mergeCell ref="AM12:AM14"/>
    <mergeCell ref="AQ12:AR12"/>
    <mergeCell ref="C13:I13"/>
    <mergeCell ref="U13:W14"/>
    <mergeCell ref="AQ13:AR13"/>
    <mergeCell ref="C14:G14"/>
    <mergeCell ref="AQ14:AR14"/>
    <mergeCell ref="B9:I9"/>
    <mergeCell ref="AF9:AF11"/>
    <mergeCell ref="AJ9:AJ11"/>
    <mergeCell ref="AK9:AK11"/>
    <mergeCell ref="AL9:AL11"/>
    <mergeCell ref="AM9:AM11"/>
    <mergeCell ref="AF7:AM7"/>
    <mergeCell ref="AQ7:AR7"/>
    <mergeCell ref="AG8:AH8"/>
    <mergeCell ref="AI8:AJ8"/>
    <mergeCell ref="AQ8:AR8"/>
    <mergeCell ref="AP10:AP11"/>
    <mergeCell ref="AQ10:AR11"/>
    <mergeCell ref="C11:I11"/>
    <mergeCell ref="M2:R2"/>
    <mergeCell ref="M4:N4"/>
    <mergeCell ref="O4:P4"/>
    <mergeCell ref="AP4:AP5"/>
    <mergeCell ref="AQ4:AR5"/>
    <mergeCell ref="AV4:AV5"/>
    <mergeCell ref="M5:N25"/>
    <mergeCell ref="U6:V7"/>
    <mergeCell ref="W6:W7"/>
    <mergeCell ref="AQ6:AR6"/>
    <mergeCell ref="AV10:AV11"/>
    <mergeCell ref="AF15:AF17"/>
    <mergeCell ref="AJ15:AJ17"/>
    <mergeCell ref="AK15:AK17"/>
    <mergeCell ref="AL15:AL17"/>
    <mergeCell ref="AM15:AM17"/>
    <mergeCell ref="U25:V25"/>
    <mergeCell ref="X25:Y25"/>
    <mergeCell ref="AE25:AH25"/>
    <mergeCell ref="AJ25:AM25"/>
    <mergeCell ref="AP25:AP26"/>
    <mergeCell ref="AQ25:AR26"/>
  </mergeCells>
  <dataValidations count="5">
    <dataValidation type="list" allowBlank="1" showInputMessage="1" showErrorMessage="1" sqref="O105:Q109">
      <formula1>$V$170:$V$179</formula1>
    </dataValidation>
    <dataValidation type="list" allowBlank="1" showInputMessage="1" showErrorMessage="1" sqref="O68 O174 N159 O176">
      <formula1>$Y$5:$Y$6</formula1>
    </dataValidation>
    <dataValidation type="list" allowBlank="1" showInputMessage="1" showErrorMessage="1" sqref="Q82:Q84 Q90:Q92 Q74:Q76 Q47 Q50">
      <formula1>$Y$10:$Y$21</formula1>
    </dataValidation>
    <dataValidation type="list" allowBlank="1" showInputMessage="1" showErrorMessage="1" sqref="O42:Q42">
      <formula1>$AA$8:$AA$17</formula1>
    </dataValidation>
    <dataValidation type="list" allowBlank="1" showInputMessage="1" showErrorMessage="1" sqref="P39:Q39">
      <formula1>$X$27:$X$31</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corretivos'!$C$3:$C$62</xm:f>
          </x14:formula1>
          <xm:sqref>O74:P76 O82:P84 O90:P92</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topLeftCell="B1" zoomScale="55" zoomScaleNormal="55" workbookViewId="0">
      <selection activeCell="M4" sqref="M4:N4"/>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22" style="11" customWidth="1"/>
    <col min="17" max="17" width="57.5703125" style="11" customWidth="1"/>
    <col min="18" max="18" width="8.7109375" style="11" customWidth="1"/>
    <col min="19" max="19" width="11.42578125" style="11" bestFit="1" customWidth="1"/>
    <col min="20" max="20" width="30.140625" style="11" hidden="1" customWidth="1" outlineLevel="1"/>
    <col min="21" max="21" width="43.5703125" style="11" hidden="1" customWidth="1" outlineLevel="1"/>
    <col min="22" max="22" width="65.42578125" style="11" hidden="1" customWidth="1" outlineLevel="1"/>
    <col min="23" max="23" width="19.85546875" style="11" hidden="1" customWidth="1" outlineLevel="1"/>
    <col min="24" max="24" width="12" style="11" hidden="1" customWidth="1" outlineLevel="1"/>
    <col min="25" max="25" width="21.85546875" style="11" hidden="1" customWidth="1" outlineLevel="1"/>
    <col min="26" max="26" width="14.140625" style="11" hidden="1" customWidth="1" outlineLevel="1"/>
    <col min="27" max="27" width="31.5703125" style="11" hidden="1" customWidth="1" outlineLevel="1"/>
    <col min="28" max="28" width="21.42578125" style="11" hidden="1" customWidth="1" outlineLevel="1"/>
    <col min="29" max="29" width="27" style="11" hidden="1" customWidth="1" outlineLevel="1"/>
    <col min="30" max="30" width="24.85546875" style="11" hidden="1" customWidth="1" outlineLevel="1"/>
    <col min="31" max="31" width="26.28515625" style="11" hidden="1" customWidth="1" outlineLevel="1"/>
    <col min="32" max="32" width="15.5703125" style="11" hidden="1" customWidth="1" outlineLevel="1"/>
    <col min="33" max="33" width="28.42578125" style="11" hidden="1" customWidth="1" outlineLevel="1"/>
    <col min="34" max="34" width="28.5703125" style="11" hidden="1" customWidth="1" outlineLevel="1"/>
    <col min="35" max="35" width="23" style="11" hidden="1" customWidth="1" outlineLevel="1"/>
    <col min="36" max="36" width="14" style="11" hidden="1" customWidth="1" outlineLevel="1"/>
    <col min="37" max="37" width="19.85546875" style="11" hidden="1" customWidth="1" outlineLevel="1"/>
    <col min="38" max="38" width="25.28515625" style="11" hidden="1" customWidth="1" outlineLevel="1"/>
    <col min="39" max="39" width="34.85546875" style="11" hidden="1" customWidth="1" outlineLevel="1"/>
    <col min="40" max="40" width="23.7109375" style="11" hidden="1" customWidth="1" outlineLevel="1"/>
    <col min="41" max="41" width="23.42578125" style="11" hidden="1" customWidth="1" outlineLevel="1"/>
    <col min="42" max="42" width="9.42578125" style="11" hidden="1" customWidth="1" outlineLevel="1"/>
    <col min="43" max="43" width="16.7109375" style="11" hidden="1" customWidth="1" outlineLevel="1"/>
    <col min="44" max="44" width="6.7109375" style="11" hidden="1" customWidth="1" outlineLevel="1"/>
    <col min="45" max="45" width="8.28515625" style="11" hidden="1" customWidth="1" outlineLevel="1"/>
    <col min="46" max="46" width="8.42578125" style="11" hidden="1" customWidth="1" outlineLevel="1"/>
    <col min="47" max="47" width="31.5703125" style="11" hidden="1" customWidth="1" outlineLevel="1"/>
    <col min="48" max="48" width="35.5703125" style="11" hidden="1" customWidth="1" outlineLevel="1"/>
    <col min="49" max="52" width="6.7109375"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94"/>
      <c r="V3" s="94"/>
      <c r="W3" s="94"/>
      <c r="X3" s="94"/>
      <c r="Y3" s="25"/>
      <c r="Z3" s="25"/>
      <c r="AA3" s="25"/>
      <c r="AB3" s="25"/>
      <c r="AC3" s="25"/>
      <c r="AD3" s="25"/>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94"/>
      <c r="V4" s="94"/>
      <c r="W4" s="94"/>
      <c r="X4" s="94"/>
      <c r="Y4" s="51" t="s">
        <v>63</v>
      </c>
      <c r="AB4" s="25"/>
      <c r="AC4" s="25"/>
      <c r="AD4" s="25"/>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94"/>
      <c r="V5" s="94"/>
      <c r="W5" s="94"/>
      <c r="X5" s="94"/>
      <c r="Y5" s="51" t="s">
        <v>189</v>
      </c>
      <c r="Z5" s="25"/>
      <c r="AA5" s="25"/>
      <c r="AB5" s="25"/>
      <c r="AC5" s="25"/>
      <c r="AD5" s="25"/>
      <c r="AO5" s="47"/>
      <c r="AP5" s="447"/>
      <c r="AQ5" s="447"/>
      <c r="AR5" s="447"/>
      <c r="AS5" s="55">
        <f>$V$26</f>
        <v>168</v>
      </c>
      <c r="AT5" s="55">
        <f>$V$27</f>
        <v>48</v>
      </c>
      <c r="AU5" s="55">
        <f>$V$28</f>
        <v>192</v>
      </c>
      <c r="AV5" s="509"/>
      <c r="AW5" s="47"/>
      <c r="AX5" s="47"/>
      <c r="AY5" s="47"/>
      <c r="AZ5" s="47"/>
      <c r="BA5" s="47"/>
      <c r="BB5" s="47"/>
    </row>
    <row r="6" spans="1:54" ht="20.25" customHeight="1" x14ac:dyDescent="0.25">
      <c r="M6" s="364"/>
      <c r="N6" s="453"/>
      <c r="O6" s="51" t="s">
        <v>3</v>
      </c>
      <c r="P6" s="56">
        <v>2</v>
      </c>
      <c r="Q6" s="51" t="s">
        <v>55</v>
      </c>
      <c r="R6" s="53"/>
      <c r="U6" s="591" t="s">
        <v>56</v>
      </c>
      <c r="V6" s="592"/>
      <c r="W6" s="510" t="s">
        <v>58</v>
      </c>
      <c r="X6" s="25"/>
      <c r="Y6" s="51" t="s">
        <v>190</v>
      </c>
      <c r="Z6" s="25"/>
      <c r="AA6" s="25"/>
      <c r="AB6" s="25"/>
      <c r="AC6" s="25"/>
      <c r="AD6" s="25"/>
      <c r="AO6" s="47"/>
      <c r="AP6" s="54">
        <v>1</v>
      </c>
      <c r="AQ6" s="517" t="str">
        <f>O74</f>
        <v>Termofosfato YOORIN</v>
      </c>
      <c r="AR6" s="518"/>
      <c r="AS6" s="55">
        <f>IFERROR((VLOOKUP(AQ6,$V$100:$AB$179,3,0)*0.01)*AV6,0)</f>
        <v>0</v>
      </c>
      <c r="AT6" s="55">
        <f>IFERROR((VLOOKUP(AQ6,$V$100:$AB$179,5,0)*0.01)*AV6,0)</f>
        <v>24</v>
      </c>
      <c r="AU6" s="55">
        <f>IFERROR((VLOOKUP(AQ6,$V$100:$AB$179,7,0)*0.01)*AV6,0)</f>
        <v>0</v>
      </c>
      <c r="AV6" s="55">
        <f>IFERROR($AT$5*Q74/(VLOOKUP(AQ6,$V$100:$AB$179,5,0)/100),0)</f>
        <v>137.14285714285714</v>
      </c>
      <c r="AW6" s="47"/>
      <c r="AX6" s="47"/>
      <c r="AY6" s="47"/>
      <c r="AZ6" s="47"/>
      <c r="BA6" s="47"/>
      <c r="BB6" s="47"/>
    </row>
    <row r="7" spans="1:54" ht="20.25" customHeight="1" x14ac:dyDescent="0.25">
      <c r="M7" s="364"/>
      <c r="N7" s="453"/>
      <c r="O7" s="51" t="s">
        <v>4</v>
      </c>
      <c r="P7" s="32">
        <v>1</v>
      </c>
      <c r="Q7" s="51" t="s">
        <v>55</v>
      </c>
      <c r="R7" s="53"/>
      <c r="U7" s="593"/>
      <c r="V7" s="594"/>
      <c r="W7" s="370"/>
      <c r="X7" s="25"/>
      <c r="Y7" s="79">
        <f>10000/((($O$32/2)+($P$32/2))*$Q$32)</f>
        <v>1250</v>
      </c>
      <c r="Z7" s="25"/>
      <c r="AA7" s="76" t="s">
        <v>63</v>
      </c>
      <c r="AB7" s="25"/>
      <c r="AC7" s="25"/>
      <c r="AD7" s="25"/>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24</v>
      </c>
      <c r="AU7" s="55">
        <f>IFERROR((VLOOKUP(AQ7,$V$100:$AB$179,7,0)*0.01)*AV7,0)</f>
        <v>0</v>
      </c>
      <c r="AV7" s="55">
        <f>IFERROR($AT$5*Q75/(VLOOKUP(AQ7,$V$100:$AB$179,5,0)/100),0)</f>
        <v>133.33333333333334</v>
      </c>
      <c r="AW7" s="47"/>
      <c r="AX7" s="47"/>
      <c r="AY7" s="47"/>
      <c r="AZ7" s="47"/>
      <c r="BA7" s="47"/>
      <c r="BB7" s="47"/>
    </row>
    <row r="8" spans="1:54" ht="20.25" customHeight="1" thickBot="1" x14ac:dyDescent="0.3">
      <c r="M8" s="364"/>
      <c r="N8" s="453"/>
      <c r="O8" s="51" t="s">
        <v>5</v>
      </c>
      <c r="P8" s="56">
        <v>0.14000000000000001</v>
      </c>
      <c r="Q8" s="57" t="s">
        <v>55</v>
      </c>
      <c r="R8" s="53"/>
      <c r="U8" s="125" t="s">
        <v>559</v>
      </c>
      <c r="V8" s="51" t="str">
        <f>IF($P$13&lt;10,"baixo","erro")</f>
        <v>baixo</v>
      </c>
      <c r="W8" s="595" t="str">
        <f>IF(V8="baixo","baixo",IF(V9="adequado","adequado",IF(V10="alto","alto",0)))</f>
        <v>baixo</v>
      </c>
      <c r="X8" s="25"/>
      <c r="Y8" s="25"/>
      <c r="Z8" s="25"/>
      <c r="AA8" s="51" t="s">
        <v>286</v>
      </c>
      <c r="AB8" s="25"/>
      <c r="AD8" s="25"/>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125" t="s">
        <v>558</v>
      </c>
      <c r="V9" s="51" t="str">
        <f>IF(AND($P$13&gt;=10,$P$13&lt;=30),"adequado","erro")</f>
        <v>erro</v>
      </c>
      <c r="W9" s="597"/>
      <c r="X9" s="25"/>
      <c r="Y9" s="76" t="s">
        <v>63</v>
      </c>
      <c r="Z9" s="25"/>
      <c r="AA9" s="51" t="s">
        <v>293</v>
      </c>
      <c r="AB9" s="25"/>
      <c r="AD9" s="25"/>
      <c r="AF9" s="511" t="s">
        <v>246</v>
      </c>
      <c r="AG9" s="58" t="s">
        <v>25</v>
      </c>
      <c r="AH9" s="58" t="s">
        <v>242</v>
      </c>
      <c r="AI9" s="51" t="str">
        <f>IF($P$14&lt;=0.2,"baixo","erro")</f>
        <v>baixo</v>
      </c>
      <c r="AJ9" s="457" t="str">
        <f>IF($AI$9="baixo","baixo",IF($AI$10="medio","medio",IF($AI$11="adequado","adequado",0)))</f>
        <v>baixo</v>
      </c>
      <c r="AK9" s="457">
        <f>IF(AJ9="Baixo",AL9,0)</f>
        <v>1.2</v>
      </c>
      <c r="AL9" s="457">
        <f>(AM9*1000)/$E$18</f>
        <v>1.2</v>
      </c>
      <c r="AM9" s="456">
        <v>2</v>
      </c>
      <c r="AO9" s="47"/>
      <c r="AP9" s="47"/>
      <c r="AQ9" s="47"/>
      <c r="AR9" s="47"/>
      <c r="AS9" s="59">
        <f>AS5-(SUM(AS6:AS8))</f>
        <v>168</v>
      </c>
      <c r="AT9" s="59">
        <f>AT5-(SUM(AT6:AT8))</f>
        <v>0</v>
      </c>
      <c r="AU9" s="59">
        <f>AU5-(SUM(AU6:AU8))</f>
        <v>192</v>
      </c>
      <c r="AV9" s="59"/>
      <c r="AW9" s="47"/>
      <c r="AX9" s="47"/>
      <c r="AY9" s="47"/>
      <c r="AZ9" s="47"/>
      <c r="BA9" s="47"/>
      <c r="BB9" s="47"/>
    </row>
    <row r="10" spans="1:54" ht="20.25" customHeight="1" x14ac:dyDescent="0.25">
      <c r="M10" s="364"/>
      <c r="N10" s="453"/>
      <c r="O10" s="51" t="s">
        <v>7</v>
      </c>
      <c r="P10" s="56">
        <v>0.1</v>
      </c>
      <c r="Q10" s="51" t="s">
        <v>55</v>
      </c>
      <c r="R10" s="53"/>
      <c r="U10" s="125" t="s">
        <v>527</v>
      </c>
      <c r="V10" s="51" t="str">
        <f>IF(AND($P$13&gt;30),"alto","erro")</f>
        <v>erro</v>
      </c>
      <c r="W10" s="596"/>
      <c r="X10" s="25"/>
      <c r="Y10" s="76"/>
      <c r="Z10" s="25"/>
      <c r="AA10" s="51" t="s">
        <v>158</v>
      </c>
      <c r="AB10" s="25"/>
      <c r="AD10" s="25"/>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X11" s="25"/>
      <c r="Y11" s="76">
        <v>0</v>
      </c>
      <c r="Z11" s="25"/>
      <c r="AA11" s="51" t="s">
        <v>292</v>
      </c>
      <c r="AB11" s="25"/>
      <c r="AD11" s="25"/>
      <c r="AF11" s="511"/>
      <c r="AG11" s="58" t="s">
        <v>234</v>
      </c>
      <c r="AH11" s="58" t="s">
        <v>233</v>
      </c>
      <c r="AI11" s="51" t="str">
        <f>IF($P$14&gt;0.5,"adequado","erro")</f>
        <v>erro</v>
      </c>
      <c r="AJ11" s="457"/>
      <c r="AK11" s="457"/>
      <c r="AL11" s="457"/>
      <c r="AM11" s="456"/>
      <c r="AO11" s="47"/>
      <c r="AP11" s="447"/>
      <c r="AQ11" s="447"/>
      <c r="AR11" s="447"/>
      <c r="AS11" s="55">
        <f>AS9</f>
        <v>168</v>
      </c>
      <c r="AT11" s="55">
        <f t="shared" ref="AT11:AU11" si="0">AT9</f>
        <v>0</v>
      </c>
      <c r="AU11" s="55">
        <f t="shared" si="0"/>
        <v>192</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X12" s="25"/>
      <c r="Y12" s="76">
        <v>0.1</v>
      </c>
      <c r="Z12" s="25"/>
      <c r="AA12" s="51" t="s">
        <v>292</v>
      </c>
      <c r="AB12" s="25"/>
      <c r="AC12" s="25"/>
      <c r="AD12" s="25"/>
      <c r="AF12" s="511" t="s">
        <v>245</v>
      </c>
      <c r="AG12" s="58" t="s">
        <v>25</v>
      </c>
      <c r="AH12" s="58" t="s">
        <v>241</v>
      </c>
      <c r="AI12" s="51" t="str">
        <f>IF($P$16&lt;=0.4,"baixo","erro")</f>
        <v>erro</v>
      </c>
      <c r="AJ12" s="457" t="str">
        <f>IF($AI$12="baixo","baixo",IF($AI$13="medio","medio",IF($AI$14="adequado","adequado",0)))</f>
        <v>adequado</v>
      </c>
      <c r="AK12" s="457">
        <f>IF(AJ12="Baixo",AL12,0)</f>
        <v>0</v>
      </c>
      <c r="AL12" s="457">
        <f>(AM12*1000)/$E$18</f>
        <v>1.2</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96</v>
      </c>
      <c r="AV12" s="55">
        <f>IFERROR($AU$11*Q82/(VLOOKUP(AQ12,$V$100:$AB$179,7,0)/100),0)</f>
        <v>160</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9</v>
      </c>
      <c r="Q13" s="51" t="s">
        <v>12</v>
      </c>
      <c r="R13" s="53"/>
      <c r="U13" s="457" t="s">
        <v>500</v>
      </c>
      <c r="V13" s="457"/>
      <c r="W13" s="457"/>
      <c r="X13" s="25"/>
      <c r="Y13" s="76">
        <v>0.2</v>
      </c>
      <c r="Z13" s="25"/>
      <c r="AA13" s="51" t="s">
        <v>292</v>
      </c>
      <c r="AB13" s="25"/>
      <c r="AC13" s="25"/>
      <c r="AD13" s="25"/>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96</v>
      </c>
      <c r="AV13" s="55">
        <f>IFERROR($AU$11*Q83/(VLOOKUP(AQ13,$V$100:$AB$179,7,0)/100),0)</f>
        <v>1200</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U14" s="457"/>
      <c r="V14" s="457"/>
      <c r="W14" s="457"/>
      <c r="X14" s="25"/>
      <c r="Y14" s="76">
        <v>0.3</v>
      </c>
      <c r="Z14" s="25"/>
      <c r="AA14" s="51" t="s">
        <v>288</v>
      </c>
      <c r="AB14" s="25"/>
      <c r="AC14" s="25"/>
      <c r="AD14" s="25"/>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U15" s="51" t="s">
        <v>521</v>
      </c>
      <c r="V15" s="51" t="str">
        <f>IF($P$8&lt;=0.15,"baixo","erro")</f>
        <v>baixo</v>
      </c>
      <c r="W15" s="208" t="s">
        <v>58</v>
      </c>
      <c r="X15" s="25"/>
      <c r="Y15" s="76">
        <v>0.4</v>
      </c>
      <c r="Z15" s="25"/>
      <c r="AA15" s="51" t="s">
        <v>289</v>
      </c>
      <c r="AB15" s="25"/>
      <c r="AC15" s="25"/>
      <c r="AD15" s="25"/>
      <c r="AF15" s="511" t="s">
        <v>244</v>
      </c>
      <c r="AG15" s="58" t="s">
        <v>25</v>
      </c>
      <c r="AH15" s="58" t="s">
        <v>240</v>
      </c>
      <c r="AI15" s="51" t="str">
        <f>IF($P$18&lt;=1.9,"baixo","erro")</f>
        <v>erro</v>
      </c>
      <c r="AJ15" s="457" t="str">
        <f>IF($AI$15="baixo","baixo",IF($AI$16="medio","medio",IF($AI$17="adequado","adequado",0)))</f>
        <v>adequado</v>
      </c>
      <c r="AK15" s="457">
        <f>IF(AJ15="Baixo",AL15,0)</f>
        <v>0</v>
      </c>
      <c r="AL15" s="457">
        <f>(AM15*1000)/$E$18</f>
        <v>3.5999999999999996</v>
      </c>
      <c r="AM15" s="456">
        <v>6</v>
      </c>
      <c r="AO15" s="47"/>
      <c r="AP15" s="47"/>
      <c r="AQ15" s="47"/>
      <c r="AR15" s="47"/>
      <c r="AS15" s="59">
        <f>AS11-(SUM(AS12:AS14))</f>
        <v>168</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U16" s="51" t="s">
        <v>497</v>
      </c>
      <c r="V16" s="51" t="str">
        <f>IF(AND($P$8&gt;=0.16,$P$8&lt;=0.3),"adequado","erro")</f>
        <v>erro</v>
      </c>
      <c r="W16" s="595" t="str">
        <f>IF(V15="baixo","baixo",IF(V16="adequado","adequado",IF(V17="alto","alto",0)))</f>
        <v>baixo</v>
      </c>
      <c r="X16" s="25"/>
      <c r="Y16" s="76">
        <v>0.5</v>
      </c>
      <c r="AA16" s="51" t="s">
        <v>290</v>
      </c>
      <c r="AB16" s="25"/>
      <c r="AC16" s="25"/>
      <c r="AD16" s="25"/>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 t="s">
        <v>523</v>
      </c>
      <c r="V17" s="51" t="str">
        <f>IF(AND($P$8&gt;0.3),"alto","erro")</f>
        <v>erro</v>
      </c>
      <c r="W17" s="596"/>
      <c r="X17" s="94"/>
      <c r="Y17" s="76">
        <v>0.6</v>
      </c>
      <c r="AA17" s="51"/>
      <c r="AB17" s="25"/>
      <c r="AC17" s="25"/>
      <c r="AD17" s="25"/>
      <c r="AF17" s="511"/>
      <c r="AG17" s="58" t="s">
        <v>234</v>
      </c>
      <c r="AH17" s="58" t="s">
        <v>231</v>
      </c>
      <c r="AI17" s="51" t="str">
        <f>IF($P$18&gt;5,"adequado","erro")</f>
        <v>adequado</v>
      </c>
      <c r="AJ17" s="457"/>
      <c r="AK17" s="457"/>
      <c r="AL17" s="457"/>
      <c r="AM17" s="456"/>
      <c r="AO17" s="47"/>
      <c r="AP17" s="447"/>
      <c r="AQ17" s="447"/>
      <c r="AR17" s="447"/>
      <c r="AS17" s="55">
        <f>AS15</f>
        <v>168</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1666.6666666666667</v>
      </c>
      <c r="F18" s="457" t="s">
        <v>125</v>
      </c>
      <c r="G18" s="457"/>
      <c r="H18" s="457"/>
      <c r="I18" s="51">
        <f>O34</f>
        <v>1</v>
      </c>
      <c r="M18" s="364"/>
      <c r="N18" s="453"/>
      <c r="O18" s="51" t="s">
        <v>17</v>
      </c>
      <c r="P18" s="56">
        <v>43.1</v>
      </c>
      <c r="Q18" s="51" t="s">
        <v>12</v>
      </c>
      <c r="R18" s="53"/>
      <c r="X18" s="94"/>
      <c r="Y18" s="76">
        <v>0.7</v>
      </c>
      <c r="AB18" s="25"/>
      <c r="AC18" s="25"/>
      <c r="AD18" s="25"/>
      <c r="AF18" s="511" t="s">
        <v>243</v>
      </c>
      <c r="AG18" s="58" t="s">
        <v>25</v>
      </c>
      <c r="AH18" s="58" t="s">
        <v>239</v>
      </c>
      <c r="AI18" s="51" t="str">
        <f>IF($P$19&lt;=1,"baixo","erro")</f>
        <v>erro</v>
      </c>
      <c r="AJ18" s="457" t="str">
        <f>IF($AI$18="baixo","baixo",IF($AI$19="medio","medio",IF($AI$20="adequado","adequado",0)))</f>
        <v>adequado</v>
      </c>
      <c r="AK18" s="457">
        <f>IF(AJ18="Baixo",AL18,0)</f>
        <v>0</v>
      </c>
      <c r="AL18" s="457">
        <f>(AM18*1000)/$E$18</f>
        <v>3.5999999999999996</v>
      </c>
      <c r="AM18" s="456">
        <v>6</v>
      </c>
      <c r="AO18" s="47"/>
      <c r="AP18" s="54">
        <v>13</v>
      </c>
      <c r="AQ18" s="447" t="str">
        <f>O90</f>
        <v>Nitrato de Amônio</v>
      </c>
      <c r="AR18" s="447"/>
      <c r="AS18" s="55">
        <f>IFERROR((VLOOKUP(AQ18,$V$100:$AB$179,3,0)*0.01)*AV18,0)</f>
        <v>168</v>
      </c>
      <c r="AT18" s="55">
        <f>IFERROR((VLOOKUP(AQ18,$V$100:$AB$179,5,0)*0.01)*AV18,0)</f>
        <v>0</v>
      </c>
      <c r="AU18" s="55">
        <f>IFERROR((VLOOKUP(AQ18,$V$100:$AB$179,7,0)*0.01)*AV18,0)</f>
        <v>0</v>
      </c>
      <c r="AV18" s="55">
        <f>IFERROR($AS$17*Q90/(VLOOKUP(AQ18,$V$100:$AB$179,3,0)/100),0)</f>
        <v>579.31034482758628</v>
      </c>
      <c r="AW18" s="47"/>
      <c r="AX18" s="47"/>
      <c r="AY18" s="47"/>
      <c r="AZ18" s="47"/>
      <c r="BA18" s="47"/>
      <c r="BB18" s="47"/>
    </row>
    <row r="19" spans="2:54" ht="20.25" customHeight="1" x14ac:dyDescent="0.25">
      <c r="M19" s="364"/>
      <c r="N19" s="453"/>
      <c r="O19" s="51" t="s">
        <v>18</v>
      </c>
      <c r="P19" s="32">
        <v>20.100000000000001</v>
      </c>
      <c r="Q19" s="51" t="s">
        <v>12</v>
      </c>
      <c r="R19" s="53"/>
      <c r="S19" s="61"/>
      <c r="X19" s="94"/>
      <c r="Y19" s="76">
        <v>0.8</v>
      </c>
      <c r="AC19" s="25"/>
      <c r="AD19" s="25"/>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57.00636942675159</v>
      </c>
      <c r="H20" s="63" t="s">
        <v>52</v>
      </c>
      <c r="I20" s="60">
        <f>P21</f>
        <v>47.5</v>
      </c>
      <c r="M20" s="364"/>
      <c r="N20" s="453"/>
      <c r="O20" s="51" t="s">
        <v>19</v>
      </c>
      <c r="P20" s="56">
        <v>27.5</v>
      </c>
      <c r="Q20" s="57" t="s">
        <v>23</v>
      </c>
      <c r="R20" s="53"/>
      <c r="U20" s="25"/>
      <c r="V20" s="25"/>
      <c r="W20" s="25"/>
      <c r="X20" s="25"/>
      <c r="Y20" s="76">
        <v>0.9</v>
      </c>
      <c r="AC20" s="25"/>
      <c r="AD20" s="25"/>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X21" s="25"/>
      <c r="Y21" s="76">
        <v>1</v>
      </c>
      <c r="AB21" s="25"/>
      <c r="AC21" s="25"/>
      <c r="AD21" s="25"/>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2</v>
      </c>
      <c r="D22" s="63" t="s">
        <v>79</v>
      </c>
      <c r="E22" s="63">
        <f>P13</f>
        <v>9</v>
      </c>
      <c r="F22" s="63" t="s">
        <v>84</v>
      </c>
      <c r="G22" s="63">
        <f>P14</f>
        <v>0.04</v>
      </c>
      <c r="H22" s="63" t="s">
        <v>86</v>
      </c>
      <c r="I22" s="63">
        <f>P19</f>
        <v>20.100000000000001</v>
      </c>
      <c r="M22" s="364"/>
      <c r="N22" s="453"/>
      <c r="O22" s="51" t="s">
        <v>20</v>
      </c>
      <c r="P22" s="56">
        <v>25</v>
      </c>
      <c r="Q22" s="57" t="s">
        <v>23</v>
      </c>
      <c r="R22" s="53"/>
      <c r="X22" s="25"/>
      <c r="Y22" s="25"/>
      <c r="Z22" s="25"/>
      <c r="AA22" s="25"/>
      <c r="AB22" s="25"/>
      <c r="AC22" s="25"/>
      <c r="AD22" s="25"/>
      <c r="AO22" s="47"/>
      <c r="AP22" s="47"/>
      <c r="AQ22" s="47"/>
      <c r="AR22" s="47"/>
      <c r="AS22" s="47"/>
      <c r="AT22" s="47"/>
      <c r="AU22" s="47"/>
      <c r="AV22" s="47"/>
      <c r="AW22" s="47"/>
      <c r="AX22" s="47"/>
      <c r="AY22" s="47"/>
      <c r="AZ22" s="47"/>
      <c r="BA22" s="47"/>
      <c r="BB22" s="47"/>
    </row>
    <row r="23" spans="2:54" ht="20.25" customHeight="1" x14ac:dyDescent="0.25">
      <c r="B23" s="64" t="s">
        <v>82</v>
      </c>
      <c r="C23" s="65">
        <f>P7</f>
        <v>1</v>
      </c>
      <c r="D23" s="63" t="s">
        <v>129</v>
      </c>
      <c r="E23" s="63">
        <f>P11</f>
        <v>2.7</v>
      </c>
      <c r="F23" s="63" t="s">
        <v>87</v>
      </c>
      <c r="G23" s="63">
        <f>P16</f>
        <v>4</v>
      </c>
      <c r="H23" s="63" t="s">
        <v>83</v>
      </c>
      <c r="I23" s="63">
        <f>P15</f>
        <v>20</v>
      </c>
      <c r="J23" s="66"/>
      <c r="M23" s="364"/>
      <c r="N23" s="453"/>
      <c r="O23" s="51" t="s">
        <v>21</v>
      </c>
      <c r="P23" s="32">
        <v>47.6</v>
      </c>
      <c r="Q23" s="51" t="s">
        <v>10</v>
      </c>
      <c r="R23" s="53"/>
      <c r="U23" s="25"/>
      <c r="V23" s="25"/>
      <c r="W23" s="25"/>
      <c r="X23" s="25"/>
      <c r="Y23" s="25"/>
      <c r="Z23" s="25"/>
      <c r="AA23" s="25"/>
      <c r="AB23" s="25"/>
      <c r="AC23" s="25"/>
      <c r="AD23" s="25"/>
      <c r="AO23" s="47"/>
      <c r="AP23" s="47"/>
      <c r="AQ23" s="47"/>
      <c r="AR23" s="47"/>
      <c r="AS23" s="47"/>
      <c r="AT23" s="47"/>
      <c r="AU23" s="47"/>
      <c r="AV23" s="47"/>
      <c r="AW23" s="47"/>
      <c r="AX23" s="47"/>
      <c r="AY23" s="47"/>
      <c r="AZ23" s="47"/>
      <c r="BA23" s="47"/>
      <c r="BB23" s="47"/>
    </row>
    <row r="24" spans="2:54" ht="20.25" customHeight="1" x14ac:dyDescent="0.25">
      <c r="B24" s="64" t="s">
        <v>80</v>
      </c>
      <c r="C24" s="65">
        <f>P8</f>
        <v>0.14000000000000001</v>
      </c>
      <c r="D24" s="63" t="s">
        <v>130</v>
      </c>
      <c r="E24" s="63">
        <f>P10</f>
        <v>0.1</v>
      </c>
      <c r="F24" s="63" t="s">
        <v>89</v>
      </c>
      <c r="G24" s="63">
        <f>P17</f>
        <v>58.4</v>
      </c>
      <c r="H24" s="63" t="s">
        <v>131</v>
      </c>
      <c r="I24" s="63">
        <f>P25</f>
        <v>6.28</v>
      </c>
      <c r="J24" s="66"/>
      <c r="M24" s="364"/>
      <c r="N24" s="453"/>
      <c r="O24" s="51" t="s">
        <v>22</v>
      </c>
      <c r="P24" s="63">
        <f>100*(P6+P7+P8+P9)/P25</f>
        <v>57.00636942675159</v>
      </c>
      <c r="Q24" s="51" t="s">
        <v>23</v>
      </c>
      <c r="R24" s="53"/>
      <c r="AO24" s="47"/>
      <c r="AP24" s="47"/>
      <c r="AQ24" s="47"/>
      <c r="AR24" s="47"/>
      <c r="AS24" s="59">
        <f>AS26-(SUM(AS27:AS36))</f>
        <v>1.1996234482758621</v>
      </c>
      <c r="AT24" s="59">
        <f t="shared" ref="AT24:AV24" si="3">AT26-(SUM(AT27:AT36))</f>
        <v>-3.7655172413793102E-4</v>
      </c>
      <c r="AU24" s="59">
        <f t="shared" si="3"/>
        <v>-7.2413793103448293E-4</v>
      </c>
      <c r="AV24" s="59">
        <f t="shared" si="3"/>
        <v>-8.1103448275862081E-5</v>
      </c>
      <c r="AW24" s="47"/>
      <c r="AX24" s="47"/>
      <c r="AY24" s="47"/>
      <c r="AZ24" s="47"/>
      <c r="BA24" s="47"/>
      <c r="BB24" s="47"/>
    </row>
    <row r="25" spans="2:54" ht="20.25" customHeight="1" thickBot="1" x14ac:dyDescent="0.3">
      <c r="J25" s="66"/>
      <c r="M25" s="364"/>
      <c r="N25" s="453"/>
      <c r="O25" s="51" t="s">
        <v>24</v>
      </c>
      <c r="P25" s="67">
        <f>(P6+P7+P8+P9+P11)</f>
        <v>6.28</v>
      </c>
      <c r="Q25" s="51" t="s">
        <v>55</v>
      </c>
      <c r="R25" s="53"/>
      <c r="U25" s="458" t="s">
        <v>65</v>
      </c>
      <c r="V25" s="458"/>
      <c r="X25" s="457" t="s">
        <v>507</v>
      </c>
      <c r="Y25" s="457"/>
      <c r="AE25" s="457" t="s">
        <v>508</v>
      </c>
      <c r="AF25" s="457"/>
      <c r="AG25" s="457"/>
      <c r="AH25" s="457"/>
      <c r="AJ25" s="457" t="s">
        <v>509</v>
      </c>
      <c r="AK25" s="457"/>
      <c r="AL25" s="457"/>
      <c r="AM25" s="457"/>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78" t="s">
        <v>33</v>
      </c>
      <c r="V26" s="78">
        <f>VLOOKUP($P$39,$X$27:$Y$29,2,0)/$E$18</f>
        <v>168</v>
      </c>
      <c r="W26" s="25"/>
      <c r="X26" s="51" t="s">
        <v>32</v>
      </c>
      <c r="Y26" s="51" t="s">
        <v>512</v>
      </c>
      <c r="AE26" s="51" t="s">
        <v>32</v>
      </c>
      <c r="AF26" s="51" t="s">
        <v>75</v>
      </c>
      <c r="AG26" s="51" t="s">
        <v>71</v>
      </c>
      <c r="AH26" s="51" t="s">
        <v>513</v>
      </c>
      <c r="AJ26" s="51" t="s">
        <v>32</v>
      </c>
      <c r="AK26" s="51" t="s">
        <v>75</v>
      </c>
      <c r="AL26" s="51" t="s">
        <v>71</v>
      </c>
      <c r="AM26" s="51" t="s">
        <v>514</v>
      </c>
      <c r="AO26" s="47"/>
      <c r="AP26" s="461"/>
      <c r="AQ26" s="461"/>
      <c r="AR26" s="461"/>
      <c r="AS26" s="72">
        <f>AK9</f>
        <v>1.2</v>
      </c>
      <c r="AT26" s="72">
        <f>AK12</f>
        <v>0</v>
      </c>
      <c r="AU26" s="72">
        <f>AK15</f>
        <v>0</v>
      </c>
      <c r="AV26" s="72">
        <f>AK18</f>
        <v>0</v>
      </c>
      <c r="AW26" s="47"/>
      <c r="AX26" s="47"/>
      <c r="AY26" s="47"/>
      <c r="AZ26" s="47"/>
      <c r="BA26" s="47"/>
      <c r="BB26" s="47"/>
    </row>
    <row r="27" spans="2:54" ht="20.25" customHeight="1" thickBot="1" x14ac:dyDescent="0.3">
      <c r="B27" s="488" t="str">
        <f>IF($O$47&gt;0,$O$47,"-")</f>
        <v>BRICCAL Calcítico</v>
      </c>
      <c r="C27" s="488"/>
      <c r="D27" s="73">
        <f>IF(J27&gt;0,J27,"-")</f>
        <v>0.50847457627118664</v>
      </c>
      <c r="E27" s="365" t="str">
        <f>IF(J27&gt;0,"toneladas por hectare ou,","-")</f>
        <v>toneladas por hectare ou,</v>
      </c>
      <c r="F27" s="365"/>
      <c r="G27" s="365"/>
      <c r="H27" s="365"/>
      <c r="I27" s="365"/>
      <c r="J27" s="74">
        <f>V51</f>
        <v>0.50847457627118664</v>
      </c>
      <c r="U27" s="78" t="s">
        <v>66</v>
      </c>
      <c r="V27" s="78">
        <f>VLOOKUP(U32,AG27:AH35,2,0)/$E$18</f>
        <v>48</v>
      </c>
      <c r="W27" s="25"/>
      <c r="X27" s="75" t="s">
        <v>560</v>
      </c>
      <c r="Y27" s="75">
        <v>180000</v>
      </c>
      <c r="AE27" s="75" t="s">
        <v>560</v>
      </c>
      <c r="AF27" s="75" t="s">
        <v>68</v>
      </c>
      <c r="AG27" s="75" t="str">
        <f>CONCATENATE(AE27," - ",AF27)</f>
        <v>30-50 - baixo</v>
      </c>
      <c r="AH27" s="75">
        <v>60000</v>
      </c>
      <c r="AJ27" s="75" t="s">
        <v>560</v>
      </c>
      <c r="AK27" s="75" t="s">
        <v>68</v>
      </c>
      <c r="AL27" s="75" t="str">
        <f t="shared" ref="AL27:AL35" si="4">CONCATENATE(AJ27," - ",AK27)</f>
        <v>30-50 - baixo</v>
      </c>
      <c r="AM27" s="75">
        <v>220000</v>
      </c>
      <c r="AO27" s="47"/>
      <c r="AP27" s="447" t="s">
        <v>261</v>
      </c>
      <c r="AQ27" s="447" t="str">
        <f>B29</f>
        <v>Remax Mistel (61) 99414-1975</v>
      </c>
      <c r="AR27" s="447"/>
      <c r="AS27" s="55">
        <f t="shared" ref="AS27:AS36" si="5">IFERROR(VLOOKUP(AQ27,$V$100:$AL$179,11,0)*0.01*VLOOKUP(AQ27,$B$27:$J$47,9,0),0)</f>
        <v>0</v>
      </c>
      <c r="AT27" s="55">
        <f t="shared" ref="AT27:AT36" si="6">IFERROR(VLOOKUP(AQ27,$V$100:$AL$179,12,0)*0.01*VLOOKUP(AQ27,$B$27:$J$47,9,0),0)</f>
        <v>0</v>
      </c>
      <c r="AU27" s="55">
        <f t="shared" ref="AU27:AU36" si="7">IFERROR(VLOOKUP(AQ27,$V$100:$AL$179,13,0)*0.01*VLOOKUP(AQ27,$B$27:$J$47,9,0),0)</f>
        <v>0</v>
      </c>
      <c r="AV27" s="55">
        <f t="shared" ref="AV27:AV36" si="8">IFERROR(VLOOKUP(AQ27,$V$100:$AL$179,14,0)*0.01*VLOOKUP(AQ27,$B$27:$J$47,9,0),0)</f>
        <v>0</v>
      </c>
      <c r="AW27" s="47"/>
      <c r="AX27" s="47"/>
      <c r="AY27" s="47"/>
      <c r="AZ27" s="47"/>
      <c r="BA27" s="47"/>
      <c r="BB27" s="47"/>
    </row>
    <row r="28" spans="2:54" ht="20.25" customHeight="1" x14ac:dyDescent="0.25">
      <c r="B28" s="488"/>
      <c r="C28" s="488"/>
      <c r="D28" s="73">
        <f>IF(J28&gt;0,J28,"-")</f>
        <v>5.0847457627118661E-2</v>
      </c>
      <c r="E28" s="365" t="str">
        <f>IF(J28&gt;0,"quilos por metro quadrado","-")</f>
        <v>quilos por metro quadrado</v>
      </c>
      <c r="F28" s="365"/>
      <c r="G28" s="365"/>
      <c r="H28" s="365"/>
      <c r="I28" s="365"/>
      <c r="J28" s="74">
        <f>J27/10</f>
        <v>5.0847457627118661E-2</v>
      </c>
      <c r="M28" s="48"/>
      <c r="N28" s="49"/>
      <c r="O28" s="49"/>
      <c r="P28" s="49"/>
      <c r="Q28" s="49"/>
      <c r="R28" s="50"/>
      <c r="U28" s="78" t="s">
        <v>67</v>
      </c>
      <c r="V28" s="78">
        <f>VLOOKUP($U$35,AL27:AM35,2,0)/$E$18</f>
        <v>192</v>
      </c>
      <c r="W28" s="25"/>
      <c r="X28" s="75" t="s">
        <v>561</v>
      </c>
      <c r="Y28" s="75">
        <v>230000</v>
      </c>
      <c r="AE28" s="75" t="s">
        <v>560</v>
      </c>
      <c r="AF28" s="75" t="s">
        <v>70</v>
      </c>
      <c r="AG28" s="75" t="str">
        <f t="shared" ref="AG28:AG35" si="9">CONCATENATE(AE28," - ",AF28)</f>
        <v>30-50 - adequado</v>
      </c>
      <c r="AH28" s="75">
        <v>40000</v>
      </c>
      <c r="AJ28" s="75" t="s">
        <v>560</v>
      </c>
      <c r="AK28" s="75" t="s">
        <v>70</v>
      </c>
      <c r="AL28" s="75" t="str">
        <f t="shared" si="4"/>
        <v>30-50 - adequado</v>
      </c>
      <c r="AM28" s="75">
        <v>140000</v>
      </c>
      <c r="AO28" s="47"/>
      <c r="AP28" s="447"/>
      <c r="AQ28" s="447" t="str">
        <f t="shared" ref="AQ28:AQ36" si="10">B41</f>
        <v>Termofosfato YOORIN</v>
      </c>
      <c r="AR28" s="447"/>
      <c r="AS28" s="55">
        <f t="shared" si="5"/>
        <v>0</v>
      </c>
      <c r="AT28" s="55">
        <f t="shared" si="6"/>
        <v>0</v>
      </c>
      <c r="AU28" s="55">
        <f t="shared" si="7"/>
        <v>0</v>
      </c>
      <c r="AV28" s="55">
        <f t="shared" si="8"/>
        <v>0</v>
      </c>
      <c r="AW28" s="47"/>
      <c r="AX28" s="47"/>
      <c r="AY28" s="47"/>
      <c r="AZ28" s="47"/>
      <c r="BA28" s="47"/>
      <c r="BB28" s="47"/>
    </row>
    <row r="29" spans="2:54" ht="20.25" customHeight="1" x14ac:dyDescent="0.25">
      <c r="B29" s="488" t="str">
        <f>IF($O$50&gt;0,$O$50,"-")</f>
        <v>Remax Mistel (61) 99414-1975</v>
      </c>
      <c r="C29" s="488"/>
      <c r="D29" s="73">
        <f>IF(J29&gt;0,J29,"-")</f>
        <v>0.98220723286630063</v>
      </c>
      <c r="E29" s="365" t="str">
        <f>IF(J29&gt;0,"toneladas por hectare ou,","-")</f>
        <v>toneladas por hectare ou,</v>
      </c>
      <c r="F29" s="365"/>
      <c r="G29" s="365"/>
      <c r="H29" s="365"/>
      <c r="I29" s="365"/>
      <c r="J29" s="74">
        <f>Z49</f>
        <v>0.98220723286630063</v>
      </c>
      <c r="M29" s="364" t="s">
        <v>211</v>
      </c>
      <c r="N29" s="453"/>
      <c r="O29" s="473" t="s">
        <v>197</v>
      </c>
      <c r="P29" s="474"/>
      <c r="Q29" s="475"/>
      <c r="R29" s="53"/>
      <c r="W29" s="25"/>
      <c r="X29" s="75" t="s">
        <v>562</v>
      </c>
      <c r="Y29" s="75">
        <v>280000</v>
      </c>
      <c r="AE29" s="75" t="s">
        <v>560</v>
      </c>
      <c r="AF29" s="75" t="s">
        <v>331</v>
      </c>
      <c r="AG29" s="75" t="str">
        <f t="shared" si="9"/>
        <v>30-50 - alto</v>
      </c>
      <c r="AH29" s="75">
        <v>20000</v>
      </c>
      <c r="AJ29" s="75" t="s">
        <v>560</v>
      </c>
      <c r="AK29" s="75" t="s">
        <v>331</v>
      </c>
      <c r="AL29" s="75" t="str">
        <f t="shared" si="4"/>
        <v>30-50 - alto</v>
      </c>
      <c r="AM29" s="75">
        <v>60000</v>
      </c>
      <c r="AO29" s="47"/>
      <c r="AP29" s="447"/>
      <c r="AQ29" s="447" t="str">
        <f t="shared" si="10"/>
        <v>Superfosfato simples</v>
      </c>
      <c r="AR29" s="447"/>
      <c r="AS29" s="55">
        <f t="shared" si="5"/>
        <v>0</v>
      </c>
      <c r="AT29" s="55">
        <f t="shared" si="6"/>
        <v>0</v>
      </c>
      <c r="AU29" s="55">
        <f t="shared" si="7"/>
        <v>0</v>
      </c>
      <c r="AV29" s="55">
        <f t="shared" si="8"/>
        <v>0</v>
      </c>
      <c r="AW29" s="47"/>
      <c r="AX29" s="47"/>
      <c r="AY29" s="47"/>
      <c r="AZ29" s="47"/>
      <c r="BA29" s="47"/>
      <c r="BB29" s="47"/>
    </row>
    <row r="30" spans="2:54" ht="20.25" customHeight="1" x14ac:dyDescent="0.25">
      <c r="B30" s="488"/>
      <c r="C30" s="488"/>
      <c r="D30" s="73">
        <f>IF(J30&gt;0,J30,"-")</f>
        <v>9.8220723286630063E-2</v>
      </c>
      <c r="E30" s="365" t="str">
        <f>IF(J30&gt;0,"quilos por metro quadrado","-")</f>
        <v>quilos por metro quadrado</v>
      </c>
      <c r="F30" s="365"/>
      <c r="G30" s="365"/>
      <c r="H30" s="365"/>
      <c r="I30" s="365"/>
      <c r="J30" s="74">
        <f>J29/10</f>
        <v>9.8220723286630063E-2</v>
      </c>
      <c r="M30" s="364"/>
      <c r="N30" s="453"/>
      <c r="O30" s="32"/>
      <c r="P30" s="77" t="s">
        <v>200</v>
      </c>
      <c r="Q30" s="32"/>
      <c r="R30" s="53"/>
      <c r="W30" s="25"/>
      <c r="AE30" s="75" t="s">
        <v>561</v>
      </c>
      <c r="AF30" s="75" t="s">
        <v>68</v>
      </c>
      <c r="AG30" s="75" t="str">
        <f t="shared" si="9"/>
        <v>50-70 - baixo</v>
      </c>
      <c r="AH30" s="75">
        <v>70000</v>
      </c>
      <c r="AJ30" s="75" t="s">
        <v>561</v>
      </c>
      <c r="AK30" s="75" t="s">
        <v>68</v>
      </c>
      <c r="AL30" s="75" t="str">
        <f t="shared" si="4"/>
        <v>50-70 - baixo</v>
      </c>
      <c r="AM30" s="75">
        <v>270000</v>
      </c>
      <c r="AO30" s="47"/>
      <c r="AP30" s="447"/>
      <c r="AQ30" s="447" t="str">
        <f t="shared" si="10"/>
        <v>-</v>
      </c>
      <c r="AR30" s="447"/>
      <c r="AS30" s="55">
        <f t="shared" si="5"/>
        <v>0</v>
      </c>
      <c r="AT30" s="55">
        <f t="shared" si="6"/>
        <v>0</v>
      </c>
      <c r="AU30" s="55">
        <f t="shared" si="7"/>
        <v>0</v>
      </c>
      <c r="AV30" s="55">
        <f t="shared" si="8"/>
        <v>0</v>
      </c>
      <c r="AW30" s="47"/>
      <c r="AX30" s="47"/>
      <c r="AY30" s="47"/>
      <c r="AZ30" s="47"/>
      <c r="BA30" s="47"/>
      <c r="BB30" s="47"/>
    </row>
    <row r="31" spans="2:54" ht="20.25" customHeight="1" x14ac:dyDescent="0.25">
      <c r="B31" s="514" t="s">
        <v>533</v>
      </c>
      <c r="C31" s="514"/>
      <c r="D31" s="514"/>
      <c r="E31" s="514"/>
      <c r="F31" s="514"/>
      <c r="G31" s="514"/>
      <c r="H31" s="514"/>
      <c r="I31" s="514"/>
      <c r="J31" s="74"/>
      <c r="M31" s="364"/>
      <c r="N31" s="453"/>
      <c r="O31" s="473" t="s">
        <v>519</v>
      </c>
      <c r="P31" s="474"/>
      <c r="Q31" s="475"/>
      <c r="R31" s="53"/>
      <c r="U31" s="457" t="s">
        <v>72</v>
      </c>
      <c r="V31" s="457"/>
      <c r="W31" s="25"/>
      <c r="AE31" s="75" t="s">
        <v>561</v>
      </c>
      <c r="AF31" s="75" t="s">
        <v>70</v>
      </c>
      <c r="AG31" s="75" t="str">
        <f t="shared" si="9"/>
        <v>50-70 - adequado</v>
      </c>
      <c r="AH31" s="75">
        <v>50000</v>
      </c>
      <c r="AJ31" s="75" t="s">
        <v>561</v>
      </c>
      <c r="AK31" s="75" t="s">
        <v>70</v>
      </c>
      <c r="AL31" s="75" t="str">
        <f t="shared" si="4"/>
        <v>50-70 - adequado</v>
      </c>
      <c r="AM31" s="75">
        <v>180000</v>
      </c>
      <c r="AO31" s="47"/>
      <c r="AP31" s="447"/>
      <c r="AQ31" s="447" t="str">
        <f t="shared" si="10"/>
        <v>Cloreto de potássio</v>
      </c>
      <c r="AR31" s="447"/>
      <c r="AS31" s="55">
        <f t="shared" si="5"/>
        <v>0</v>
      </c>
      <c r="AT31" s="55">
        <f t="shared" si="6"/>
        <v>0</v>
      </c>
      <c r="AU31" s="55">
        <f t="shared" si="7"/>
        <v>0</v>
      </c>
      <c r="AV31" s="55">
        <f t="shared" si="8"/>
        <v>0</v>
      </c>
      <c r="AW31" s="47"/>
      <c r="AX31" s="47"/>
      <c r="AY31" s="47"/>
      <c r="AZ31" s="47"/>
      <c r="BA31" s="47"/>
      <c r="BB31" s="47"/>
    </row>
    <row r="32" spans="2:54" ht="20.25" customHeight="1" x14ac:dyDescent="0.25">
      <c r="B32" s="514"/>
      <c r="C32" s="514"/>
      <c r="D32" s="514"/>
      <c r="E32" s="514"/>
      <c r="F32" s="514"/>
      <c r="G32" s="514"/>
      <c r="H32" s="514"/>
      <c r="I32" s="514"/>
      <c r="J32" s="74"/>
      <c r="M32" s="364"/>
      <c r="N32" s="453"/>
      <c r="O32" s="32">
        <v>2</v>
      </c>
      <c r="P32" s="32">
        <v>2</v>
      </c>
      <c r="Q32" s="32">
        <v>4</v>
      </c>
      <c r="R32" s="53"/>
      <c r="U32" s="457" t="str">
        <f>CONCATENATE($P$39," - ",$W$8)</f>
        <v>&gt;70 - baixo</v>
      </c>
      <c r="V32" s="457"/>
      <c r="W32" s="25"/>
      <c r="AE32" s="75" t="s">
        <v>561</v>
      </c>
      <c r="AF32" s="75" t="s">
        <v>331</v>
      </c>
      <c r="AG32" s="75" t="str">
        <f t="shared" si="9"/>
        <v>50-70 - alto</v>
      </c>
      <c r="AH32" s="75">
        <v>30000</v>
      </c>
      <c r="AJ32" s="75" t="s">
        <v>561</v>
      </c>
      <c r="AK32" s="75" t="s">
        <v>331</v>
      </c>
      <c r="AL32" s="75" t="str">
        <f t="shared" si="4"/>
        <v>50-70 - alto</v>
      </c>
      <c r="AM32" s="75">
        <v>80000</v>
      </c>
      <c r="AO32" s="47"/>
      <c r="AP32" s="447"/>
      <c r="AQ32" s="447" t="str">
        <f t="shared" si="10"/>
        <v>EkoSil</v>
      </c>
      <c r="AR32" s="447"/>
      <c r="AS32" s="55">
        <f t="shared" si="5"/>
        <v>3.7655172413793102E-4</v>
      </c>
      <c r="AT32" s="55">
        <f t="shared" si="6"/>
        <v>3.7655172413793102E-4</v>
      </c>
      <c r="AU32" s="55">
        <f t="shared" si="7"/>
        <v>7.2413793103448293E-4</v>
      </c>
      <c r="AV32" s="55">
        <f t="shared" si="8"/>
        <v>8.1103448275862081E-5</v>
      </c>
      <c r="AW32" s="47"/>
      <c r="AX32" s="47"/>
      <c r="AY32" s="47"/>
      <c r="AZ32" s="47"/>
      <c r="BA32" s="47"/>
      <c r="BB32" s="47"/>
    </row>
    <row r="33" spans="2:57" ht="20.25" customHeight="1" thickBot="1" x14ac:dyDescent="0.3">
      <c r="B33" s="515"/>
      <c r="C33" s="515"/>
      <c r="D33" s="515"/>
      <c r="E33" s="515"/>
      <c r="F33" s="515"/>
      <c r="G33" s="515"/>
      <c r="H33" s="515"/>
      <c r="I33" s="515"/>
      <c r="J33" s="74"/>
      <c r="M33" s="364"/>
      <c r="N33" s="453"/>
      <c r="O33" s="473" t="s">
        <v>282</v>
      </c>
      <c r="P33" s="474"/>
      <c r="Q33" s="475"/>
      <c r="R33" s="53"/>
      <c r="W33" s="25"/>
      <c r="AE33" s="75" t="s">
        <v>562</v>
      </c>
      <c r="AF33" s="75" t="s">
        <v>68</v>
      </c>
      <c r="AG33" s="75" t="str">
        <f t="shared" si="9"/>
        <v>&gt;70 - baixo</v>
      </c>
      <c r="AH33" s="75">
        <v>80000</v>
      </c>
      <c r="AJ33" s="75" t="s">
        <v>562</v>
      </c>
      <c r="AK33" s="75" t="s">
        <v>68</v>
      </c>
      <c r="AL33" s="75" t="str">
        <f t="shared" si="4"/>
        <v>&gt;70 - baixo</v>
      </c>
      <c r="AM33" s="75">
        <v>320000</v>
      </c>
      <c r="AO33" s="47"/>
      <c r="AP33" s="447"/>
      <c r="AQ33" s="447" t="str">
        <f t="shared" si="10"/>
        <v>-</v>
      </c>
      <c r="AR33" s="447"/>
      <c r="AS33" s="55">
        <f t="shared" si="5"/>
        <v>0</v>
      </c>
      <c r="AT33" s="55">
        <f t="shared" si="6"/>
        <v>0</v>
      </c>
      <c r="AU33" s="55">
        <f t="shared" si="7"/>
        <v>0</v>
      </c>
      <c r="AV33" s="55">
        <f t="shared" si="8"/>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364"/>
      <c r="N34" s="453"/>
      <c r="O34" s="448">
        <v>1</v>
      </c>
      <c r="P34" s="448"/>
      <c r="Q34" s="448"/>
      <c r="R34" s="53"/>
      <c r="U34" s="457" t="s">
        <v>73</v>
      </c>
      <c r="V34" s="457"/>
      <c r="W34" s="25"/>
      <c r="AE34" s="75" t="s">
        <v>562</v>
      </c>
      <c r="AF34" s="75" t="s">
        <v>70</v>
      </c>
      <c r="AG34" s="75" t="str">
        <f t="shared" si="9"/>
        <v>&gt;70 - adequado</v>
      </c>
      <c r="AH34" s="75">
        <v>60000</v>
      </c>
      <c r="AJ34" s="75" t="s">
        <v>562</v>
      </c>
      <c r="AK34" s="75" t="s">
        <v>70</v>
      </c>
      <c r="AL34" s="75" t="str">
        <f t="shared" si="4"/>
        <v>&gt;70 - adequado</v>
      </c>
      <c r="AM34" s="75">
        <v>210000</v>
      </c>
      <c r="AO34" s="47"/>
      <c r="AP34" s="447"/>
      <c r="AQ34" s="447" t="str">
        <f t="shared" si="10"/>
        <v>Nitrato de Amônio</v>
      </c>
      <c r="AR34" s="447"/>
      <c r="AS34" s="55">
        <f t="shared" si="5"/>
        <v>0</v>
      </c>
      <c r="AT34" s="55">
        <f t="shared" si="6"/>
        <v>0</v>
      </c>
      <c r="AU34" s="55">
        <f t="shared" si="7"/>
        <v>0</v>
      </c>
      <c r="AV34" s="55">
        <f t="shared" si="8"/>
        <v>0</v>
      </c>
      <c r="AW34" s="47"/>
      <c r="AX34" s="47"/>
      <c r="AY34" s="47"/>
      <c r="AZ34" s="47"/>
      <c r="BA34" s="47"/>
      <c r="BB34" s="47"/>
    </row>
    <row r="35" spans="2:57" ht="20.25" customHeight="1" thickBot="1" x14ac:dyDescent="0.3">
      <c r="B35" s="488" t="str">
        <f>IF($O$55&gt;0,$O$55,"-")</f>
        <v>Gesso Agronelli</v>
      </c>
      <c r="C35" s="488"/>
      <c r="D35" s="73">
        <f>IF(J34&gt;0,J34,"-")</f>
        <v>356.25</v>
      </c>
      <c r="E35" s="365" t="str">
        <f>IF(J34&gt;0,"quilos por hectare ou,","-")</f>
        <v>quilos por hectare ou,</v>
      </c>
      <c r="F35" s="365"/>
      <c r="G35" s="365"/>
      <c r="H35" s="365"/>
      <c r="I35" s="365"/>
      <c r="J35" s="81">
        <f>J34/10</f>
        <v>35.625</v>
      </c>
      <c r="M35" s="69"/>
      <c r="N35" s="70"/>
      <c r="O35" s="70"/>
      <c r="P35" s="83" t="e">
        <f>10000/($O$30*$Q$30)</f>
        <v>#DIV/0!</v>
      </c>
      <c r="Q35" s="83">
        <f>10000/(((P32+Q32)/2)*O32)</f>
        <v>1666.6666666666667</v>
      </c>
      <c r="R35" s="71"/>
      <c r="U35" s="457" t="str">
        <f>CONCATENATE($P$39," - ",$W$16)</f>
        <v>&gt;70 - baixo</v>
      </c>
      <c r="V35" s="457"/>
      <c r="W35" s="25"/>
      <c r="AE35" s="75" t="s">
        <v>562</v>
      </c>
      <c r="AF35" s="75" t="s">
        <v>331</v>
      </c>
      <c r="AG35" s="75" t="str">
        <f t="shared" si="9"/>
        <v>&gt;70 - alto</v>
      </c>
      <c r="AH35" s="75">
        <v>40000</v>
      </c>
      <c r="AJ35" s="75" t="s">
        <v>562</v>
      </c>
      <c r="AK35" s="75" t="s">
        <v>331</v>
      </c>
      <c r="AL35" s="75" t="str">
        <f t="shared" si="4"/>
        <v>&gt;70 - alto</v>
      </c>
      <c r="AM35" s="75">
        <v>100000</v>
      </c>
      <c r="AO35" s="47"/>
      <c r="AP35" s="447"/>
      <c r="AQ35" s="447" t="str">
        <f t="shared" si="10"/>
        <v>-</v>
      </c>
      <c r="AR35" s="447"/>
      <c r="AS35" s="55">
        <f t="shared" si="5"/>
        <v>0</v>
      </c>
      <c r="AT35" s="55">
        <f t="shared" si="6"/>
        <v>0</v>
      </c>
      <c r="AU35" s="55">
        <f t="shared" si="7"/>
        <v>0</v>
      </c>
      <c r="AV35" s="55">
        <f t="shared" si="8"/>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25"/>
      <c r="V36" s="25"/>
      <c r="W36" s="25"/>
      <c r="AO36" s="47"/>
      <c r="AP36" s="447"/>
      <c r="AQ36" s="447" t="str">
        <f t="shared" si="10"/>
        <v>-</v>
      </c>
      <c r="AR36" s="447"/>
      <c r="AS36" s="55">
        <f t="shared" si="5"/>
        <v>0</v>
      </c>
      <c r="AT36" s="55">
        <f t="shared" si="6"/>
        <v>0</v>
      </c>
      <c r="AU36" s="55">
        <f t="shared" si="7"/>
        <v>0</v>
      </c>
      <c r="AV36" s="55">
        <f t="shared" si="8"/>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AO37" s="85"/>
      <c r="AP37" s="85"/>
      <c r="AQ37" s="85"/>
      <c r="AR37" s="85"/>
      <c r="AS37" s="59">
        <f>IF(AS24&gt;0,AS24,0)</f>
        <v>1.1996234482758621</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563</v>
      </c>
      <c r="P38" s="489"/>
      <c r="Q38" s="489"/>
      <c r="R38" s="53"/>
      <c r="U38" s="51" t="s">
        <v>63</v>
      </c>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137.14285714285714</v>
      </c>
      <c r="M39" s="364"/>
      <c r="N39" s="365"/>
      <c r="O39" s="51" t="s">
        <v>303</v>
      </c>
      <c r="P39" s="448" t="s">
        <v>562</v>
      </c>
      <c r="Q39" s="448"/>
      <c r="R39" s="53"/>
      <c r="U39" s="51" t="s">
        <v>32</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t="str">
        <f>IF(AQ59&gt;0,AQ59,"-")</f>
        <v>-</v>
      </c>
      <c r="E40" s="362" t="str">
        <f>IF(AQ59&gt;0,"quilos por cova ou planta","-")</f>
        <v>-</v>
      </c>
      <c r="F40" s="362"/>
      <c r="G40" s="362"/>
      <c r="H40" s="362"/>
      <c r="I40" s="362"/>
      <c r="J40" s="81">
        <f>AV7</f>
        <v>133.33333333333334</v>
      </c>
      <c r="M40" s="364"/>
      <c r="N40" s="365"/>
      <c r="O40" s="25"/>
      <c r="P40" s="25"/>
      <c r="Q40" s="25"/>
      <c r="R40" s="53"/>
      <c r="U40" s="51" t="s">
        <v>34</v>
      </c>
      <c r="AO40" s="47"/>
      <c r="AP40" s="447" t="str">
        <f>O105</f>
        <v>Ácido Bórico</v>
      </c>
      <c r="AQ40" s="447"/>
      <c r="AR40" s="55">
        <f>IFERROR($AS$37/((VLOOKUP(AP40,$V$100:$AO$179,11,0)*0.01)),0)</f>
        <v>6.8549911330049254</v>
      </c>
      <c r="AS40" s="55">
        <f>IFERROR($AT$37/((VLOOKUP(AP40,$V$100:$AO$179,14,0)*0.01)),0)</f>
        <v>0</v>
      </c>
      <c r="AT40" s="55">
        <f>IFERROR($AU$37/((VLOOKUP(AP40,$V$100:$AO$179,12,0)*0.01)),0)</f>
        <v>0</v>
      </c>
      <c r="AU40" s="55">
        <f>IFERROR($AV$37/((VLOOKUP(AP40,$V$100:$AO$179,13,0)*0.01)),0)</f>
        <v>0</v>
      </c>
      <c r="AV40" s="55">
        <f>MAX(AR40:AU40)</f>
        <v>6.8549911330049254</v>
      </c>
      <c r="AW40" s="55">
        <f>IFERROR(AV40*(VLOOKUP(AP40,$V$100:$AO$179,11,0)*0.01),0)</f>
        <v>1.1996234482758621</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f t="shared" ref="D41:D49" si="11">IF(J39&gt;0,J39,"-")</f>
        <v>137.14285714285714</v>
      </c>
      <c r="E41" s="365" t="str">
        <f t="shared" ref="E41:E49" si="12">IF(J39&gt;0,"gramas por planta","-")</f>
        <v>gramas por planta</v>
      </c>
      <c r="F41" s="365"/>
      <c r="G41" s="365"/>
      <c r="H41" s="365"/>
      <c r="I41" s="365"/>
      <c r="J41" s="81">
        <f>AV8</f>
        <v>0</v>
      </c>
      <c r="M41" s="364"/>
      <c r="N41" s="365"/>
      <c r="O41" s="489" t="s">
        <v>308</v>
      </c>
      <c r="P41" s="489"/>
      <c r="Q41" s="489"/>
      <c r="R41" s="53"/>
      <c r="U41" s="51">
        <v>30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3">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f t="shared" si="11"/>
        <v>133.33333333333334</v>
      </c>
      <c r="E42" s="365" t="str">
        <f t="shared" si="12"/>
        <v>gramas por planta</v>
      </c>
      <c r="F42" s="365"/>
      <c r="G42" s="365"/>
      <c r="H42" s="365"/>
      <c r="I42" s="365"/>
      <c r="J42" s="81">
        <f>AV12</f>
        <v>160</v>
      </c>
      <c r="M42" s="364"/>
      <c r="N42" s="365"/>
      <c r="O42" s="483" t="s">
        <v>292</v>
      </c>
      <c r="P42" s="513"/>
      <c r="Q42" s="484"/>
      <c r="R42" s="53"/>
      <c r="U42" s="51">
        <v>60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3"/>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1"/>
        <v>-</v>
      </c>
      <c r="E43" s="365" t="str">
        <f t="shared" si="12"/>
        <v>-</v>
      </c>
      <c r="F43" s="365"/>
      <c r="G43" s="365"/>
      <c r="H43" s="365"/>
      <c r="I43" s="365"/>
      <c r="J43" s="81">
        <f>AV13</f>
        <v>1200</v>
      </c>
      <c r="M43" s="69"/>
      <c r="N43" s="70"/>
      <c r="O43" s="70"/>
      <c r="P43" s="70"/>
      <c r="Q43" s="70"/>
      <c r="R43" s="71"/>
      <c r="U43" s="51">
        <v>120</v>
      </c>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3"/>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1"/>
        <v>160</v>
      </c>
      <c r="E44" s="365" t="str">
        <f t="shared" si="12"/>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1"/>
        <v>1200</v>
      </c>
      <c r="E45" s="365" t="str">
        <f t="shared" si="12"/>
        <v>gramas por planta</v>
      </c>
      <c r="F45" s="365"/>
      <c r="G45" s="365"/>
      <c r="H45" s="365"/>
      <c r="I45" s="365"/>
      <c r="J45" s="81">
        <f>AV18</f>
        <v>579.31034482758628</v>
      </c>
      <c r="M45" s="48"/>
      <c r="N45" s="49"/>
      <c r="O45" s="499" t="s">
        <v>305</v>
      </c>
      <c r="P45" s="500"/>
      <c r="Q45" s="501"/>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1"/>
        <v>-</v>
      </c>
      <c r="E46" s="365" t="str">
        <f t="shared" si="12"/>
        <v>-</v>
      </c>
      <c r="F46" s="365"/>
      <c r="G46" s="365"/>
      <c r="H46" s="365"/>
      <c r="I46" s="365"/>
      <c r="J46" s="81">
        <f>AV19</f>
        <v>0</v>
      </c>
      <c r="M46" s="364" t="s">
        <v>213</v>
      </c>
      <c r="N46" s="365"/>
      <c r="O46" s="502"/>
      <c r="P46" s="503"/>
      <c r="Q46" s="504"/>
      <c r="R46" s="53"/>
      <c r="U46" s="75" t="s">
        <v>109</v>
      </c>
      <c r="V46" s="89">
        <v>70</v>
      </c>
      <c r="X46" s="455" t="s">
        <v>268</v>
      </c>
      <c r="Y46" s="455"/>
      <c r="Z46" s="63">
        <f>IFERROR(VLOOKUP(O50,$V$87:$AE$95,10,0),0)</f>
        <v>22.778167994795901</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1"/>
        <v>579.31034482758628</v>
      </c>
      <c r="E47" s="365" t="str">
        <f t="shared" si="12"/>
        <v>gramas por planta</v>
      </c>
      <c r="F47" s="365"/>
      <c r="G47" s="365"/>
      <c r="H47" s="365"/>
      <c r="I47" s="365"/>
      <c r="J47" s="81">
        <f>AV20</f>
        <v>0</v>
      </c>
      <c r="M47" s="364"/>
      <c r="N47" s="365"/>
      <c r="O47" s="481" t="s">
        <v>139</v>
      </c>
      <c r="P47" s="482"/>
      <c r="Q47" s="90">
        <v>0.5</v>
      </c>
      <c r="R47" s="53"/>
      <c r="U47" s="51" t="s">
        <v>111</v>
      </c>
      <c r="V47" s="63">
        <f>IFERROR((((V46-P24)*P25)/V49),0)</f>
        <v>1.0169491525423733</v>
      </c>
      <c r="X47" s="455" t="s">
        <v>203</v>
      </c>
      <c r="Y47" s="455"/>
      <c r="Z47" s="63">
        <f>IFERROR((($V$50/$Z$46)*$V$47),0)</f>
        <v>1.9644144657326013</v>
      </c>
      <c r="AO47" s="47"/>
      <c r="BA47" s="47"/>
      <c r="BB47" s="47"/>
    </row>
    <row r="48" spans="2:57" ht="20.25" customHeight="1" x14ac:dyDescent="0.25">
      <c r="B48" s="449" t="str">
        <f>IF(AQ19&gt;0,AQ19,"-")</f>
        <v>-</v>
      </c>
      <c r="C48" s="449"/>
      <c r="D48" s="87" t="str">
        <f t="shared" si="11"/>
        <v>-</v>
      </c>
      <c r="E48" s="365" t="str">
        <f t="shared" si="12"/>
        <v>-</v>
      </c>
      <c r="F48" s="365"/>
      <c r="G48" s="365"/>
      <c r="H48" s="365"/>
      <c r="I48" s="365"/>
      <c r="J48" s="91"/>
      <c r="M48" s="364"/>
      <c r="N48" s="365"/>
      <c r="O48" s="505" t="s">
        <v>306</v>
      </c>
      <c r="P48" s="506"/>
      <c r="Q48" s="507"/>
      <c r="R48" s="53"/>
      <c r="U48" s="51" t="s">
        <v>201</v>
      </c>
      <c r="V48" s="63">
        <f>IF(V47&lt;0,(0),IF(V47&gt;=0,(V47)))</f>
        <v>1.0169491525423733</v>
      </c>
      <c r="X48" s="455" t="s">
        <v>201</v>
      </c>
      <c r="Y48" s="455"/>
      <c r="Z48" s="63">
        <f>IFERROR(IF(Z47&lt;0,(0),IF(Z47&gt;=0,(Z47))),0)</f>
        <v>1.9644144657326013</v>
      </c>
    </row>
    <row r="49" spans="2:50" ht="20.25" customHeight="1" x14ac:dyDescent="0.25">
      <c r="B49" s="449" t="str">
        <f>IF(AQ20&gt;0,AQ20,"-")</f>
        <v>-</v>
      </c>
      <c r="C49" s="449"/>
      <c r="D49" s="87" t="str">
        <f t="shared" si="11"/>
        <v>-</v>
      </c>
      <c r="E49" s="365" t="str">
        <f t="shared" si="12"/>
        <v>-</v>
      </c>
      <c r="F49" s="365"/>
      <c r="G49" s="365"/>
      <c r="H49" s="365"/>
      <c r="I49" s="365"/>
      <c r="M49" s="364"/>
      <c r="N49" s="365"/>
      <c r="O49" s="502"/>
      <c r="P49" s="503"/>
      <c r="Q49" s="504"/>
      <c r="R49" s="53"/>
      <c r="U49" s="51" t="s">
        <v>110</v>
      </c>
      <c r="V49" s="63">
        <f>IFERROR(VLOOKUP($O$47,$V$56:$AA$68,5,0),0)</f>
        <v>80.239999999999995</v>
      </c>
      <c r="X49" s="455" t="s">
        <v>273</v>
      </c>
      <c r="Y49" s="455"/>
      <c r="Z49" s="63">
        <f>Z48*$Q$50</f>
        <v>0.98220723286630063</v>
      </c>
    </row>
    <row r="50" spans="2:50" ht="20.25" customHeight="1" x14ac:dyDescent="0.25">
      <c r="B50" s="476" t="s">
        <v>535</v>
      </c>
      <c r="C50" s="476"/>
      <c r="D50" s="476"/>
      <c r="E50" s="476"/>
      <c r="F50" s="476"/>
      <c r="G50" s="476"/>
      <c r="H50" s="476"/>
      <c r="I50" s="476"/>
      <c r="M50" s="364"/>
      <c r="N50" s="365"/>
      <c r="O50" s="483" t="s">
        <v>493</v>
      </c>
      <c r="P50" s="484"/>
      <c r="Q50" s="92">
        <v>0.5</v>
      </c>
      <c r="R50" s="53"/>
      <c r="U50" s="51" t="s">
        <v>193</v>
      </c>
      <c r="V50" s="63">
        <f>IFERROR(VLOOKUP($O$47,$V$56:$AA$68,6,0),0)</f>
        <v>44</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0.50847457627118664</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4">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4"/>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4"/>
        <v>3 - Composto de lixo (COL)</v>
      </c>
      <c r="AW54" s="51">
        <v>15</v>
      </c>
    </row>
    <row r="55" spans="2:50" ht="20.25" customHeight="1" x14ac:dyDescent="0.25">
      <c r="B55" s="449" t="str">
        <f>IF(AP40&gt;0,AP40,"-")</f>
        <v>Ácido Bórico</v>
      </c>
      <c r="C55" s="449"/>
      <c r="D55" s="87">
        <f>IF(AV40&gt;0,AV40,"-")</f>
        <v>6.8549911330049254</v>
      </c>
      <c r="E55" s="365" t="str">
        <f>IF(AV40&gt;0,"gramas por planta","-")</f>
        <v>gramas por planta</v>
      </c>
      <c r="F55" s="365"/>
      <c r="G55" s="365"/>
      <c r="H55" s="365"/>
      <c r="I55" s="365"/>
      <c r="M55" s="364"/>
      <c r="N55" s="365"/>
      <c r="O55" s="448" t="s">
        <v>188</v>
      </c>
      <c r="P55" s="448"/>
      <c r="Q55" s="448"/>
      <c r="R55" s="53"/>
      <c r="U55" s="344"/>
      <c r="V55" s="344"/>
      <c r="W55" s="344"/>
      <c r="X55" s="95" t="s">
        <v>105</v>
      </c>
      <c r="Y55" s="95" t="s">
        <v>106</v>
      </c>
      <c r="Z55" s="95" t="s">
        <v>107</v>
      </c>
      <c r="AA55" s="95" t="s">
        <v>195</v>
      </c>
      <c r="AP55" s="465"/>
      <c r="AQ55" s="465"/>
      <c r="AS55" s="465"/>
      <c r="AT55" s="51">
        <v>4</v>
      </c>
      <c r="AU55" s="93" t="s">
        <v>286</v>
      </c>
      <c r="AV55" s="93" t="str">
        <f t="shared" si="14"/>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4"/>
        <v>0 - Cama de frango corte</v>
      </c>
      <c r="AW56" s="75">
        <v>4</v>
      </c>
      <c r="AX56" s="25"/>
    </row>
    <row r="57" spans="2:50" ht="20.25" customHeight="1" x14ac:dyDescent="0.25">
      <c r="B57" s="449" t="str">
        <f>IF(AP42&gt;0,AP42,"-")</f>
        <v>Sulfato de zinco</v>
      </c>
      <c r="C57" s="449"/>
      <c r="D57" s="87" t="str">
        <f>IF(AV42&gt;0,AV42,"-")</f>
        <v>-</v>
      </c>
      <c r="E57" s="365" t="str">
        <f t="shared" ref="E57:E59" si="15">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4"/>
        <v>1 - Cama de frango corte</v>
      </c>
      <c r="AW57" s="75">
        <v>1</v>
      </c>
    </row>
    <row r="58" spans="2:50" ht="20.25" customHeight="1" x14ac:dyDescent="0.25">
      <c r="B58" s="449" t="str">
        <f>IF(AP43&gt;0,AP43,"-")</f>
        <v>Sulfato de manganês</v>
      </c>
      <c r="C58" s="449"/>
      <c r="D58" s="87" t="str">
        <f>IF(AV43&gt;0,AV43,"-")</f>
        <v>-</v>
      </c>
      <c r="E58" s="365" t="str">
        <f t="shared" si="15"/>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&gt;70 - Esterco Bovino curtido</v>
      </c>
      <c r="AR58" s="463"/>
      <c r="AS58" s="25"/>
      <c r="AT58" s="75">
        <v>2</v>
      </c>
      <c r="AU58" s="97" t="s">
        <v>293</v>
      </c>
      <c r="AV58" s="97" t="str">
        <f t="shared" si="14"/>
        <v>2 - Cama de frango corte</v>
      </c>
      <c r="AW58" s="75">
        <v>3</v>
      </c>
    </row>
    <row r="59" spans="2:50" ht="20.25" customHeight="1" x14ac:dyDescent="0.25">
      <c r="B59" s="449" t="str">
        <f>IF(AP44&gt;0,AP44,"-")</f>
        <v>-</v>
      </c>
      <c r="C59" s="449"/>
      <c r="D59" s="87" t="str">
        <f>IF(AV44&gt;0,AV44,"-")</f>
        <v>-</v>
      </c>
      <c r="E59" s="365" t="str">
        <f t="shared" si="15"/>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0</v>
      </c>
      <c r="AR59" s="456"/>
      <c r="AS59" s="25"/>
      <c r="AT59" s="75">
        <v>3</v>
      </c>
      <c r="AU59" s="97" t="s">
        <v>293</v>
      </c>
      <c r="AV59" s="97" t="str">
        <f t="shared" si="14"/>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4"/>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4"/>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4"/>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4"/>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4"/>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4"/>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4"/>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4"/>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4"/>
        <v>2 - Esterco Bovino curtido</v>
      </c>
      <c r="AW68" s="75">
        <v>7</v>
      </c>
    </row>
    <row r="69" spans="2:49" ht="20.25" customHeight="1" thickBot="1" x14ac:dyDescent="0.3">
      <c r="M69" s="69"/>
      <c r="N69" s="70"/>
      <c r="O69" s="70"/>
      <c r="P69" s="70"/>
      <c r="Q69" s="70"/>
      <c r="R69" s="71"/>
      <c r="AT69" s="75">
        <v>3</v>
      </c>
      <c r="AU69" s="97" t="s">
        <v>292</v>
      </c>
      <c r="AV69" s="97" t="str">
        <f t="shared" si="14"/>
        <v>3 - Esterco Bovino curtido</v>
      </c>
      <c r="AW69" s="75">
        <v>12</v>
      </c>
    </row>
    <row r="70" spans="2:49" ht="20.25" customHeight="1" thickBot="1" x14ac:dyDescent="0.3">
      <c r="AT70" s="75">
        <v>4</v>
      </c>
      <c r="AU70" s="97" t="s">
        <v>292</v>
      </c>
      <c r="AV70" s="97" t="str">
        <f t="shared" si="14"/>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4"/>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4"/>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4"/>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4"/>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4"/>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4"/>
        <v>0 - Esterco de suínos</v>
      </c>
      <c r="AW76" s="75">
        <v>10</v>
      </c>
    </row>
    <row r="77" spans="2:49" ht="20.2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4"/>
        <v>1 - Esterco de suínos</v>
      </c>
      <c r="AW77" s="75">
        <v>4</v>
      </c>
    </row>
    <row r="78" spans="2:49" ht="20.2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4"/>
        <v>2 - Esterco de suínos</v>
      </c>
      <c r="AW78" s="75">
        <v>6</v>
      </c>
    </row>
    <row r="79" spans="2:49" ht="20.2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4"/>
        <v>3 - Esterco de suínos</v>
      </c>
      <c r="AW79" s="75">
        <v>10</v>
      </c>
    </row>
    <row r="80" spans="2:49" ht="20.2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4"/>
        <v>4 - Esterco de suínos</v>
      </c>
      <c r="AW80" s="75">
        <v>4</v>
      </c>
    </row>
    <row r="81" spans="13:49" ht="20.2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4"/>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4"/>
        <v>1 - Esterco de ovinos</v>
      </c>
      <c r="AW82" s="51">
        <v>4</v>
      </c>
    </row>
    <row r="83" spans="13:49" ht="20.25" customHeight="1" x14ac:dyDescent="0.25">
      <c r="M83" s="364"/>
      <c r="N83" s="365"/>
      <c r="O83" s="448" t="s">
        <v>116</v>
      </c>
      <c r="P83" s="448"/>
      <c r="Q83" s="92">
        <v>0.5</v>
      </c>
      <c r="R83" s="53"/>
      <c r="AT83" s="51">
        <v>2</v>
      </c>
      <c r="AU83" s="93" t="s">
        <v>288</v>
      </c>
      <c r="AV83" s="93" t="str">
        <f t="shared" si="14"/>
        <v>2 - Esterco de ovinos</v>
      </c>
      <c r="AW83" s="51">
        <v>6</v>
      </c>
    </row>
    <row r="84" spans="13:49" ht="20.25" customHeight="1" x14ac:dyDescent="0.25">
      <c r="M84" s="364"/>
      <c r="N84" s="365"/>
      <c r="O84" s="448"/>
      <c r="P84" s="448"/>
      <c r="Q84" s="92"/>
      <c r="R84" s="53"/>
      <c r="AT84" s="51">
        <v>3</v>
      </c>
      <c r="AU84" s="93" t="s">
        <v>288</v>
      </c>
      <c r="AV84" s="93" t="str">
        <f t="shared" si="14"/>
        <v>3 - Esterco de ovinos</v>
      </c>
      <c r="AW84" s="51">
        <v>10</v>
      </c>
    </row>
    <row r="85" spans="13:49" ht="20.2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T85" s="51">
        <v>4</v>
      </c>
      <c r="AU85" s="93" t="s">
        <v>288</v>
      </c>
      <c r="AV85" s="93" t="str">
        <f t="shared" si="14"/>
        <v>4 - Esterco de ovinos</v>
      </c>
      <c r="AW85" s="51">
        <v>4</v>
      </c>
    </row>
    <row r="86" spans="13:49" ht="20.2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4"/>
        <v>0 - Lodo de esgosto</v>
      </c>
      <c r="AW86" s="75">
        <v>15</v>
      </c>
    </row>
    <row r="87" spans="13:49" ht="20.2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6">Y160</f>
        <v>8.7999999999999995E-2</v>
      </c>
      <c r="Z87" s="99">
        <f t="shared" si="16"/>
        <v>0.2</v>
      </c>
      <c r="AA87" s="99">
        <f t="shared" si="16"/>
        <v>2.83</v>
      </c>
      <c r="AB87" s="99">
        <f t="shared" si="16"/>
        <v>3.4</v>
      </c>
      <c r="AC87" s="100">
        <f>AC160*0.602</f>
        <v>1.5155244755244754</v>
      </c>
      <c r="AD87" s="100">
        <f>AD160*0.715</f>
        <v>5.4634551495016606</v>
      </c>
      <c r="AE87" s="100">
        <f t="shared" ref="AE87:AE95" si="17">AB87+AC87+AD87</f>
        <v>10.378979625026137</v>
      </c>
      <c r="AT87" s="75">
        <v>1</v>
      </c>
      <c r="AU87" s="97" t="s">
        <v>289</v>
      </c>
      <c r="AV87" s="97" t="str">
        <f t="shared" si="14"/>
        <v>1 - Lodo de esgosto</v>
      </c>
      <c r="AW87" s="75">
        <v>10</v>
      </c>
    </row>
    <row r="88" spans="13:49" ht="20.25" customHeight="1" x14ac:dyDescent="0.25">
      <c r="M88" s="364"/>
      <c r="N88" s="365"/>
      <c r="O88" s="450" t="s">
        <v>254</v>
      </c>
      <c r="P88" s="451"/>
      <c r="Q88" s="452"/>
      <c r="R88" s="53"/>
      <c r="U88" s="466"/>
      <c r="V88" s="99" t="str">
        <f t="shared" ref="V88:W95" si="18">V161</f>
        <v>Kamafugito</v>
      </c>
      <c r="W88" s="99">
        <f t="shared" si="18"/>
        <v>0</v>
      </c>
      <c r="X88" s="99">
        <f t="shared" ref="X88:X95" si="19">AL161</f>
        <v>0</v>
      </c>
      <c r="Y88" s="99">
        <f t="shared" si="16"/>
        <v>1.5069999999999999</v>
      </c>
      <c r="Z88" s="99">
        <f t="shared" si="16"/>
        <v>3.5</v>
      </c>
      <c r="AA88" s="99">
        <f t="shared" si="16"/>
        <v>3.3250000000000002</v>
      </c>
      <c r="AB88" s="99">
        <f t="shared" si="16"/>
        <v>4</v>
      </c>
      <c r="AC88" s="100">
        <f t="shared" ref="AC88:AC95" si="20">AC161*0.602</f>
        <v>1.7217199999999999</v>
      </c>
      <c r="AD88" s="100">
        <f t="shared" ref="AD88:AD95" si="21">AD161*0.715</f>
        <v>0</v>
      </c>
      <c r="AE88" s="100">
        <f t="shared" si="17"/>
        <v>5.7217199999999995</v>
      </c>
      <c r="AT88" s="75">
        <v>2</v>
      </c>
      <c r="AU88" s="97" t="s">
        <v>289</v>
      </c>
      <c r="AV88" s="97" t="str">
        <f t="shared" si="14"/>
        <v>2 - Lodo de esgosto</v>
      </c>
      <c r="AW88" s="75">
        <v>5</v>
      </c>
    </row>
    <row r="89" spans="13:49" ht="20.25" customHeight="1" x14ac:dyDescent="0.25">
      <c r="M89" s="364"/>
      <c r="N89" s="365"/>
      <c r="O89" s="450" t="s">
        <v>251</v>
      </c>
      <c r="P89" s="451"/>
      <c r="Q89" s="452"/>
      <c r="R89" s="53"/>
      <c r="U89" s="466"/>
      <c r="V89" s="99" t="str">
        <f t="shared" si="18"/>
        <v>Micaxisto (61) 3233-9368</v>
      </c>
      <c r="W89" s="99">
        <f t="shared" si="18"/>
        <v>0</v>
      </c>
      <c r="X89" s="99">
        <f t="shared" si="19"/>
        <v>0</v>
      </c>
      <c r="Y89" s="99">
        <f t="shared" si="16"/>
        <v>4.4999999999999998E-2</v>
      </c>
      <c r="Z89" s="99">
        <f t="shared" si="16"/>
        <v>0.1</v>
      </c>
      <c r="AA89" s="99">
        <f t="shared" si="16"/>
        <v>4.32</v>
      </c>
      <c r="AB89" s="99">
        <f t="shared" si="16"/>
        <v>5.2</v>
      </c>
      <c r="AC89" s="100">
        <f t="shared" si="20"/>
        <v>0.75776223776223772</v>
      </c>
      <c r="AD89" s="100">
        <f t="shared" si="21"/>
        <v>0.83139534883720934</v>
      </c>
      <c r="AE89" s="100">
        <f t="shared" si="17"/>
        <v>6.7891575865994476</v>
      </c>
      <c r="AT89" s="75">
        <v>3</v>
      </c>
      <c r="AU89" s="97" t="s">
        <v>289</v>
      </c>
      <c r="AV89" s="97" t="str">
        <f t="shared" si="14"/>
        <v>3 - Lodo de esgosto</v>
      </c>
      <c r="AW89" s="75">
        <v>15</v>
      </c>
    </row>
    <row r="90" spans="13:49" ht="20.25" customHeight="1" x14ac:dyDescent="0.25">
      <c r="M90" s="364"/>
      <c r="N90" s="365"/>
      <c r="O90" s="448" t="s">
        <v>93</v>
      </c>
      <c r="P90" s="448"/>
      <c r="Q90" s="92">
        <v>1</v>
      </c>
      <c r="R90" s="53"/>
      <c r="U90" s="466"/>
      <c r="V90" s="99" t="str">
        <f t="shared" si="18"/>
        <v xml:space="preserve">Pó de brita Fmx (62) 3924 8565 </v>
      </c>
      <c r="W90" s="99">
        <f t="shared" si="18"/>
        <v>0</v>
      </c>
      <c r="X90" s="99">
        <f t="shared" si="19"/>
        <v>0</v>
      </c>
      <c r="Y90" s="99">
        <f t="shared" si="16"/>
        <v>0</v>
      </c>
      <c r="Z90" s="99">
        <f t="shared" si="16"/>
        <v>0</v>
      </c>
      <c r="AA90" s="99">
        <f t="shared" si="16"/>
        <v>4.99</v>
      </c>
      <c r="AB90" s="99">
        <f t="shared" si="16"/>
        <v>6</v>
      </c>
      <c r="AC90" s="100">
        <f t="shared" si="20"/>
        <v>2.5258741258741257</v>
      </c>
      <c r="AD90" s="100">
        <f t="shared" si="21"/>
        <v>0.59385382059800662</v>
      </c>
      <c r="AE90" s="100">
        <f t="shared" si="17"/>
        <v>9.1197279464721319</v>
      </c>
      <c r="AT90" s="75">
        <v>4</v>
      </c>
      <c r="AU90" s="97" t="s">
        <v>289</v>
      </c>
      <c r="AV90" s="97" t="str">
        <f t="shared" si="14"/>
        <v>4 - Lodo de esgosto</v>
      </c>
      <c r="AW90" s="75">
        <v>10</v>
      </c>
    </row>
    <row r="91" spans="13:49" ht="20.25" customHeight="1" x14ac:dyDescent="0.25">
      <c r="M91" s="364"/>
      <c r="N91" s="365"/>
      <c r="O91" s="448"/>
      <c r="P91" s="448"/>
      <c r="Q91" s="92"/>
      <c r="R91" s="53"/>
      <c r="U91" s="466"/>
      <c r="V91" s="99" t="str">
        <f t="shared" si="18"/>
        <v>Remax Mistel (61) 99414-1975</v>
      </c>
      <c r="W91" s="99">
        <f t="shared" si="18"/>
        <v>0</v>
      </c>
      <c r="X91" s="99">
        <f t="shared" si="19"/>
        <v>43.8</v>
      </c>
      <c r="Y91" s="99">
        <f t="shared" si="16"/>
        <v>4.4999999999999998E-2</v>
      </c>
      <c r="Z91" s="99">
        <f t="shared" si="16"/>
        <v>0.1</v>
      </c>
      <c r="AA91" s="99">
        <f t="shared" si="16"/>
        <v>2.1949999999999998</v>
      </c>
      <c r="AB91" s="99">
        <f t="shared" si="16"/>
        <v>2.6</v>
      </c>
      <c r="AC91" s="100">
        <f t="shared" si="20"/>
        <v>11.282237762237763</v>
      </c>
      <c r="AD91" s="100">
        <f t="shared" si="21"/>
        <v>8.8959302325581397</v>
      </c>
      <c r="AE91" s="100">
        <f t="shared" si="17"/>
        <v>22.778167994795901</v>
      </c>
      <c r="AT91" s="51">
        <v>0</v>
      </c>
      <c r="AU91" s="93" t="s">
        <v>290</v>
      </c>
      <c r="AV91" s="93" t="str">
        <f t="shared" si="14"/>
        <v>0 - Compostos orgânicos</v>
      </c>
      <c r="AW91" s="51">
        <v>6</v>
      </c>
    </row>
    <row r="92" spans="13:49" ht="20.25" customHeight="1" x14ac:dyDescent="0.25">
      <c r="M92" s="364"/>
      <c r="N92" s="365"/>
      <c r="O92" s="448"/>
      <c r="P92" s="448"/>
      <c r="Q92" s="92"/>
      <c r="R92" s="53"/>
      <c r="U92" s="466"/>
      <c r="V92" s="99">
        <f t="shared" si="18"/>
        <v>0</v>
      </c>
      <c r="W92" s="99">
        <f t="shared" si="18"/>
        <v>0</v>
      </c>
      <c r="X92" s="99">
        <f t="shared" si="19"/>
        <v>0</v>
      </c>
      <c r="Y92" s="99">
        <f t="shared" si="16"/>
        <v>0</v>
      </c>
      <c r="Z92" s="99">
        <f t="shared" si="16"/>
        <v>0</v>
      </c>
      <c r="AA92" s="99">
        <f t="shared" si="16"/>
        <v>0</v>
      </c>
      <c r="AB92" s="99">
        <f t="shared" si="16"/>
        <v>0</v>
      </c>
      <c r="AC92" s="100">
        <f t="shared" si="20"/>
        <v>0</v>
      </c>
      <c r="AD92" s="100">
        <f t="shared" si="21"/>
        <v>0</v>
      </c>
      <c r="AE92" s="100">
        <f t="shared" si="17"/>
        <v>0</v>
      </c>
      <c r="AT92" s="51">
        <v>1</v>
      </c>
      <c r="AU92" s="93" t="s">
        <v>290</v>
      </c>
      <c r="AV92" s="93" t="str">
        <f t="shared" si="14"/>
        <v>1 - Compostos orgânicos</v>
      </c>
      <c r="AW92" s="51">
        <v>2</v>
      </c>
    </row>
    <row r="93" spans="13:49" ht="20.25" customHeight="1" x14ac:dyDescent="0.25">
      <c r="M93" s="101"/>
      <c r="N93" s="25"/>
      <c r="O93" s="25"/>
      <c r="P93" s="25"/>
      <c r="Q93" s="25"/>
      <c r="R93" s="53"/>
      <c r="U93" s="466"/>
      <c r="V93" s="99">
        <f t="shared" si="18"/>
        <v>0</v>
      </c>
      <c r="W93" s="99">
        <f t="shared" si="18"/>
        <v>0</v>
      </c>
      <c r="X93" s="99">
        <f t="shared" si="19"/>
        <v>0</v>
      </c>
      <c r="Y93" s="99">
        <f t="shared" si="16"/>
        <v>0</v>
      </c>
      <c r="Z93" s="99">
        <f t="shared" si="16"/>
        <v>0</v>
      </c>
      <c r="AA93" s="99">
        <f t="shared" si="16"/>
        <v>0</v>
      </c>
      <c r="AB93" s="99">
        <f t="shared" si="16"/>
        <v>0</v>
      </c>
      <c r="AC93" s="100">
        <f t="shared" si="20"/>
        <v>0</v>
      </c>
      <c r="AD93" s="100">
        <f t="shared" si="21"/>
        <v>0</v>
      </c>
      <c r="AE93" s="100">
        <f t="shared" si="17"/>
        <v>0</v>
      </c>
      <c r="AT93" s="51">
        <v>2</v>
      </c>
      <c r="AU93" s="93" t="s">
        <v>290</v>
      </c>
      <c r="AV93" s="93" t="str">
        <f t="shared" si="14"/>
        <v>2 - Compostos orgânicos</v>
      </c>
      <c r="AW93" s="51">
        <v>4</v>
      </c>
    </row>
    <row r="94" spans="13:49" ht="20.25" customHeight="1" x14ac:dyDescent="0.25">
      <c r="M94" s="101"/>
      <c r="N94" s="25"/>
      <c r="O94" s="365" t="s">
        <v>264</v>
      </c>
      <c r="P94" s="365"/>
      <c r="Q94" s="365"/>
      <c r="R94" s="53"/>
      <c r="U94" s="466"/>
      <c r="V94" s="99">
        <f t="shared" si="18"/>
        <v>0</v>
      </c>
      <c r="W94" s="99">
        <f t="shared" si="18"/>
        <v>0</v>
      </c>
      <c r="X94" s="99">
        <f t="shared" si="19"/>
        <v>0</v>
      </c>
      <c r="Y94" s="99">
        <f t="shared" si="16"/>
        <v>0</v>
      </c>
      <c r="Z94" s="99">
        <f t="shared" si="16"/>
        <v>0</v>
      </c>
      <c r="AA94" s="99">
        <f t="shared" si="16"/>
        <v>0</v>
      </c>
      <c r="AB94" s="99">
        <f t="shared" si="16"/>
        <v>0</v>
      </c>
      <c r="AC94" s="100">
        <f t="shared" si="20"/>
        <v>0</v>
      </c>
      <c r="AD94" s="100">
        <f t="shared" si="21"/>
        <v>0</v>
      </c>
      <c r="AE94" s="100">
        <f t="shared" si="17"/>
        <v>0</v>
      </c>
      <c r="AT94" s="51">
        <v>3</v>
      </c>
      <c r="AU94" s="93" t="s">
        <v>290</v>
      </c>
      <c r="AV94" s="93" t="str">
        <f t="shared" si="14"/>
        <v>3 - Compostos orgânicos</v>
      </c>
      <c r="AW94" s="51">
        <v>6</v>
      </c>
    </row>
    <row r="95" spans="13:49" ht="20.25" customHeight="1" thickBot="1" x14ac:dyDescent="0.3">
      <c r="M95" s="69"/>
      <c r="N95" s="70"/>
      <c r="O95" s="70"/>
      <c r="P95" s="70"/>
      <c r="Q95" s="70"/>
      <c r="R95" s="71"/>
      <c r="U95" s="466"/>
      <c r="V95" s="99">
        <f t="shared" si="18"/>
        <v>0</v>
      </c>
      <c r="W95" s="99">
        <f t="shared" si="18"/>
        <v>0</v>
      </c>
      <c r="X95" s="99">
        <f t="shared" si="19"/>
        <v>0</v>
      </c>
      <c r="Y95" s="99">
        <f t="shared" si="16"/>
        <v>0</v>
      </c>
      <c r="Z95" s="99">
        <f t="shared" si="16"/>
        <v>0</v>
      </c>
      <c r="AA95" s="99">
        <f t="shared" si="16"/>
        <v>0</v>
      </c>
      <c r="AB95" s="99">
        <f t="shared" si="16"/>
        <v>0</v>
      </c>
      <c r="AC95" s="100">
        <f t="shared" si="20"/>
        <v>0</v>
      </c>
      <c r="AD95" s="100">
        <f t="shared" si="21"/>
        <v>0</v>
      </c>
      <c r="AE95" s="100">
        <f t="shared" si="17"/>
        <v>0</v>
      </c>
      <c r="AT95" s="51">
        <v>4</v>
      </c>
      <c r="AU95" s="93" t="s">
        <v>290</v>
      </c>
      <c r="AV95" s="93" t="str">
        <f t="shared" si="14"/>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$V$26</f>
        <v>168</v>
      </c>
      <c r="P99" s="103">
        <f>$V$27</f>
        <v>48</v>
      </c>
      <c r="Q99" s="103">
        <f>$V$28</f>
        <v>192</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1.2</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29">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W85:W86"/>
    <mergeCell ref="X85:AE85"/>
    <mergeCell ref="O86:Q86"/>
    <mergeCell ref="U87:U95"/>
    <mergeCell ref="O88:Q88"/>
    <mergeCell ref="O89:Q89"/>
    <mergeCell ref="O90:P90"/>
    <mergeCell ref="O91:P91"/>
    <mergeCell ref="O92:P92"/>
    <mergeCell ref="O94:Q94"/>
    <mergeCell ref="O81:Q81"/>
    <mergeCell ref="O82:P82"/>
    <mergeCell ref="O83:P83"/>
    <mergeCell ref="O84:P84"/>
    <mergeCell ref="U85:U86"/>
    <mergeCell ref="V85:V86"/>
    <mergeCell ref="X71:Z71"/>
    <mergeCell ref="M72:N92"/>
    <mergeCell ref="O72:Q72"/>
    <mergeCell ref="O73:Q73"/>
    <mergeCell ref="U73:U82"/>
    <mergeCell ref="O74:P74"/>
    <mergeCell ref="O75:P75"/>
    <mergeCell ref="O76:P76"/>
    <mergeCell ref="O78:Q78"/>
    <mergeCell ref="O80:Q80"/>
    <mergeCell ref="F64:I66"/>
    <mergeCell ref="O66:Q67"/>
    <mergeCell ref="B67:E67"/>
    <mergeCell ref="F67:I67"/>
    <mergeCell ref="O68:Q68"/>
    <mergeCell ref="U71:U72"/>
    <mergeCell ref="V71:V72"/>
    <mergeCell ref="W71:W72"/>
    <mergeCell ref="AQ57:AR57"/>
    <mergeCell ref="B58:C58"/>
    <mergeCell ref="E58:I58"/>
    <mergeCell ref="AQ58:AR58"/>
    <mergeCell ref="B59:C59"/>
    <mergeCell ref="E59:I59"/>
    <mergeCell ref="AQ59:AR59"/>
    <mergeCell ref="AP54:AP55"/>
    <mergeCell ref="AQ54:AQ55"/>
    <mergeCell ref="AS54:AS55"/>
    <mergeCell ref="B55:C55"/>
    <mergeCell ref="E55:I55"/>
    <mergeCell ref="O55:Q55"/>
    <mergeCell ref="B50:I53"/>
    <mergeCell ref="O50:P50"/>
    <mergeCell ref="AT50:AW50"/>
    <mergeCell ref="B54:I54"/>
    <mergeCell ref="M54:N68"/>
    <mergeCell ref="O54:Q54"/>
    <mergeCell ref="U54:U55"/>
    <mergeCell ref="V54:V55"/>
    <mergeCell ref="W54:W55"/>
    <mergeCell ref="X54:AA54"/>
    <mergeCell ref="B56:C56"/>
    <mergeCell ref="E56:I56"/>
    <mergeCell ref="O56:Q64"/>
    <mergeCell ref="U56:U68"/>
    <mergeCell ref="B57:C57"/>
    <mergeCell ref="E57:I57"/>
    <mergeCell ref="B60:I63"/>
    <mergeCell ref="B64:E66"/>
    <mergeCell ref="B45:C45"/>
    <mergeCell ref="E45:I45"/>
    <mergeCell ref="O45:Q46"/>
    <mergeCell ref="U45:V45"/>
    <mergeCell ref="X45:Z45"/>
    <mergeCell ref="B46:C46"/>
    <mergeCell ref="E46:I46"/>
    <mergeCell ref="M46:N50"/>
    <mergeCell ref="X46:Y46"/>
    <mergeCell ref="B47:C47"/>
    <mergeCell ref="E47:I47"/>
    <mergeCell ref="O47:P47"/>
    <mergeCell ref="X47:Y47"/>
    <mergeCell ref="B48:C48"/>
    <mergeCell ref="E48:I48"/>
    <mergeCell ref="O48:Q49"/>
    <mergeCell ref="X48:Y48"/>
    <mergeCell ref="B49:C49"/>
    <mergeCell ref="E49:I49"/>
    <mergeCell ref="X49:Y49"/>
    <mergeCell ref="B43:C43"/>
    <mergeCell ref="E43:I43"/>
    <mergeCell ref="AP43:AQ43"/>
    <mergeCell ref="B44:C44"/>
    <mergeCell ref="E44:I44"/>
    <mergeCell ref="M44:R44"/>
    <mergeCell ref="AP44:AQ44"/>
    <mergeCell ref="E41:I41"/>
    <mergeCell ref="O41:Q41"/>
    <mergeCell ref="AP41:AQ41"/>
    <mergeCell ref="B42:C42"/>
    <mergeCell ref="E42:I42"/>
    <mergeCell ref="O42:Q42"/>
    <mergeCell ref="AP42:AQ42"/>
    <mergeCell ref="B37:I38"/>
    <mergeCell ref="M38:N42"/>
    <mergeCell ref="O38:Q38"/>
    <mergeCell ref="B39:I39"/>
    <mergeCell ref="P39:Q39"/>
    <mergeCell ref="AP39:AQ39"/>
    <mergeCell ref="B40:C40"/>
    <mergeCell ref="E40:I40"/>
    <mergeCell ref="AP40:AQ40"/>
    <mergeCell ref="B41:C41"/>
    <mergeCell ref="O29:Q29"/>
    <mergeCell ref="AQ29:AR29"/>
    <mergeCell ref="E30:I30"/>
    <mergeCell ref="AQ30:AR30"/>
    <mergeCell ref="B31:I33"/>
    <mergeCell ref="O31:Q31"/>
    <mergeCell ref="U31:V31"/>
    <mergeCell ref="AQ31:AR31"/>
    <mergeCell ref="U32:V32"/>
    <mergeCell ref="B26:I26"/>
    <mergeCell ref="B27:C28"/>
    <mergeCell ref="E27:I27"/>
    <mergeCell ref="AP27:AP36"/>
    <mergeCell ref="AQ27:AR27"/>
    <mergeCell ref="E28:I28"/>
    <mergeCell ref="AQ28:AR28"/>
    <mergeCell ref="B29:C30"/>
    <mergeCell ref="E29:I29"/>
    <mergeCell ref="B35:C36"/>
    <mergeCell ref="E35:I35"/>
    <mergeCell ref="U35:V35"/>
    <mergeCell ref="AQ35:AR35"/>
    <mergeCell ref="E36:I36"/>
    <mergeCell ref="M36:R36"/>
    <mergeCell ref="AQ36:AR36"/>
    <mergeCell ref="AQ32:AR32"/>
    <mergeCell ref="O33:Q33"/>
    <mergeCell ref="AQ33:AR33"/>
    <mergeCell ref="B34:I34"/>
    <mergeCell ref="O34:Q34"/>
    <mergeCell ref="U34:V34"/>
    <mergeCell ref="AQ34:AR34"/>
    <mergeCell ref="M29:N34"/>
    <mergeCell ref="B16:I16"/>
    <mergeCell ref="W16:W17"/>
    <mergeCell ref="AP16:AP17"/>
    <mergeCell ref="AQ16:AR17"/>
    <mergeCell ref="AV16:AV17"/>
    <mergeCell ref="B18:D18"/>
    <mergeCell ref="F18:H18"/>
    <mergeCell ref="AF18:AF20"/>
    <mergeCell ref="AJ18:AJ20"/>
    <mergeCell ref="AK18:AK20"/>
    <mergeCell ref="AL18:AL20"/>
    <mergeCell ref="AM18:AM20"/>
    <mergeCell ref="AQ18:AR18"/>
    <mergeCell ref="AQ19:AR19"/>
    <mergeCell ref="B20:E20"/>
    <mergeCell ref="AQ20:AR20"/>
    <mergeCell ref="C12:I12"/>
    <mergeCell ref="AF12:AF14"/>
    <mergeCell ref="AJ12:AJ14"/>
    <mergeCell ref="AK12:AK14"/>
    <mergeCell ref="AL12:AL14"/>
    <mergeCell ref="AM12:AM14"/>
    <mergeCell ref="AQ12:AR12"/>
    <mergeCell ref="C13:I13"/>
    <mergeCell ref="U13:W14"/>
    <mergeCell ref="AQ13:AR13"/>
    <mergeCell ref="C14:G14"/>
    <mergeCell ref="AQ14:AR14"/>
    <mergeCell ref="B9:I9"/>
    <mergeCell ref="AF9:AF11"/>
    <mergeCell ref="AJ9:AJ11"/>
    <mergeCell ref="AK9:AK11"/>
    <mergeCell ref="AL9:AL11"/>
    <mergeCell ref="AM9:AM11"/>
    <mergeCell ref="AF7:AM7"/>
    <mergeCell ref="AQ7:AR7"/>
    <mergeCell ref="W8:W10"/>
    <mergeCell ref="AG8:AH8"/>
    <mergeCell ref="AI8:AJ8"/>
    <mergeCell ref="AQ8:AR8"/>
    <mergeCell ref="AP10:AP11"/>
    <mergeCell ref="AQ10:AR11"/>
    <mergeCell ref="C11:I11"/>
    <mergeCell ref="M2:R2"/>
    <mergeCell ref="M4:N4"/>
    <mergeCell ref="O4:P4"/>
    <mergeCell ref="AP4:AP5"/>
    <mergeCell ref="AQ4:AR5"/>
    <mergeCell ref="AV4:AV5"/>
    <mergeCell ref="M5:N25"/>
    <mergeCell ref="U6:V7"/>
    <mergeCell ref="W6:W7"/>
    <mergeCell ref="AQ6:AR6"/>
    <mergeCell ref="AV10:AV11"/>
    <mergeCell ref="AF15:AF17"/>
    <mergeCell ref="AJ15:AJ17"/>
    <mergeCell ref="AK15:AK17"/>
    <mergeCell ref="AL15:AL17"/>
    <mergeCell ref="AM15:AM17"/>
    <mergeCell ref="U25:V25"/>
    <mergeCell ref="X25:Y25"/>
    <mergeCell ref="AE25:AH25"/>
    <mergeCell ref="AJ25:AM25"/>
    <mergeCell ref="AP25:AP26"/>
    <mergeCell ref="AQ25:AR26"/>
  </mergeCells>
  <dataValidations count="5">
    <dataValidation type="list" allowBlank="1" showInputMessage="1" showErrorMessage="1" sqref="O42:Q42">
      <formula1>$AA$8:$AA$17</formula1>
    </dataValidation>
    <dataValidation type="list" allowBlank="1" showInputMessage="1" showErrorMessage="1" sqref="Q82:Q84 Q90:Q92 Q74:Q76 Q47 Q50">
      <formula1>$Y$10:$Y$21</formula1>
    </dataValidation>
    <dataValidation type="list" allowBlank="1" showInputMessage="1" showErrorMessage="1" sqref="O68 O174 N159 O176">
      <formula1>$Y$5:$Y$6</formula1>
    </dataValidation>
    <dataValidation type="list" allowBlank="1" showInputMessage="1" showErrorMessage="1" sqref="O105:Q109">
      <formula1>$V$170:$V$179</formula1>
    </dataValidation>
    <dataValidation type="list" allowBlank="1" showInputMessage="1" showErrorMessage="1" sqref="P39:Q39">
      <formula1>$X$27:$X$29</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corretivos'!$C$3:$C$62</xm:f>
          </x14:formula1>
          <xm:sqref>O74:P76 O82:P84 O90:P92</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corretivos'!$C$87:$C$99</xm:f>
          </x14:formula1>
          <xm:sqref>O47:P47</xm:sqref>
        </x14:dataValidation>
      </x14:dataValidation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Y40" sqref="Y40"/>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22" style="11" customWidth="1"/>
    <col min="17" max="17" width="57.5703125" style="11" customWidth="1"/>
    <col min="18" max="18" width="8.7109375" style="11" customWidth="1"/>
    <col min="19" max="19" width="11.42578125" style="11" bestFit="1" customWidth="1"/>
    <col min="20" max="20" width="30.140625" style="11" hidden="1" customWidth="1" outlineLevel="1"/>
    <col min="21" max="21" width="43.5703125" style="11" hidden="1" customWidth="1" outlineLevel="1"/>
    <col min="22" max="22" width="65.42578125" style="11" hidden="1" customWidth="1" outlineLevel="1"/>
    <col min="23" max="23" width="19.85546875" style="11" hidden="1" customWidth="1" outlineLevel="1"/>
    <col min="24" max="24" width="12" style="11" hidden="1" customWidth="1" outlineLevel="1"/>
    <col min="25" max="25" width="21.85546875" style="11" hidden="1" customWidth="1" outlineLevel="1"/>
    <col min="26" max="26" width="14.140625" style="11" hidden="1" customWidth="1" outlineLevel="1"/>
    <col min="27" max="27" width="31.5703125" style="11" hidden="1" customWidth="1" outlineLevel="1"/>
    <col min="28" max="28" width="21.42578125" style="11" hidden="1" customWidth="1" outlineLevel="1"/>
    <col min="29" max="29" width="27" style="11" hidden="1" customWidth="1" outlineLevel="1"/>
    <col min="30" max="30" width="24.85546875" style="11" hidden="1" customWidth="1" outlineLevel="1"/>
    <col min="31" max="31" width="26.28515625" style="11" hidden="1" customWidth="1" outlineLevel="1"/>
    <col min="32" max="32" width="15.5703125" style="11" hidden="1" customWidth="1" outlineLevel="1"/>
    <col min="33" max="33" width="28.42578125" style="11" hidden="1" customWidth="1" outlineLevel="1"/>
    <col min="34" max="34" width="28.5703125" style="11" hidden="1" customWidth="1" outlineLevel="1"/>
    <col min="35" max="35" width="23" style="11" hidden="1" customWidth="1" outlineLevel="1"/>
    <col min="36" max="36" width="14" style="11" hidden="1" customWidth="1" outlineLevel="1"/>
    <col min="37" max="37" width="19.85546875" style="11" hidden="1" customWidth="1" outlineLevel="1"/>
    <col min="38" max="38" width="25.28515625" style="11" hidden="1" customWidth="1" outlineLevel="1"/>
    <col min="39" max="39" width="34.85546875" style="11" hidden="1" customWidth="1" outlineLevel="1"/>
    <col min="40" max="40" width="23.7109375" style="11" hidden="1" customWidth="1" outlineLevel="1"/>
    <col min="41" max="41" width="23.42578125" style="11" hidden="1" customWidth="1" outlineLevel="1"/>
    <col min="42" max="42" width="9.42578125" style="11" hidden="1" customWidth="1" outlineLevel="1"/>
    <col min="43" max="43" width="16.7109375" style="11" hidden="1" customWidth="1" outlineLevel="1"/>
    <col min="44" max="44" width="6.7109375" style="11" hidden="1" customWidth="1" outlineLevel="1"/>
    <col min="45" max="45" width="8.28515625" style="11" hidden="1" customWidth="1" outlineLevel="1"/>
    <col min="46" max="46" width="8.42578125" style="11" hidden="1" customWidth="1" outlineLevel="1"/>
    <col min="47" max="47" width="31.5703125" style="11" hidden="1" customWidth="1" outlineLevel="1"/>
    <col min="48" max="48" width="35.5703125" style="11" hidden="1" customWidth="1" outlineLevel="1"/>
    <col min="49" max="52" width="6.7109375"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94"/>
      <c r="V3" s="94"/>
      <c r="W3" s="94"/>
      <c r="X3" s="94"/>
      <c r="Y3" s="25"/>
      <c r="Z3" s="25"/>
      <c r="AA3" s="25"/>
      <c r="AB3" s="25"/>
      <c r="AC3" s="25"/>
      <c r="AD3" s="25"/>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94"/>
      <c r="V4" s="94"/>
      <c r="W4" s="94"/>
      <c r="X4" s="94"/>
      <c r="Y4" s="51" t="s">
        <v>63</v>
      </c>
      <c r="AB4" s="25"/>
      <c r="AC4" s="25"/>
      <c r="AD4" s="25"/>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94"/>
      <c r="V5" s="94"/>
      <c r="W5" s="94"/>
      <c r="X5" s="94"/>
      <c r="Y5" s="51" t="s">
        <v>189</v>
      </c>
      <c r="Z5" s="25"/>
      <c r="AA5" s="25"/>
      <c r="AB5" s="25"/>
      <c r="AC5" s="25"/>
      <c r="AD5" s="25"/>
      <c r="AO5" s="47"/>
      <c r="AP5" s="447"/>
      <c r="AQ5" s="447"/>
      <c r="AR5" s="447"/>
      <c r="AS5" s="55">
        <f>$V$26</f>
        <v>168</v>
      </c>
      <c r="AT5" s="55">
        <f>$V$27</f>
        <v>102</v>
      </c>
      <c r="AU5" s="55">
        <f>$V$28</f>
        <v>192</v>
      </c>
      <c r="AV5" s="509"/>
      <c r="AW5" s="47"/>
      <c r="AX5" s="47"/>
      <c r="AY5" s="47"/>
      <c r="AZ5" s="47"/>
      <c r="BA5" s="47"/>
      <c r="BB5" s="47"/>
    </row>
    <row r="6" spans="1:54" ht="20.25" customHeight="1" x14ac:dyDescent="0.25">
      <c r="M6" s="364"/>
      <c r="N6" s="453"/>
      <c r="O6" s="51" t="s">
        <v>3</v>
      </c>
      <c r="P6" s="56">
        <v>2</v>
      </c>
      <c r="Q6" s="51" t="s">
        <v>55</v>
      </c>
      <c r="R6" s="53"/>
      <c r="U6" s="591" t="s">
        <v>56</v>
      </c>
      <c r="V6" s="592"/>
      <c r="W6" s="510" t="s">
        <v>58</v>
      </c>
      <c r="X6" s="25"/>
      <c r="Y6" s="51" t="s">
        <v>190</v>
      </c>
      <c r="Z6" s="25"/>
      <c r="AA6" s="25"/>
      <c r="AB6" s="25"/>
      <c r="AC6" s="25"/>
      <c r="AD6" s="25"/>
      <c r="AO6" s="47"/>
      <c r="AP6" s="54">
        <v>1</v>
      </c>
      <c r="AQ6" s="517" t="str">
        <f>O74</f>
        <v>Termofosfato YOORIN</v>
      </c>
      <c r="AR6" s="518"/>
      <c r="AS6" s="55">
        <f>IFERROR((VLOOKUP(AQ6,$V$100:$AB$179,3,0)*0.01)*AV6,0)</f>
        <v>0</v>
      </c>
      <c r="AT6" s="55">
        <f>IFERROR((VLOOKUP(AQ6,$V$100:$AB$179,5,0)*0.01)*AV6,0)</f>
        <v>51.000000000000007</v>
      </c>
      <c r="AU6" s="55">
        <f>IFERROR((VLOOKUP(AQ6,$V$100:$AB$179,7,0)*0.01)*AV6,0)</f>
        <v>0</v>
      </c>
      <c r="AV6" s="55">
        <f>IFERROR($AT$5*Q74/(VLOOKUP(AQ6,$V$100:$AB$179,5,0)/100),0)</f>
        <v>291.42857142857144</v>
      </c>
      <c r="AW6" s="47"/>
      <c r="AX6" s="47"/>
      <c r="AY6" s="47"/>
      <c r="AZ6" s="47"/>
      <c r="BA6" s="47"/>
      <c r="BB6" s="47"/>
    </row>
    <row r="7" spans="1:54" ht="20.25" customHeight="1" x14ac:dyDescent="0.25">
      <c r="M7" s="364"/>
      <c r="N7" s="453"/>
      <c r="O7" s="51" t="s">
        <v>4</v>
      </c>
      <c r="P7" s="32">
        <v>1</v>
      </c>
      <c r="Q7" s="51" t="s">
        <v>55</v>
      </c>
      <c r="R7" s="53"/>
      <c r="U7" s="593"/>
      <c r="V7" s="594"/>
      <c r="W7" s="370"/>
      <c r="X7" s="25"/>
      <c r="Y7" s="79">
        <f>10000/((($O$32/2)+($P$32/2))*$Q$32)</f>
        <v>1250</v>
      </c>
      <c r="Z7" s="25"/>
      <c r="AA7" s="76" t="s">
        <v>63</v>
      </c>
      <c r="AB7" s="25"/>
      <c r="AC7" s="25"/>
      <c r="AD7" s="25"/>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51.000000000000007</v>
      </c>
      <c r="AU7" s="55">
        <f>IFERROR((VLOOKUP(AQ7,$V$100:$AB$179,7,0)*0.01)*AV7,0)</f>
        <v>0</v>
      </c>
      <c r="AV7" s="55">
        <f>IFERROR($AT$5*Q75/(VLOOKUP(AQ7,$V$100:$AB$179,5,0)/100),0)</f>
        <v>283.33333333333337</v>
      </c>
      <c r="AW7" s="47"/>
      <c r="AX7" s="47"/>
      <c r="AY7" s="47"/>
      <c r="AZ7" s="47"/>
      <c r="BA7" s="47"/>
      <c r="BB7" s="47"/>
    </row>
    <row r="8" spans="1:54" ht="20.25" customHeight="1" thickBot="1" x14ac:dyDescent="0.3">
      <c r="M8" s="364"/>
      <c r="N8" s="453"/>
      <c r="O8" s="51" t="s">
        <v>5</v>
      </c>
      <c r="P8" s="56">
        <v>0.14000000000000001</v>
      </c>
      <c r="Q8" s="57" t="s">
        <v>55</v>
      </c>
      <c r="R8" s="53"/>
      <c r="U8" s="125" t="s">
        <v>559</v>
      </c>
      <c r="V8" s="51" t="str">
        <f>IF($P$13&lt;10,"baixo","erro")</f>
        <v>baixo</v>
      </c>
      <c r="W8" s="595" t="str">
        <f>IF(V8="baixo","baixo",IF(V9="adequado","adequado",IF(V10="alto","alto",0)))</f>
        <v>baixo</v>
      </c>
      <c r="X8" s="25"/>
      <c r="Y8" s="25"/>
      <c r="Z8" s="25"/>
      <c r="AA8" s="51" t="s">
        <v>286</v>
      </c>
      <c r="AB8" s="25"/>
      <c r="AD8" s="25"/>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125" t="s">
        <v>558</v>
      </c>
      <c r="V9" s="51" t="str">
        <f>IF(AND($P$13&gt;=10,$P$13&lt;=30),"adequado","erro")</f>
        <v>erro</v>
      </c>
      <c r="W9" s="597"/>
      <c r="X9" s="25"/>
      <c r="Y9" s="76" t="s">
        <v>63</v>
      </c>
      <c r="Z9" s="25"/>
      <c r="AA9" s="51" t="s">
        <v>293</v>
      </c>
      <c r="AB9" s="25"/>
      <c r="AD9" s="25"/>
      <c r="AF9" s="511" t="s">
        <v>246</v>
      </c>
      <c r="AG9" s="58" t="s">
        <v>25</v>
      </c>
      <c r="AH9" s="58" t="s">
        <v>242</v>
      </c>
      <c r="AI9" s="51" t="str">
        <f>IF($P$14&lt;=0.2,"baixo","erro")</f>
        <v>baixo</v>
      </c>
      <c r="AJ9" s="457" t="str">
        <f>IF($AI$9="baixo","baixo",IF($AI$10="medio","medio",IF($AI$11="adequado","adequado",0)))</f>
        <v>baixo</v>
      </c>
      <c r="AK9" s="457">
        <f>IF(AJ9="Baixo",AL9,0)</f>
        <v>1.2</v>
      </c>
      <c r="AL9" s="457">
        <f>(AM9*1000)/$E$18</f>
        <v>1.2</v>
      </c>
      <c r="AM9" s="456">
        <v>2</v>
      </c>
      <c r="AO9" s="47"/>
      <c r="AP9" s="47"/>
      <c r="AQ9" s="47"/>
      <c r="AR9" s="47"/>
      <c r="AS9" s="59">
        <f>AS5-(SUM(AS6:AS8))</f>
        <v>168</v>
      </c>
      <c r="AT9" s="59">
        <f>AT5-(SUM(AT6:AT8))</f>
        <v>0</v>
      </c>
      <c r="AU9" s="59">
        <f>AU5-(SUM(AU6:AU8))</f>
        <v>192</v>
      </c>
      <c r="AV9" s="59"/>
      <c r="AW9" s="47"/>
      <c r="AX9" s="47"/>
      <c r="AY9" s="47"/>
      <c r="AZ9" s="47"/>
      <c r="BA9" s="47"/>
      <c r="BB9" s="47"/>
    </row>
    <row r="10" spans="1:54" ht="20.25" customHeight="1" x14ac:dyDescent="0.25">
      <c r="M10" s="364"/>
      <c r="N10" s="453"/>
      <c r="O10" s="51" t="s">
        <v>7</v>
      </c>
      <c r="P10" s="56">
        <v>0.1</v>
      </c>
      <c r="Q10" s="51" t="s">
        <v>55</v>
      </c>
      <c r="R10" s="53"/>
      <c r="U10" s="125" t="s">
        <v>527</v>
      </c>
      <c r="V10" s="51" t="str">
        <f>IF(AND($P$13&gt;30),"alto","erro")</f>
        <v>erro</v>
      </c>
      <c r="W10" s="596"/>
      <c r="X10" s="25"/>
      <c r="Y10" s="76"/>
      <c r="Z10" s="25"/>
      <c r="AA10" s="51" t="s">
        <v>158</v>
      </c>
      <c r="AB10" s="25"/>
      <c r="AD10" s="25"/>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X11" s="25"/>
      <c r="Y11" s="76">
        <v>0</v>
      </c>
      <c r="Z11" s="25"/>
      <c r="AA11" s="51" t="s">
        <v>292</v>
      </c>
      <c r="AB11" s="25"/>
      <c r="AD11" s="25"/>
      <c r="AF11" s="511"/>
      <c r="AG11" s="58" t="s">
        <v>234</v>
      </c>
      <c r="AH11" s="58" t="s">
        <v>233</v>
      </c>
      <c r="AI11" s="51" t="str">
        <f>IF($P$14&gt;0.5,"adequado","erro")</f>
        <v>erro</v>
      </c>
      <c r="AJ11" s="457"/>
      <c r="AK11" s="457"/>
      <c r="AL11" s="457"/>
      <c r="AM11" s="456"/>
      <c r="AO11" s="47"/>
      <c r="AP11" s="447"/>
      <c r="AQ11" s="447"/>
      <c r="AR11" s="447"/>
      <c r="AS11" s="55">
        <f>AS9</f>
        <v>168</v>
      </c>
      <c r="AT11" s="55">
        <f t="shared" ref="AT11:AU11" si="0">AT9</f>
        <v>0</v>
      </c>
      <c r="AU11" s="55">
        <f t="shared" si="0"/>
        <v>192</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X12" s="25"/>
      <c r="Y12" s="76">
        <v>0.1</v>
      </c>
      <c r="Z12" s="25"/>
      <c r="AA12" s="51" t="s">
        <v>292</v>
      </c>
      <c r="AB12" s="25"/>
      <c r="AC12" s="25"/>
      <c r="AD12" s="25"/>
      <c r="AF12" s="511" t="s">
        <v>245</v>
      </c>
      <c r="AG12" s="58" t="s">
        <v>25</v>
      </c>
      <c r="AH12" s="58" t="s">
        <v>241</v>
      </c>
      <c r="AI12" s="51" t="str">
        <f>IF($P$16&lt;=0.4,"baixo","erro")</f>
        <v>erro</v>
      </c>
      <c r="AJ12" s="457" t="str">
        <f>IF($AI$12="baixo","baixo",IF($AI$13="medio","medio",IF($AI$14="adequado","adequado",0)))</f>
        <v>adequado</v>
      </c>
      <c r="AK12" s="457">
        <f>IF(AJ12="Baixo",AL12,0)</f>
        <v>0</v>
      </c>
      <c r="AL12" s="457">
        <f>(AM12*1000)/$E$18</f>
        <v>1.2</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96</v>
      </c>
      <c r="AV12" s="55">
        <f>IFERROR($AU$11*Q82/(VLOOKUP(AQ12,$V$100:$AB$179,7,0)/100),0)</f>
        <v>160</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9</v>
      </c>
      <c r="Q13" s="51" t="s">
        <v>12</v>
      </c>
      <c r="R13" s="53"/>
      <c r="U13" s="457" t="s">
        <v>500</v>
      </c>
      <c r="V13" s="457"/>
      <c r="W13" s="457"/>
      <c r="X13" s="25"/>
      <c r="Y13" s="76">
        <v>0.2</v>
      </c>
      <c r="Z13" s="25"/>
      <c r="AA13" s="51" t="s">
        <v>292</v>
      </c>
      <c r="AB13" s="25"/>
      <c r="AC13" s="25"/>
      <c r="AD13" s="25"/>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96</v>
      </c>
      <c r="AV13" s="55">
        <f>IFERROR($AU$11*Q83/(VLOOKUP(AQ13,$V$100:$AB$179,7,0)/100),0)</f>
        <v>1200</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U14" s="457"/>
      <c r="V14" s="457"/>
      <c r="W14" s="457"/>
      <c r="X14" s="25"/>
      <c r="Y14" s="76">
        <v>0.3</v>
      </c>
      <c r="Z14" s="25"/>
      <c r="AA14" s="51" t="s">
        <v>288</v>
      </c>
      <c r="AB14" s="25"/>
      <c r="AC14" s="25"/>
      <c r="AD14" s="25"/>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U15" s="51" t="s">
        <v>521</v>
      </c>
      <c r="V15" s="51" t="str">
        <f>IF($P$8&lt;=0.15,"baixo","erro")</f>
        <v>baixo</v>
      </c>
      <c r="W15" s="208" t="s">
        <v>58</v>
      </c>
      <c r="X15" s="25"/>
      <c r="Y15" s="76">
        <v>0.4</v>
      </c>
      <c r="Z15" s="25"/>
      <c r="AA15" s="51" t="s">
        <v>289</v>
      </c>
      <c r="AB15" s="25"/>
      <c r="AC15" s="25"/>
      <c r="AD15" s="25"/>
      <c r="AF15" s="511" t="s">
        <v>244</v>
      </c>
      <c r="AG15" s="58" t="s">
        <v>25</v>
      </c>
      <c r="AH15" s="58" t="s">
        <v>240</v>
      </c>
      <c r="AI15" s="51" t="str">
        <f>IF($P$18&lt;=1.9,"baixo","erro")</f>
        <v>erro</v>
      </c>
      <c r="AJ15" s="457" t="str">
        <f>IF($AI$15="baixo","baixo",IF($AI$16="medio","medio",IF($AI$17="adequado","adequado",0)))</f>
        <v>adequado</v>
      </c>
      <c r="AK15" s="457">
        <f>IF(AJ15="Baixo",AL15,0)</f>
        <v>0</v>
      </c>
      <c r="AL15" s="457">
        <f>(AM15*1000)/$E$18</f>
        <v>3.5999999999999996</v>
      </c>
      <c r="AM15" s="456">
        <v>6</v>
      </c>
      <c r="AO15" s="47"/>
      <c r="AP15" s="47"/>
      <c r="AQ15" s="47"/>
      <c r="AR15" s="47"/>
      <c r="AS15" s="59">
        <f>AS11-(SUM(AS12:AS14))</f>
        <v>168</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U16" s="51" t="s">
        <v>497</v>
      </c>
      <c r="V16" s="51" t="str">
        <f>IF(AND($P$8&gt;=0.16,$P$8&lt;=0.3),"adequado","erro")</f>
        <v>erro</v>
      </c>
      <c r="W16" s="595" t="str">
        <f>IF(V15="baixo","baixo",IF(V16="adequado","adequado",IF(V17="alto","alto",0)))</f>
        <v>baixo</v>
      </c>
      <c r="X16" s="25"/>
      <c r="Y16" s="76">
        <v>0.5</v>
      </c>
      <c r="AA16" s="51" t="s">
        <v>290</v>
      </c>
      <c r="AB16" s="25"/>
      <c r="AC16" s="25"/>
      <c r="AD16" s="25"/>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 t="s">
        <v>523</v>
      </c>
      <c r="V17" s="51" t="str">
        <f>IF(AND($P$8&gt;0.3),"alto","erro")</f>
        <v>erro</v>
      </c>
      <c r="W17" s="596"/>
      <c r="X17" s="94"/>
      <c r="Y17" s="76">
        <v>0.6</v>
      </c>
      <c r="AA17" s="51"/>
      <c r="AB17" s="25"/>
      <c r="AC17" s="25"/>
      <c r="AD17" s="25"/>
      <c r="AF17" s="511"/>
      <c r="AG17" s="58" t="s">
        <v>234</v>
      </c>
      <c r="AH17" s="58" t="s">
        <v>231</v>
      </c>
      <c r="AI17" s="51" t="str">
        <f>IF($P$18&gt;5,"adequado","erro")</f>
        <v>adequado</v>
      </c>
      <c r="AJ17" s="457"/>
      <c r="AK17" s="457"/>
      <c r="AL17" s="457"/>
      <c r="AM17" s="456"/>
      <c r="AO17" s="47"/>
      <c r="AP17" s="447"/>
      <c r="AQ17" s="447"/>
      <c r="AR17" s="447"/>
      <c r="AS17" s="55">
        <f>AS15</f>
        <v>168</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1666.6666666666667</v>
      </c>
      <c r="F18" s="457" t="s">
        <v>125</v>
      </c>
      <c r="G18" s="457"/>
      <c r="H18" s="457"/>
      <c r="I18" s="51">
        <f>O34</f>
        <v>1</v>
      </c>
      <c r="M18" s="364"/>
      <c r="N18" s="453"/>
      <c r="O18" s="51" t="s">
        <v>17</v>
      </c>
      <c r="P18" s="56">
        <v>43.1</v>
      </c>
      <c r="Q18" s="51" t="s">
        <v>12</v>
      </c>
      <c r="R18" s="53"/>
      <c r="X18" s="94"/>
      <c r="Y18" s="76">
        <v>0.7</v>
      </c>
      <c r="AB18" s="25"/>
      <c r="AC18" s="25"/>
      <c r="AD18" s="25"/>
      <c r="AF18" s="511" t="s">
        <v>243</v>
      </c>
      <c r="AG18" s="58" t="s">
        <v>25</v>
      </c>
      <c r="AH18" s="58" t="s">
        <v>239</v>
      </c>
      <c r="AI18" s="51" t="str">
        <f>IF($P$19&lt;=1,"baixo","erro")</f>
        <v>erro</v>
      </c>
      <c r="AJ18" s="457" t="str">
        <f>IF($AI$18="baixo","baixo",IF($AI$19="medio","medio",IF($AI$20="adequado","adequado",0)))</f>
        <v>adequado</v>
      </c>
      <c r="AK18" s="457">
        <f>IF(AJ18="Baixo",AL18,0)</f>
        <v>0</v>
      </c>
      <c r="AL18" s="457">
        <f>(AM18*1000)/$E$18</f>
        <v>3.5999999999999996</v>
      </c>
      <c r="AM18" s="456">
        <v>6</v>
      </c>
      <c r="AO18" s="47"/>
      <c r="AP18" s="54">
        <v>13</v>
      </c>
      <c r="AQ18" s="447" t="str">
        <f>O90</f>
        <v>Nitrato de Amônio</v>
      </c>
      <c r="AR18" s="447"/>
      <c r="AS18" s="55">
        <f>IFERROR((VLOOKUP(AQ18,$V$100:$AB$179,3,0)*0.01)*AV18,0)</f>
        <v>168</v>
      </c>
      <c r="AT18" s="55">
        <f>IFERROR((VLOOKUP(AQ18,$V$100:$AB$179,5,0)*0.01)*AV18,0)</f>
        <v>0</v>
      </c>
      <c r="AU18" s="55">
        <f>IFERROR((VLOOKUP(AQ18,$V$100:$AB$179,7,0)*0.01)*AV18,0)</f>
        <v>0</v>
      </c>
      <c r="AV18" s="55">
        <f>IFERROR($AS$17*Q90/(VLOOKUP(AQ18,$V$100:$AB$179,3,0)/100),0)</f>
        <v>579.31034482758628</v>
      </c>
      <c r="AW18" s="47"/>
      <c r="AX18" s="47"/>
      <c r="AY18" s="47"/>
      <c r="AZ18" s="47"/>
      <c r="BA18" s="47"/>
      <c r="BB18" s="47"/>
    </row>
    <row r="19" spans="2:54" ht="20.25" customHeight="1" x14ac:dyDescent="0.25">
      <c r="M19" s="364"/>
      <c r="N19" s="453"/>
      <c r="O19" s="51" t="s">
        <v>18</v>
      </c>
      <c r="P19" s="32">
        <v>20.100000000000001</v>
      </c>
      <c r="Q19" s="51" t="s">
        <v>12</v>
      </c>
      <c r="R19" s="53"/>
      <c r="S19" s="61"/>
      <c r="X19" s="94"/>
      <c r="Y19" s="76">
        <v>0.8</v>
      </c>
      <c r="AC19" s="25"/>
      <c r="AD19" s="25"/>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57.00636942675159</v>
      </c>
      <c r="H20" s="63" t="s">
        <v>52</v>
      </c>
      <c r="I20" s="60">
        <f>P21</f>
        <v>47.5</v>
      </c>
      <c r="M20" s="364"/>
      <c r="N20" s="453"/>
      <c r="O20" s="51" t="s">
        <v>19</v>
      </c>
      <c r="P20" s="56">
        <v>27.5</v>
      </c>
      <c r="Q20" s="57" t="s">
        <v>23</v>
      </c>
      <c r="R20" s="53"/>
      <c r="U20" s="25"/>
      <c r="V20" s="25"/>
      <c r="W20" s="25"/>
      <c r="X20" s="25"/>
      <c r="Y20" s="76">
        <v>0.9</v>
      </c>
      <c r="AC20" s="25"/>
      <c r="AD20" s="25"/>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X21" s="25"/>
      <c r="Y21" s="76">
        <v>1</v>
      </c>
      <c r="AB21" s="25"/>
      <c r="AC21" s="25"/>
      <c r="AD21" s="25"/>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2</v>
      </c>
      <c r="D22" s="63" t="s">
        <v>79</v>
      </c>
      <c r="E22" s="63">
        <f>P13</f>
        <v>9</v>
      </c>
      <c r="F22" s="63" t="s">
        <v>84</v>
      </c>
      <c r="G22" s="63">
        <f>P14</f>
        <v>0.04</v>
      </c>
      <c r="H22" s="63" t="s">
        <v>86</v>
      </c>
      <c r="I22" s="63">
        <f>P19</f>
        <v>20.100000000000001</v>
      </c>
      <c r="M22" s="364"/>
      <c r="N22" s="453"/>
      <c r="O22" s="51" t="s">
        <v>20</v>
      </c>
      <c r="P22" s="56">
        <v>25</v>
      </c>
      <c r="Q22" s="57" t="s">
        <v>23</v>
      </c>
      <c r="R22" s="53"/>
      <c r="X22" s="25"/>
      <c r="Y22" s="25"/>
      <c r="Z22" s="25"/>
      <c r="AA22" s="25"/>
      <c r="AB22" s="25"/>
      <c r="AC22" s="25"/>
      <c r="AD22" s="25"/>
      <c r="AO22" s="47"/>
      <c r="AP22" s="47"/>
      <c r="AQ22" s="47"/>
      <c r="AR22" s="47"/>
      <c r="AS22" s="47"/>
      <c r="AT22" s="47"/>
      <c r="AU22" s="47"/>
      <c r="AV22" s="47"/>
      <c r="AW22" s="47"/>
      <c r="AX22" s="47"/>
      <c r="AY22" s="47"/>
      <c r="AZ22" s="47"/>
      <c r="BA22" s="47"/>
      <c r="BB22" s="47"/>
    </row>
    <row r="23" spans="2:54" ht="20.25" customHeight="1" x14ac:dyDescent="0.25">
      <c r="B23" s="64" t="s">
        <v>82</v>
      </c>
      <c r="C23" s="65">
        <f>P7</f>
        <v>1</v>
      </c>
      <c r="D23" s="63" t="s">
        <v>129</v>
      </c>
      <c r="E23" s="63">
        <f>P11</f>
        <v>2.7</v>
      </c>
      <c r="F23" s="63" t="s">
        <v>87</v>
      </c>
      <c r="G23" s="63">
        <f>P16</f>
        <v>4</v>
      </c>
      <c r="H23" s="63" t="s">
        <v>83</v>
      </c>
      <c r="I23" s="63">
        <f>P15</f>
        <v>20</v>
      </c>
      <c r="J23" s="66"/>
      <c r="M23" s="364"/>
      <c r="N23" s="453"/>
      <c r="O23" s="51" t="s">
        <v>21</v>
      </c>
      <c r="P23" s="32">
        <v>47.6</v>
      </c>
      <c r="Q23" s="51" t="s">
        <v>10</v>
      </c>
      <c r="R23" s="53"/>
      <c r="U23" s="25"/>
      <c r="V23" s="25"/>
      <c r="W23" s="25"/>
      <c r="X23" s="25"/>
      <c r="Y23" s="25"/>
      <c r="Z23" s="25"/>
      <c r="AA23" s="25"/>
      <c r="AB23" s="25"/>
      <c r="AC23" s="25"/>
      <c r="AD23" s="25"/>
      <c r="AO23" s="47"/>
      <c r="AP23" s="47"/>
      <c r="AQ23" s="47"/>
      <c r="AR23" s="47"/>
      <c r="AS23" s="47"/>
      <c r="AT23" s="47"/>
      <c r="AU23" s="47"/>
      <c r="AV23" s="47"/>
      <c r="AW23" s="47"/>
      <c r="AX23" s="47"/>
      <c r="AY23" s="47"/>
      <c r="AZ23" s="47"/>
      <c r="BA23" s="47"/>
      <c r="BB23" s="47"/>
    </row>
    <row r="24" spans="2:54" ht="20.25" customHeight="1" x14ac:dyDescent="0.25">
      <c r="B24" s="64" t="s">
        <v>80</v>
      </c>
      <c r="C24" s="65">
        <f>P8</f>
        <v>0.14000000000000001</v>
      </c>
      <c r="D24" s="63" t="s">
        <v>130</v>
      </c>
      <c r="E24" s="63">
        <f>P10</f>
        <v>0.1</v>
      </c>
      <c r="F24" s="63" t="s">
        <v>89</v>
      </c>
      <c r="G24" s="63">
        <f>P17</f>
        <v>58.4</v>
      </c>
      <c r="H24" s="63" t="s">
        <v>131</v>
      </c>
      <c r="I24" s="63">
        <f>P25</f>
        <v>6.28</v>
      </c>
      <c r="J24" s="66"/>
      <c r="M24" s="364"/>
      <c r="N24" s="453"/>
      <c r="O24" s="51" t="s">
        <v>22</v>
      </c>
      <c r="P24" s="63">
        <f>100*(P6+P7+P8+P9)/P25</f>
        <v>57.00636942675159</v>
      </c>
      <c r="Q24" s="51" t="s">
        <v>23</v>
      </c>
      <c r="R24" s="53"/>
      <c r="AO24" s="47"/>
      <c r="AP24" s="47"/>
      <c r="AQ24" s="47"/>
      <c r="AR24" s="47"/>
      <c r="AS24" s="59">
        <f>AS26-(SUM(AS27:AS36))</f>
        <v>1.1996234482758621</v>
      </c>
      <c r="AT24" s="59">
        <f t="shared" ref="AT24:AV24" si="3">AT26-(SUM(AT27:AT36))</f>
        <v>-3.7655172413793102E-4</v>
      </c>
      <c r="AU24" s="59">
        <f t="shared" si="3"/>
        <v>-7.2413793103448293E-4</v>
      </c>
      <c r="AV24" s="59">
        <f t="shared" si="3"/>
        <v>-8.1103448275862081E-5</v>
      </c>
      <c r="AW24" s="47"/>
      <c r="AX24" s="47"/>
      <c r="AY24" s="47"/>
      <c r="AZ24" s="47"/>
      <c r="BA24" s="47"/>
      <c r="BB24" s="47"/>
    </row>
    <row r="25" spans="2:54" ht="20.25" customHeight="1" thickBot="1" x14ac:dyDescent="0.3">
      <c r="J25" s="66"/>
      <c r="M25" s="364"/>
      <c r="N25" s="453"/>
      <c r="O25" s="51" t="s">
        <v>24</v>
      </c>
      <c r="P25" s="67">
        <f>(P6+P7+P8+P9+P11)</f>
        <v>6.28</v>
      </c>
      <c r="Q25" s="51" t="s">
        <v>55</v>
      </c>
      <c r="R25" s="53"/>
      <c r="U25" s="458" t="s">
        <v>65</v>
      </c>
      <c r="V25" s="458"/>
      <c r="X25" s="457" t="s">
        <v>507</v>
      </c>
      <c r="Y25" s="457"/>
      <c r="AE25" s="457" t="s">
        <v>508</v>
      </c>
      <c r="AF25" s="457"/>
      <c r="AG25" s="457"/>
      <c r="AH25" s="457"/>
      <c r="AJ25" s="457" t="s">
        <v>509</v>
      </c>
      <c r="AK25" s="457"/>
      <c r="AL25" s="457"/>
      <c r="AM25" s="457"/>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78" t="s">
        <v>33</v>
      </c>
      <c r="V26" s="78">
        <f>VLOOKUP($P$39,$X$27:$Y$29,2,0)/$E$18</f>
        <v>168</v>
      </c>
      <c r="W26" s="25"/>
      <c r="X26" s="51" t="s">
        <v>32</v>
      </c>
      <c r="Y26" s="51" t="s">
        <v>512</v>
      </c>
      <c r="AE26" s="51" t="s">
        <v>32</v>
      </c>
      <c r="AF26" s="51" t="s">
        <v>75</v>
      </c>
      <c r="AG26" s="51" t="s">
        <v>71</v>
      </c>
      <c r="AH26" s="51" t="s">
        <v>513</v>
      </c>
      <c r="AJ26" s="51" t="s">
        <v>32</v>
      </c>
      <c r="AK26" s="51" t="s">
        <v>75</v>
      </c>
      <c r="AL26" s="51" t="s">
        <v>71</v>
      </c>
      <c r="AM26" s="51" t="s">
        <v>514</v>
      </c>
      <c r="AO26" s="47"/>
      <c r="AP26" s="461"/>
      <c r="AQ26" s="461"/>
      <c r="AR26" s="461"/>
      <c r="AS26" s="72">
        <f>AK9</f>
        <v>1.2</v>
      </c>
      <c r="AT26" s="72">
        <f>AK12</f>
        <v>0</v>
      </c>
      <c r="AU26" s="72">
        <f>AK15</f>
        <v>0</v>
      </c>
      <c r="AV26" s="72">
        <f>AK18</f>
        <v>0</v>
      </c>
      <c r="AW26" s="47"/>
      <c r="AX26" s="47"/>
      <c r="AY26" s="47"/>
      <c r="AZ26" s="47"/>
      <c r="BA26" s="47"/>
      <c r="BB26" s="47"/>
    </row>
    <row r="27" spans="2:54" ht="20.25" customHeight="1" thickBot="1" x14ac:dyDescent="0.3">
      <c r="B27" s="488" t="str">
        <f>IF($O$47&gt;0,$O$47,"-")</f>
        <v>BRICCAL Calcítico</v>
      </c>
      <c r="C27" s="488"/>
      <c r="D27" s="73">
        <f>IF(J27&gt;0,J27,"-")</f>
        <v>0.50847457627118664</v>
      </c>
      <c r="E27" s="365" t="str">
        <f>IF(J27&gt;0,"toneladas por hectare ou,","-")</f>
        <v>toneladas por hectare ou,</v>
      </c>
      <c r="F27" s="365"/>
      <c r="G27" s="365"/>
      <c r="H27" s="365"/>
      <c r="I27" s="365"/>
      <c r="J27" s="74">
        <f>V51</f>
        <v>0.50847457627118664</v>
      </c>
      <c r="U27" s="78" t="s">
        <v>66</v>
      </c>
      <c r="V27" s="78">
        <f>VLOOKUP(U32,AG27:AH35,2,0)/$E$18</f>
        <v>102</v>
      </c>
      <c r="W27" s="25"/>
      <c r="X27" s="75" t="s">
        <v>560</v>
      </c>
      <c r="Y27" s="75">
        <v>200000</v>
      </c>
      <c r="AE27" s="75" t="s">
        <v>560</v>
      </c>
      <c r="AF27" s="75" t="s">
        <v>68</v>
      </c>
      <c r="AG27" s="75" t="str">
        <f>CONCATENATE(AE27," - ",AF27)</f>
        <v>30-50 - baixo</v>
      </c>
      <c r="AH27" s="75">
        <v>130000</v>
      </c>
      <c r="AJ27" s="75" t="s">
        <v>560</v>
      </c>
      <c r="AK27" s="75" t="s">
        <v>68</v>
      </c>
      <c r="AL27" s="75" t="str">
        <f t="shared" ref="AL27:AL35" si="4">CONCATENATE(AJ27," - ",AK27)</f>
        <v>30-50 - baixo</v>
      </c>
      <c r="AM27" s="75">
        <v>240000</v>
      </c>
      <c r="AO27" s="47"/>
      <c r="AP27" s="447" t="s">
        <v>261</v>
      </c>
      <c r="AQ27" s="447" t="str">
        <f>B29</f>
        <v>Remax Mistel (61) 99414-1975</v>
      </c>
      <c r="AR27" s="447"/>
      <c r="AS27" s="55">
        <f t="shared" ref="AS27:AS36" si="5">IFERROR(VLOOKUP(AQ27,$V$100:$AL$179,11,0)*0.01*VLOOKUP(AQ27,$B$27:$J$47,9,0),0)</f>
        <v>0</v>
      </c>
      <c r="AT27" s="55">
        <f t="shared" ref="AT27:AT36" si="6">IFERROR(VLOOKUP(AQ27,$V$100:$AL$179,12,0)*0.01*VLOOKUP(AQ27,$B$27:$J$47,9,0),0)</f>
        <v>0</v>
      </c>
      <c r="AU27" s="55">
        <f t="shared" ref="AU27:AU36" si="7">IFERROR(VLOOKUP(AQ27,$V$100:$AL$179,13,0)*0.01*VLOOKUP(AQ27,$B$27:$J$47,9,0),0)</f>
        <v>0</v>
      </c>
      <c r="AV27" s="55">
        <f t="shared" ref="AV27:AV36" si="8">IFERROR(VLOOKUP(AQ27,$V$100:$AL$179,14,0)*0.01*VLOOKUP(AQ27,$B$27:$J$47,9,0),0)</f>
        <v>0</v>
      </c>
      <c r="AW27" s="47"/>
      <c r="AX27" s="47"/>
      <c r="AY27" s="47"/>
      <c r="AZ27" s="47"/>
      <c r="BA27" s="47"/>
      <c r="BB27" s="47"/>
    </row>
    <row r="28" spans="2:54" ht="20.25" customHeight="1" x14ac:dyDescent="0.25">
      <c r="B28" s="488"/>
      <c r="C28" s="488"/>
      <c r="D28" s="73">
        <f>IF(J28&gt;0,J28,"-")</f>
        <v>5.0847457627118661E-2</v>
      </c>
      <c r="E28" s="365" t="str">
        <f>IF(J28&gt;0,"quilos por metro quadrado","-")</f>
        <v>quilos por metro quadrado</v>
      </c>
      <c r="F28" s="365"/>
      <c r="G28" s="365"/>
      <c r="H28" s="365"/>
      <c r="I28" s="365"/>
      <c r="J28" s="74">
        <f>J27/10</f>
        <v>5.0847457627118661E-2</v>
      </c>
      <c r="M28" s="48"/>
      <c r="N28" s="49"/>
      <c r="O28" s="49"/>
      <c r="P28" s="49"/>
      <c r="Q28" s="49"/>
      <c r="R28" s="50"/>
      <c r="U28" s="78" t="s">
        <v>67</v>
      </c>
      <c r="V28" s="78">
        <f>VLOOKUP($U$35,AL27:AM35,2,0)/$E$18</f>
        <v>192</v>
      </c>
      <c r="W28" s="25"/>
      <c r="X28" s="75" t="s">
        <v>561</v>
      </c>
      <c r="Y28" s="75">
        <v>240000</v>
      </c>
      <c r="AE28" s="75" t="s">
        <v>560</v>
      </c>
      <c r="AF28" s="75" t="s">
        <v>70</v>
      </c>
      <c r="AG28" s="75" t="str">
        <f t="shared" ref="AG28:AG35" si="9">CONCATENATE(AE28," - ",AF28)</f>
        <v>30-50 - adequado</v>
      </c>
      <c r="AH28" s="75">
        <v>80000</v>
      </c>
      <c r="AJ28" s="75" t="s">
        <v>560</v>
      </c>
      <c r="AK28" s="75" t="s">
        <v>70</v>
      </c>
      <c r="AL28" s="75" t="str">
        <f t="shared" si="4"/>
        <v>30-50 - adequado</v>
      </c>
      <c r="AM28" s="75">
        <v>160000</v>
      </c>
      <c r="AO28" s="47"/>
      <c r="AP28" s="447"/>
      <c r="AQ28" s="447" t="str">
        <f t="shared" ref="AQ28:AQ36" si="10">B41</f>
        <v>Termofosfato YOORIN</v>
      </c>
      <c r="AR28" s="447"/>
      <c r="AS28" s="55">
        <f t="shared" si="5"/>
        <v>0</v>
      </c>
      <c r="AT28" s="55">
        <f t="shared" si="6"/>
        <v>0</v>
      </c>
      <c r="AU28" s="55">
        <f t="shared" si="7"/>
        <v>0</v>
      </c>
      <c r="AV28" s="55">
        <f t="shared" si="8"/>
        <v>0</v>
      </c>
      <c r="AW28" s="47"/>
      <c r="AX28" s="47"/>
      <c r="AY28" s="47"/>
      <c r="AZ28" s="47"/>
      <c r="BA28" s="47"/>
      <c r="BB28" s="47"/>
    </row>
    <row r="29" spans="2:54" ht="20.25" customHeight="1" x14ac:dyDescent="0.25">
      <c r="B29" s="488" t="str">
        <f>IF($O$50&gt;0,$O$50,"-")</f>
        <v>Remax Mistel (61) 99414-1975</v>
      </c>
      <c r="C29" s="488"/>
      <c r="D29" s="73">
        <f>IF(J29&gt;0,J29,"-")</f>
        <v>0.98220723286630063</v>
      </c>
      <c r="E29" s="365" t="str">
        <f>IF(J29&gt;0,"toneladas por hectare ou,","-")</f>
        <v>toneladas por hectare ou,</v>
      </c>
      <c r="F29" s="365"/>
      <c r="G29" s="365"/>
      <c r="H29" s="365"/>
      <c r="I29" s="365"/>
      <c r="J29" s="74">
        <f>Z49</f>
        <v>0.98220723286630063</v>
      </c>
      <c r="M29" s="364" t="s">
        <v>211</v>
      </c>
      <c r="N29" s="453"/>
      <c r="O29" s="473" t="s">
        <v>197</v>
      </c>
      <c r="P29" s="474"/>
      <c r="Q29" s="475"/>
      <c r="R29" s="53"/>
      <c r="W29" s="25"/>
      <c r="X29" s="75" t="s">
        <v>562</v>
      </c>
      <c r="Y29" s="75">
        <v>280000</v>
      </c>
      <c r="AE29" s="75" t="s">
        <v>560</v>
      </c>
      <c r="AF29" s="75" t="s">
        <v>331</v>
      </c>
      <c r="AG29" s="75" t="str">
        <f t="shared" si="9"/>
        <v>30-50 - alto</v>
      </c>
      <c r="AH29" s="75">
        <v>40000</v>
      </c>
      <c r="AJ29" s="75" t="s">
        <v>560</v>
      </c>
      <c r="AK29" s="75" t="s">
        <v>331</v>
      </c>
      <c r="AL29" s="75" t="str">
        <f t="shared" si="4"/>
        <v>30-50 - alto</v>
      </c>
      <c r="AM29" s="75">
        <v>80000</v>
      </c>
      <c r="AO29" s="47"/>
      <c r="AP29" s="447"/>
      <c r="AQ29" s="447" t="str">
        <f t="shared" si="10"/>
        <v>Superfosfato simples</v>
      </c>
      <c r="AR29" s="447"/>
      <c r="AS29" s="55">
        <f t="shared" si="5"/>
        <v>0</v>
      </c>
      <c r="AT29" s="55">
        <f t="shared" si="6"/>
        <v>0</v>
      </c>
      <c r="AU29" s="55">
        <f t="shared" si="7"/>
        <v>0</v>
      </c>
      <c r="AV29" s="55">
        <f t="shared" si="8"/>
        <v>0</v>
      </c>
      <c r="AW29" s="47"/>
      <c r="AX29" s="47"/>
      <c r="AY29" s="47"/>
      <c r="AZ29" s="47"/>
      <c r="BA29" s="47"/>
      <c r="BB29" s="47"/>
    </row>
    <row r="30" spans="2:54" ht="20.25" customHeight="1" x14ac:dyDescent="0.25">
      <c r="B30" s="488"/>
      <c r="C30" s="488"/>
      <c r="D30" s="73">
        <f>IF(J30&gt;0,J30,"-")</f>
        <v>9.8220723286630063E-2</v>
      </c>
      <c r="E30" s="365" t="str">
        <f>IF(J30&gt;0,"quilos por metro quadrado","-")</f>
        <v>quilos por metro quadrado</v>
      </c>
      <c r="F30" s="365"/>
      <c r="G30" s="365"/>
      <c r="H30" s="365"/>
      <c r="I30" s="365"/>
      <c r="J30" s="74">
        <f>J29/10</f>
        <v>9.8220723286630063E-2</v>
      </c>
      <c r="M30" s="364"/>
      <c r="N30" s="453"/>
      <c r="O30" s="32"/>
      <c r="P30" s="77" t="s">
        <v>200</v>
      </c>
      <c r="Q30" s="32"/>
      <c r="R30" s="53"/>
      <c r="W30" s="25"/>
      <c r="AE30" s="75" t="s">
        <v>561</v>
      </c>
      <c r="AF30" s="75" t="s">
        <v>68</v>
      </c>
      <c r="AG30" s="75" t="str">
        <f t="shared" si="9"/>
        <v>50-70 - baixo</v>
      </c>
      <c r="AH30" s="75">
        <v>150000</v>
      </c>
      <c r="AJ30" s="75" t="s">
        <v>561</v>
      </c>
      <c r="AK30" s="75" t="s">
        <v>68</v>
      </c>
      <c r="AL30" s="75" t="str">
        <f t="shared" si="4"/>
        <v>50-70 - baixo</v>
      </c>
      <c r="AM30" s="75">
        <v>280000</v>
      </c>
      <c r="AO30" s="47"/>
      <c r="AP30" s="447"/>
      <c r="AQ30" s="447" t="str">
        <f t="shared" si="10"/>
        <v>-</v>
      </c>
      <c r="AR30" s="447"/>
      <c r="AS30" s="55">
        <f t="shared" si="5"/>
        <v>0</v>
      </c>
      <c r="AT30" s="55">
        <f t="shared" si="6"/>
        <v>0</v>
      </c>
      <c r="AU30" s="55">
        <f t="shared" si="7"/>
        <v>0</v>
      </c>
      <c r="AV30" s="55">
        <f t="shared" si="8"/>
        <v>0</v>
      </c>
      <c r="AW30" s="47"/>
      <c r="AX30" s="47"/>
      <c r="AY30" s="47"/>
      <c r="AZ30" s="47"/>
      <c r="BA30" s="47"/>
      <c r="BB30" s="47"/>
    </row>
    <row r="31" spans="2:54" ht="20.25" customHeight="1" x14ac:dyDescent="0.25">
      <c r="B31" s="514" t="s">
        <v>533</v>
      </c>
      <c r="C31" s="514"/>
      <c r="D31" s="514"/>
      <c r="E31" s="514"/>
      <c r="F31" s="514"/>
      <c r="G31" s="514"/>
      <c r="H31" s="514"/>
      <c r="I31" s="514"/>
      <c r="J31" s="74"/>
      <c r="M31" s="364"/>
      <c r="N31" s="453"/>
      <c r="O31" s="473" t="s">
        <v>519</v>
      </c>
      <c r="P31" s="474"/>
      <c r="Q31" s="475"/>
      <c r="R31" s="53"/>
      <c r="U31" s="457" t="s">
        <v>72</v>
      </c>
      <c r="V31" s="457"/>
      <c r="W31" s="25"/>
      <c r="AE31" s="75" t="s">
        <v>561</v>
      </c>
      <c r="AF31" s="75" t="s">
        <v>70</v>
      </c>
      <c r="AG31" s="75" t="str">
        <f t="shared" si="9"/>
        <v>50-70 - adequado</v>
      </c>
      <c r="AH31" s="75">
        <v>100000</v>
      </c>
      <c r="AJ31" s="75" t="s">
        <v>561</v>
      </c>
      <c r="AK31" s="75" t="s">
        <v>70</v>
      </c>
      <c r="AL31" s="75" t="str">
        <f t="shared" si="4"/>
        <v>50-70 - adequado</v>
      </c>
      <c r="AM31" s="75">
        <v>190000</v>
      </c>
      <c r="AO31" s="47"/>
      <c r="AP31" s="447"/>
      <c r="AQ31" s="447" t="str">
        <f t="shared" si="10"/>
        <v>Cloreto de potássio</v>
      </c>
      <c r="AR31" s="447"/>
      <c r="AS31" s="55">
        <f t="shared" si="5"/>
        <v>0</v>
      </c>
      <c r="AT31" s="55">
        <f t="shared" si="6"/>
        <v>0</v>
      </c>
      <c r="AU31" s="55">
        <f t="shared" si="7"/>
        <v>0</v>
      </c>
      <c r="AV31" s="55">
        <f t="shared" si="8"/>
        <v>0</v>
      </c>
      <c r="AW31" s="47"/>
      <c r="AX31" s="47"/>
      <c r="AY31" s="47"/>
      <c r="AZ31" s="47"/>
      <c r="BA31" s="47"/>
      <c r="BB31" s="47"/>
    </row>
    <row r="32" spans="2:54" ht="20.25" customHeight="1" x14ac:dyDescent="0.25">
      <c r="B32" s="514"/>
      <c r="C32" s="514"/>
      <c r="D32" s="514"/>
      <c r="E32" s="514"/>
      <c r="F32" s="514"/>
      <c r="G32" s="514"/>
      <c r="H32" s="514"/>
      <c r="I32" s="514"/>
      <c r="J32" s="74"/>
      <c r="M32" s="364"/>
      <c r="N32" s="453"/>
      <c r="O32" s="32">
        <v>2</v>
      </c>
      <c r="P32" s="32">
        <v>2</v>
      </c>
      <c r="Q32" s="32">
        <v>4</v>
      </c>
      <c r="R32" s="53"/>
      <c r="U32" s="457" t="str">
        <f>CONCATENATE($P$39," - ",$W$8)</f>
        <v>&gt;70 - baixo</v>
      </c>
      <c r="V32" s="457"/>
      <c r="W32" s="25"/>
      <c r="AE32" s="75" t="s">
        <v>561</v>
      </c>
      <c r="AF32" s="75" t="s">
        <v>331</v>
      </c>
      <c r="AG32" s="75" t="str">
        <f t="shared" si="9"/>
        <v>50-70 - alto</v>
      </c>
      <c r="AH32" s="75">
        <v>50000</v>
      </c>
      <c r="AJ32" s="75" t="s">
        <v>561</v>
      </c>
      <c r="AK32" s="75" t="s">
        <v>331</v>
      </c>
      <c r="AL32" s="75" t="str">
        <f t="shared" si="4"/>
        <v>50-70 - alto</v>
      </c>
      <c r="AM32" s="75">
        <v>95000</v>
      </c>
      <c r="AO32" s="47"/>
      <c r="AP32" s="447"/>
      <c r="AQ32" s="447" t="str">
        <f t="shared" si="10"/>
        <v>EkoSil</v>
      </c>
      <c r="AR32" s="447"/>
      <c r="AS32" s="55">
        <f t="shared" si="5"/>
        <v>3.7655172413793102E-4</v>
      </c>
      <c r="AT32" s="55">
        <f t="shared" si="6"/>
        <v>3.7655172413793102E-4</v>
      </c>
      <c r="AU32" s="55">
        <f t="shared" si="7"/>
        <v>7.2413793103448293E-4</v>
      </c>
      <c r="AV32" s="55">
        <f t="shared" si="8"/>
        <v>8.1103448275862081E-5</v>
      </c>
      <c r="AW32" s="47"/>
      <c r="AX32" s="47"/>
      <c r="AY32" s="47"/>
      <c r="AZ32" s="47"/>
      <c r="BA32" s="47"/>
      <c r="BB32" s="47"/>
    </row>
    <row r="33" spans="2:57" ht="20.25" customHeight="1" thickBot="1" x14ac:dyDescent="0.3">
      <c r="B33" s="515"/>
      <c r="C33" s="515"/>
      <c r="D33" s="515"/>
      <c r="E33" s="515"/>
      <c r="F33" s="515"/>
      <c r="G33" s="515"/>
      <c r="H33" s="515"/>
      <c r="I33" s="515"/>
      <c r="J33" s="74"/>
      <c r="M33" s="364"/>
      <c r="N33" s="453"/>
      <c r="O33" s="473" t="s">
        <v>282</v>
      </c>
      <c r="P33" s="474"/>
      <c r="Q33" s="475"/>
      <c r="R33" s="53"/>
      <c r="W33" s="25"/>
      <c r="AE33" s="75" t="s">
        <v>562</v>
      </c>
      <c r="AF33" s="75" t="s">
        <v>68</v>
      </c>
      <c r="AG33" s="75" t="str">
        <f t="shared" si="9"/>
        <v>&gt;70 - baixo</v>
      </c>
      <c r="AH33" s="75">
        <v>170000</v>
      </c>
      <c r="AJ33" s="75" t="s">
        <v>562</v>
      </c>
      <c r="AK33" s="75" t="s">
        <v>68</v>
      </c>
      <c r="AL33" s="75" t="str">
        <f t="shared" si="4"/>
        <v>&gt;70 - baixo</v>
      </c>
      <c r="AM33" s="75">
        <v>320000</v>
      </c>
      <c r="AO33" s="47"/>
      <c r="AP33" s="447"/>
      <c r="AQ33" s="447" t="str">
        <f t="shared" si="10"/>
        <v>-</v>
      </c>
      <c r="AR33" s="447"/>
      <c r="AS33" s="55">
        <f t="shared" si="5"/>
        <v>0</v>
      </c>
      <c r="AT33" s="55">
        <f t="shared" si="6"/>
        <v>0</v>
      </c>
      <c r="AU33" s="55">
        <f t="shared" si="7"/>
        <v>0</v>
      </c>
      <c r="AV33" s="55">
        <f t="shared" si="8"/>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364"/>
      <c r="N34" s="453"/>
      <c r="O34" s="448">
        <v>1</v>
      </c>
      <c r="P34" s="448"/>
      <c r="Q34" s="448"/>
      <c r="R34" s="53"/>
      <c r="U34" s="457" t="s">
        <v>73</v>
      </c>
      <c r="V34" s="457"/>
      <c r="W34" s="25"/>
      <c r="AE34" s="75" t="s">
        <v>562</v>
      </c>
      <c r="AF34" s="75" t="s">
        <v>70</v>
      </c>
      <c r="AG34" s="75" t="str">
        <f t="shared" si="9"/>
        <v>&gt;70 - adequado</v>
      </c>
      <c r="AH34" s="75">
        <v>120000</v>
      </c>
      <c r="AJ34" s="75" t="s">
        <v>562</v>
      </c>
      <c r="AK34" s="75" t="s">
        <v>70</v>
      </c>
      <c r="AL34" s="75" t="str">
        <f t="shared" si="4"/>
        <v>&gt;70 - adequado</v>
      </c>
      <c r="AM34" s="75">
        <v>220000</v>
      </c>
      <c r="AO34" s="47"/>
      <c r="AP34" s="447"/>
      <c r="AQ34" s="447" t="str">
        <f t="shared" si="10"/>
        <v>Nitrato de Amônio</v>
      </c>
      <c r="AR34" s="447"/>
      <c r="AS34" s="55">
        <f t="shared" si="5"/>
        <v>0</v>
      </c>
      <c r="AT34" s="55">
        <f t="shared" si="6"/>
        <v>0</v>
      </c>
      <c r="AU34" s="55">
        <f t="shared" si="7"/>
        <v>0</v>
      </c>
      <c r="AV34" s="55">
        <f t="shared" si="8"/>
        <v>0</v>
      </c>
      <c r="AW34" s="47"/>
      <c r="AX34" s="47"/>
      <c r="AY34" s="47"/>
      <c r="AZ34" s="47"/>
      <c r="BA34" s="47"/>
      <c r="BB34" s="47"/>
    </row>
    <row r="35" spans="2:57" ht="20.25" customHeight="1" thickBot="1" x14ac:dyDescent="0.3">
      <c r="B35" s="488" t="str">
        <f>IF($O$55&gt;0,$O$55,"-")</f>
        <v>Gesso Agronelli</v>
      </c>
      <c r="C35" s="488"/>
      <c r="D35" s="73">
        <f>IF(J34&gt;0,J34,"-")</f>
        <v>356.25</v>
      </c>
      <c r="E35" s="365" t="str">
        <f>IF(J34&gt;0,"quilos por hectare ou,","-")</f>
        <v>quilos por hectare ou,</v>
      </c>
      <c r="F35" s="365"/>
      <c r="G35" s="365"/>
      <c r="H35" s="365"/>
      <c r="I35" s="365"/>
      <c r="J35" s="81">
        <f>J34/10</f>
        <v>35.625</v>
      </c>
      <c r="M35" s="69"/>
      <c r="N35" s="70"/>
      <c r="O35" s="70"/>
      <c r="P35" s="83" t="e">
        <f>10000/($O$30*$Q$30)</f>
        <v>#DIV/0!</v>
      </c>
      <c r="Q35" s="83">
        <f>10000/(((P32+Q32)/2)*O32)</f>
        <v>1666.6666666666667</v>
      </c>
      <c r="R35" s="71"/>
      <c r="U35" s="457" t="str">
        <f>CONCATENATE($P$39," - ",$W$16)</f>
        <v>&gt;70 - baixo</v>
      </c>
      <c r="V35" s="457"/>
      <c r="W35" s="25"/>
      <c r="AE35" s="75" t="s">
        <v>562</v>
      </c>
      <c r="AF35" s="75" t="s">
        <v>331</v>
      </c>
      <c r="AG35" s="75" t="str">
        <f t="shared" si="9"/>
        <v>&gt;70 - alto</v>
      </c>
      <c r="AH35" s="75">
        <v>60000</v>
      </c>
      <c r="AJ35" s="75" t="s">
        <v>562</v>
      </c>
      <c r="AK35" s="75" t="s">
        <v>331</v>
      </c>
      <c r="AL35" s="75" t="str">
        <f t="shared" si="4"/>
        <v>&gt;70 - alto</v>
      </c>
      <c r="AM35" s="75">
        <v>110000</v>
      </c>
      <c r="AO35" s="47"/>
      <c r="AP35" s="447"/>
      <c r="AQ35" s="447" t="str">
        <f t="shared" si="10"/>
        <v>-</v>
      </c>
      <c r="AR35" s="447"/>
      <c r="AS35" s="55">
        <f t="shared" si="5"/>
        <v>0</v>
      </c>
      <c r="AT35" s="55">
        <f t="shared" si="6"/>
        <v>0</v>
      </c>
      <c r="AU35" s="55">
        <f t="shared" si="7"/>
        <v>0</v>
      </c>
      <c r="AV35" s="55">
        <f t="shared" si="8"/>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25"/>
      <c r="V36" s="25"/>
      <c r="W36" s="25"/>
      <c r="AO36" s="47"/>
      <c r="AP36" s="447"/>
      <c r="AQ36" s="447" t="str">
        <f t="shared" si="10"/>
        <v>-</v>
      </c>
      <c r="AR36" s="447"/>
      <c r="AS36" s="55">
        <f t="shared" si="5"/>
        <v>0</v>
      </c>
      <c r="AT36" s="55">
        <f t="shared" si="6"/>
        <v>0</v>
      </c>
      <c r="AU36" s="55">
        <f t="shared" si="7"/>
        <v>0</v>
      </c>
      <c r="AV36" s="55">
        <f t="shared" si="8"/>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AO37" s="85"/>
      <c r="AP37" s="85"/>
      <c r="AQ37" s="85"/>
      <c r="AR37" s="85"/>
      <c r="AS37" s="59">
        <f>IF(AS24&gt;0,AS24,0)</f>
        <v>1.1996234482758621</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301</v>
      </c>
      <c r="P38" s="489"/>
      <c r="Q38" s="489"/>
      <c r="R38" s="53"/>
      <c r="U38" s="51" t="s">
        <v>63</v>
      </c>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291.42857142857144</v>
      </c>
      <c r="M39" s="364"/>
      <c r="N39" s="365"/>
      <c r="O39" s="51" t="s">
        <v>303</v>
      </c>
      <c r="P39" s="448" t="s">
        <v>562</v>
      </c>
      <c r="Q39" s="448"/>
      <c r="R39" s="53"/>
      <c r="U39" s="51" t="s">
        <v>32</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t="str">
        <f>IF(AQ59&gt;0,AQ59,"-")</f>
        <v>-</v>
      </c>
      <c r="E40" s="362" t="str">
        <f>IF(AQ59&gt;0,"quilos por cova ou planta","-")</f>
        <v>-</v>
      </c>
      <c r="F40" s="362"/>
      <c r="G40" s="362"/>
      <c r="H40" s="362"/>
      <c r="I40" s="362"/>
      <c r="J40" s="81">
        <f>AV7</f>
        <v>283.33333333333337</v>
      </c>
      <c r="M40" s="364"/>
      <c r="N40" s="365"/>
      <c r="O40" s="25"/>
      <c r="P40" s="25"/>
      <c r="Q40" s="25"/>
      <c r="R40" s="53"/>
      <c r="U40" s="51" t="s">
        <v>34</v>
      </c>
      <c r="AO40" s="47"/>
      <c r="AP40" s="447" t="str">
        <f>O105</f>
        <v>Ácido Bórico</v>
      </c>
      <c r="AQ40" s="447"/>
      <c r="AR40" s="55">
        <f>IFERROR($AS$37/((VLOOKUP(AP40,$V$100:$AO$179,11,0)*0.01)),0)</f>
        <v>6.8549911330049254</v>
      </c>
      <c r="AS40" s="55">
        <f>IFERROR($AT$37/((VLOOKUP(AP40,$V$100:$AO$179,14,0)*0.01)),0)</f>
        <v>0</v>
      </c>
      <c r="AT40" s="55">
        <f>IFERROR($AU$37/((VLOOKUP(AP40,$V$100:$AO$179,12,0)*0.01)),0)</f>
        <v>0</v>
      </c>
      <c r="AU40" s="55">
        <f>IFERROR($AV$37/((VLOOKUP(AP40,$V$100:$AO$179,13,0)*0.01)),0)</f>
        <v>0</v>
      </c>
      <c r="AV40" s="55">
        <f>MAX(AR40:AU40)</f>
        <v>6.8549911330049254</v>
      </c>
      <c r="AW40" s="55">
        <f>IFERROR(AV40*(VLOOKUP(AP40,$V$100:$AO$179,11,0)*0.01),0)</f>
        <v>1.1996234482758621</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f t="shared" ref="D41:D49" si="11">IF(J39&gt;0,J39,"-")</f>
        <v>291.42857142857144</v>
      </c>
      <c r="E41" s="365" t="str">
        <f t="shared" ref="E41:E49" si="12">IF(J39&gt;0,"gramas por planta","-")</f>
        <v>gramas por planta</v>
      </c>
      <c r="F41" s="365"/>
      <c r="G41" s="365"/>
      <c r="H41" s="365"/>
      <c r="I41" s="365"/>
      <c r="J41" s="81">
        <f>AV8</f>
        <v>0</v>
      </c>
      <c r="M41" s="364"/>
      <c r="N41" s="365"/>
      <c r="O41" s="489" t="s">
        <v>308</v>
      </c>
      <c r="P41" s="489"/>
      <c r="Q41" s="489"/>
      <c r="R41" s="53"/>
      <c r="U41" s="51">
        <v>30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3">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f t="shared" si="11"/>
        <v>283.33333333333337</v>
      </c>
      <c r="E42" s="365" t="str">
        <f t="shared" si="12"/>
        <v>gramas por planta</v>
      </c>
      <c r="F42" s="365"/>
      <c r="G42" s="365"/>
      <c r="H42" s="365"/>
      <c r="I42" s="365"/>
      <c r="J42" s="81">
        <f>AV12</f>
        <v>160</v>
      </c>
      <c r="M42" s="364"/>
      <c r="N42" s="365"/>
      <c r="O42" s="483" t="s">
        <v>292</v>
      </c>
      <c r="P42" s="513"/>
      <c r="Q42" s="484"/>
      <c r="R42" s="53"/>
      <c r="U42" s="51">
        <v>60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3"/>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1"/>
        <v>-</v>
      </c>
      <c r="E43" s="365" t="str">
        <f t="shared" si="12"/>
        <v>-</v>
      </c>
      <c r="F43" s="365"/>
      <c r="G43" s="365"/>
      <c r="H43" s="365"/>
      <c r="I43" s="365"/>
      <c r="J43" s="81">
        <f>AV13</f>
        <v>1200</v>
      </c>
      <c r="M43" s="69"/>
      <c r="N43" s="70"/>
      <c r="O43" s="70"/>
      <c r="P43" s="70"/>
      <c r="Q43" s="70"/>
      <c r="R43" s="71"/>
      <c r="U43" s="51">
        <v>120</v>
      </c>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3"/>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1"/>
        <v>160</v>
      </c>
      <c r="E44" s="365" t="str">
        <f t="shared" si="12"/>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1"/>
        <v>1200</v>
      </c>
      <c r="E45" s="365" t="str">
        <f t="shared" si="12"/>
        <v>gramas por planta</v>
      </c>
      <c r="F45" s="365"/>
      <c r="G45" s="365"/>
      <c r="H45" s="365"/>
      <c r="I45" s="365"/>
      <c r="J45" s="81">
        <f>AV18</f>
        <v>579.31034482758628</v>
      </c>
      <c r="M45" s="48"/>
      <c r="N45" s="49"/>
      <c r="O45" s="499" t="s">
        <v>305</v>
      </c>
      <c r="P45" s="500"/>
      <c r="Q45" s="501"/>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1"/>
        <v>-</v>
      </c>
      <c r="E46" s="365" t="str">
        <f t="shared" si="12"/>
        <v>-</v>
      </c>
      <c r="F46" s="365"/>
      <c r="G46" s="365"/>
      <c r="H46" s="365"/>
      <c r="I46" s="365"/>
      <c r="J46" s="81">
        <f>AV19</f>
        <v>0</v>
      </c>
      <c r="M46" s="364" t="s">
        <v>213</v>
      </c>
      <c r="N46" s="365"/>
      <c r="O46" s="502"/>
      <c r="P46" s="503"/>
      <c r="Q46" s="504"/>
      <c r="R46" s="53"/>
      <c r="U46" s="75" t="s">
        <v>109</v>
      </c>
      <c r="V46" s="89">
        <v>70</v>
      </c>
      <c r="X46" s="455" t="s">
        <v>268</v>
      </c>
      <c r="Y46" s="455"/>
      <c r="Z46" s="63">
        <f>IFERROR(VLOOKUP(O50,$V$87:$AE$95,10,0),0)</f>
        <v>22.778167994795901</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1"/>
        <v>579.31034482758628</v>
      </c>
      <c r="E47" s="365" t="str">
        <f t="shared" si="12"/>
        <v>gramas por planta</v>
      </c>
      <c r="F47" s="365"/>
      <c r="G47" s="365"/>
      <c r="H47" s="365"/>
      <c r="I47" s="365"/>
      <c r="J47" s="81">
        <f>AV20</f>
        <v>0</v>
      </c>
      <c r="M47" s="364"/>
      <c r="N47" s="365"/>
      <c r="O47" s="481" t="s">
        <v>139</v>
      </c>
      <c r="P47" s="482"/>
      <c r="Q47" s="90">
        <v>0.5</v>
      </c>
      <c r="R47" s="53"/>
      <c r="U47" s="51" t="s">
        <v>111</v>
      </c>
      <c r="V47" s="63">
        <f>IFERROR((((V46-P24)*P25)/V49),0)</f>
        <v>1.0169491525423733</v>
      </c>
      <c r="X47" s="455" t="s">
        <v>203</v>
      </c>
      <c r="Y47" s="455"/>
      <c r="Z47" s="63">
        <f>IFERROR((($V$50/$Z$46)*$V$47),0)</f>
        <v>1.9644144657326013</v>
      </c>
      <c r="AO47" s="47"/>
      <c r="BA47" s="47"/>
      <c r="BB47" s="47"/>
    </row>
    <row r="48" spans="2:57" ht="20.25" customHeight="1" x14ac:dyDescent="0.25">
      <c r="B48" s="449" t="str">
        <f>IF(AQ19&gt;0,AQ19,"-")</f>
        <v>-</v>
      </c>
      <c r="C48" s="449"/>
      <c r="D48" s="87" t="str">
        <f t="shared" si="11"/>
        <v>-</v>
      </c>
      <c r="E48" s="365" t="str">
        <f t="shared" si="12"/>
        <v>-</v>
      </c>
      <c r="F48" s="365"/>
      <c r="G48" s="365"/>
      <c r="H48" s="365"/>
      <c r="I48" s="365"/>
      <c r="J48" s="91"/>
      <c r="M48" s="364"/>
      <c r="N48" s="365"/>
      <c r="O48" s="505" t="s">
        <v>306</v>
      </c>
      <c r="P48" s="506"/>
      <c r="Q48" s="507"/>
      <c r="R48" s="53"/>
      <c r="U48" s="51" t="s">
        <v>201</v>
      </c>
      <c r="V48" s="63">
        <f>IF(V47&lt;0,(0),IF(V47&gt;=0,(V47)))</f>
        <v>1.0169491525423733</v>
      </c>
      <c r="X48" s="455" t="s">
        <v>201</v>
      </c>
      <c r="Y48" s="455"/>
      <c r="Z48" s="63">
        <f>IFERROR(IF(Z47&lt;0,(0),IF(Z47&gt;=0,(Z47))),0)</f>
        <v>1.9644144657326013</v>
      </c>
    </row>
    <row r="49" spans="2:50" ht="20.25" customHeight="1" x14ac:dyDescent="0.25">
      <c r="B49" s="449" t="str">
        <f>IF(AQ20&gt;0,AQ20,"-")</f>
        <v>-</v>
      </c>
      <c r="C49" s="449"/>
      <c r="D49" s="87" t="str">
        <f t="shared" si="11"/>
        <v>-</v>
      </c>
      <c r="E49" s="365" t="str">
        <f t="shared" si="12"/>
        <v>-</v>
      </c>
      <c r="F49" s="365"/>
      <c r="G49" s="365"/>
      <c r="H49" s="365"/>
      <c r="I49" s="365"/>
      <c r="M49" s="364"/>
      <c r="N49" s="365"/>
      <c r="O49" s="502"/>
      <c r="P49" s="503"/>
      <c r="Q49" s="504"/>
      <c r="R49" s="53"/>
      <c r="U49" s="51" t="s">
        <v>110</v>
      </c>
      <c r="V49" s="63">
        <f>IFERROR(VLOOKUP($O$47,$V$56:$AA$68,5,0),0)</f>
        <v>80.239999999999995</v>
      </c>
      <c r="X49" s="455" t="s">
        <v>273</v>
      </c>
      <c r="Y49" s="455"/>
      <c r="Z49" s="63">
        <f>Z48*$Q$50</f>
        <v>0.98220723286630063</v>
      </c>
    </row>
    <row r="50" spans="2:50" ht="20.25" customHeight="1" x14ac:dyDescent="0.25">
      <c r="B50" s="476" t="s">
        <v>535</v>
      </c>
      <c r="C50" s="476"/>
      <c r="D50" s="476"/>
      <c r="E50" s="476"/>
      <c r="F50" s="476"/>
      <c r="G50" s="476"/>
      <c r="H50" s="476"/>
      <c r="I50" s="476"/>
      <c r="M50" s="364"/>
      <c r="N50" s="365"/>
      <c r="O50" s="483" t="s">
        <v>493</v>
      </c>
      <c r="P50" s="484"/>
      <c r="Q50" s="92">
        <v>0.5</v>
      </c>
      <c r="R50" s="53"/>
      <c r="U50" s="51" t="s">
        <v>193</v>
      </c>
      <c r="V50" s="63">
        <f>IFERROR(VLOOKUP($O$47,$V$56:$AA$68,6,0),0)</f>
        <v>44</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0.50847457627118664</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4">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4"/>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4"/>
        <v>3 - Composto de lixo (COL)</v>
      </c>
      <c r="AW54" s="51">
        <v>15</v>
      </c>
    </row>
    <row r="55" spans="2:50" ht="20.25" customHeight="1" x14ac:dyDescent="0.25">
      <c r="B55" s="449" t="str">
        <f>IF(AP40&gt;0,AP40,"-")</f>
        <v>Ácido Bórico</v>
      </c>
      <c r="C55" s="449"/>
      <c r="D55" s="87">
        <f>IF(AV40&gt;0,AV40,"-")</f>
        <v>6.8549911330049254</v>
      </c>
      <c r="E55" s="365" t="str">
        <f>IF(AV40&gt;0,"gramas por planta","-")</f>
        <v>gramas por planta</v>
      </c>
      <c r="F55" s="365"/>
      <c r="G55" s="365"/>
      <c r="H55" s="365"/>
      <c r="I55" s="365"/>
      <c r="M55" s="364"/>
      <c r="N55" s="365"/>
      <c r="O55" s="448" t="s">
        <v>188</v>
      </c>
      <c r="P55" s="448"/>
      <c r="Q55" s="448"/>
      <c r="R55" s="53"/>
      <c r="U55" s="344"/>
      <c r="V55" s="344"/>
      <c r="W55" s="344"/>
      <c r="X55" s="95" t="s">
        <v>105</v>
      </c>
      <c r="Y55" s="95" t="s">
        <v>106</v>
      </c>
      <c r="Z55" s="95" t="s">
        <v>107</v>
      </c>
      <c r="AA55" s="95" t="s">
        <v>195</v>
      </c>
      <c r="AP55" s="465"/>
      <c r="AQ55" s="465"/>
      <c r="AS55" s="465"/>
      <c r="AT55" s="51">
        <v>4</v>
      </c>
      <c r="AU55" s="93" t="s">
        <v>286</v>
      </c>
      <c r="AV55" s="93" t="str">
        <f t="shared" si="14"/>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4"/>
        <v>0 - Cama de frango corte</v>
      </c>
      <c r="AW56" s="75">
        <v>4</v>
      </c>
      <c r="AX56" s="25"/>
    </row>
    <row r="57" spans="2:50" ht="20.25" customHeight="1" x14ac:dyDescent="0.25">
      <c r="B57" s="449" t="str">
        <f>IF(AP42&gt;0,AP42,"-")</f>
        <v>Sulfato de zinco</v>
      </c>
      <c r="C57" s="449"/>
      <c r="D57" s="87" t="str">
        <f>IF(AV42&gt;0,AV42,"-")</f>
        <v>-</v>
      </c>
      <c r="E57" s="365" t="str">
        <f t="shared" ref="E57:E59" si="15">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4"/>
        <v>1 - Cama de frango corte</v>
      </c>
      <c r="AW57" s="75">
        <v>1</v>
      </c>
    </row>
    <row r="58" spans="2:50" ht="20.25" customHeight="1" x14ac:dyDescent="0.25">
      <c r="B58" s="449" t="str">
        <f>IF(AP43&gt;0,AP43,"-")</f>
        <v>Sulfato de manganês</v>
      </c>
      <c r="C58" s="449"/>
      <c r="D58" s="87" t="str">
        <f>IF(AV43&gt;0,AV43,"-")</f>
        <v>-</v>
      </c>
      <c r="E58" s="365" t="str">
        <f t="shared" si="15"/>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&gt;70 - Esterco Bovino curtido</v>
      </c>
      <c r="AR58" s="463"/>
      <c r="AS58" s="25"/>
      <c r="AT58" s="75">
        <v>2</v>
      </c>
      <c r="AU58" s="97" t="s">
        <v>293</v>
      </c>
      <c r="AV58" s="97" t="str">
        <f t="shared" si="14"/>
        <v>2 - Cama de frango corte</v>
      </c>
      <c r="AW58" s="75">
        <v>3</v>
      </c>
    </row>
    <row r="59" spans="2:50" ht="20.25" customHeight="1" x14ac:dyDescent="0.25">
      <c r="B59" s="449" t="str">
        <f>IF(AP44&gt;0,AP44,"-")</f>
        <v>-</v>
      </c>
      <c r="C59" s="449"/>
      <c r="D59" s="87" t="str">
        <f>IF(AV44&gt;0,AV44,"-")</f>
        <v>-</v>
      </c>
      <c r="E59" s="365" t="str">
        <f t="shared" si="15"/>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0</v>
      </c>
      <c r="AR59" s="456"/>
      <c r="AS59" s="25"/>
      <c r="AT59" s="75">
        <v>3</v>
      </c>
      <c r="AU59" s="97" t="s">
        <v>293</v>
      </c>
      <c r="AV59" s="97" t="str">
        <f t="shared" si="14"/>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4"/>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4"/>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4"/>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4"/>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4"/>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4"/>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4"/>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4"/>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4"/>
        <v>2 - Esterco Bovino curtido</v>
      </c>
      <c r="AW68" s="75">
        <v>7</v>
      </c>
    </row>
    <row r="69" spans="2:49" ht="20.25" customHeight="1" thickBot="1" x14ac:dyDescent="0.3">
      <c r="M69" s="69"/>
      <c r="N69" s="70"/>
      <c r="O69" s="70"/>
      <c r="P69" s="70"/>
      <c r="Q69" s="70"/>
      <c r="R69" s="71"/>
      <c r="AT69" s="75">
        <v>3</v>
      </c>
      <c r="AU69" s="97" t="s">
        <v>292</v>
      </c>
      <c r="AV69" s="97" t="str">
        <f t="shared" si="14"/>
        <v>3 - Esterco Bovino curtido</v>
      </c>
      <c r="AW69" s="75">
        <v>12</v>
      </c>
    </row>
    <row r="70" spans="2:49" ht="20.25" customHeight="1" thickBot="1" x14ac:dyDescent="0.3">
      <c r="AT70" s="75">
        <v>4</v>
      </c>
      <c r="AU70" s="97" t="s">
        <v>292</v>
      </c>
      <c r="AV70" s="97" t="str">
        <f t="shared" si="14"/>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4"/>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4"/>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4"/>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4"/>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4"/>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4"/>
        <v>0 - Esterco de suínos</v>
      </c>
      <c r="AW76" s="75">
        <v>10</v>
      </c>
    </row>
    <row r="77" spans="2:49" ht="20.2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4"/>
        <v>1 - Esterco de suínos</v>
      </c>
      <c r="AW77" s="75">
        <v>4</v>
      </c>
    </row>
    <row r="78" spans="2:49" ht="20.2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4"/>
        <v>2 - Esterco de suínos</v>
      </c>
      <c r="AW78" s="75">
        <v>6</v>
      </c>
    </row>
    <row r="79" spans="2:49" ht="20.2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4"/>
        <v>3 - Esterco de suínos</v>
      </c>
      <c r="AW79" s="75">
        <v>10</v>
      </c>
    </row>
    <row r="80" spans="2:49" ht="20.2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4"/>
        <v>4 - Esterco de suínos</v>
      </c>
      <c r="AW80" s="75">
        <v>4</v>
      </c>
    </row>
    <row r="81" spans="13:49" ht="20.2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4"/>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4"/>
        <v>1 - Esterco de ovinos</v>
      </c>
      <c r="AW82" s="51">
        <v>4</v>
      </c>
    </row>
    <row r="83" spans="13:49" ht="20.25" customHeight="1" x14ac:dyDescent="0.25">
      <c r="M83" s="364"/>
      <c r="N83" s="365"/>
      <c r="O83" s="448" t="s">
        <v>116</v>
      </c>
      <c r="P83" s="448"/>
      <c r="Q83" s="92">
        <v>0.5</v>
      </c>
      <c r="R83" s="53"/>
      <c r="AT83" s="51">
        <v>2</v>
      </c>
      <c r="AU83" s="93" t="s">
        <v>288</v>
      </c>
      <c r="AV83" s="93" t="str">
        <f t="shared" si="14"/>
        <v>2 - Esterco de ovinos</v>
      </c>
      <c r="AW83" s="51">
        <v>6</v>
      </c>
    </row>
    <row r="84" spans="13:49" ht="20.25" customHeight="1" x14ac:dyDescent="0.25">
      <c r="M84" s="364"/>
      <c r="N84" s="365"/>
      <c r="O84" s="448"/>
      <c r="P84" s="448"/>
      <c r="Q84" s="92"/>
      <c r="R84" s="53"/>
      <c r="AT84" s="51">
        <v>3</v>
      </c>
      <c r="AU84" s="93" t="s">
        <v>288</v>
      </c>
      <c r="AV84" s="93" t="str">
        <f t="shared" si="14"/>
        <v>3 - Esterco de ovinos</v>
      </c>
      <c r="AW84" s="51">
        <v>10</v>
      </c>
    </row>
    <row r="85" spans="13:49" ht="20.2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T85" s="51">
        <v>4</v>
      </c>
      <c r="AU85" s="93" t="s">
        <v>288</v>
      </c>
      <c r="AV85" s="93" t="str">
        <f t="shared" si="14"/>
        <v>4 - Esterco de ovinos</v>
      </c>
      <c r="AW85" s="51">
        <v>4</v>
      </c>
    </row>
    <row r="86" spans="13:49" ht="20.2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4"/>
        <v>0 - Lodo de esgosto</v>
      </c>
      <c r="AW86" s="75">
        <v>15</v>
      </c>
    </row>
    <row r="87" spans="13:49" ht="20.2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6">Y160</f>
        <v>8.7999999999999995E-2</v>
      </c>
      <c r="Z87" s="99">
        <f t="shared" si="16"/>
        <v>0.2</v>
      </c>
      <c r="AA87" s="99">
        <f t="shared" si="16"/>
        <v>2.83</v>
      </c>
      <c r="AB87" s="99">
        <f t="shared" si="16"/>
        <v>3.4</v>
      </c>
      <c r="AC87" s="100">
        <f>AC160*0.602</f>
        <v>1.5155244755244754</v>
      </c>
      <c r="AD87" s="100">
        <f>AD160*0.715</f>
        <v>5.4634551495016606</v>
      </c>
      <c r="AE87" s="100">
        <f t="shared" ref="AE87:AE95" si="17">AB87+AC87+AD87</f>
        <v>10.378979625026137</v>
      </c>
      <c r="AT87" s="75">
        <v>1</v>
      </c>
      <c r="AU87" s="97" t="s">
        <v>289</v>
      </c>
      <c r="AV87" s="97" t="str">
        <f t="shared" si="14"/>
        <v>1 - Lodo de esgosto</v>
      </c>
      <c r="AW87" s="75">
        <v>10</v>
      </c>
    </row>
    <row r="88" spans="13:49" ht="20.25" customHeight="1" x14ac:dyDescent="0.25">
      <c r="M88" s="364"/>
      <c r="N88" s="365"/>
      <c r="O88" s="450" t="s">
        <v>254</v>
      </c>
      <c r="P88" s="451"/>
      <c r="Q88" s="452"/>
      <c r="R88" s="53"/>
      <c r="U88" s="466"/>
      <c r="V88" s="99" t="str">
        <f t="shared" ref="V88:W95" si="18">V161</f>
        <v>Kamafugito</v>
      </c>
      <c r="W88" s="99">
        <f t="shared" si="18"/>
        <v>0</v>
      </c>
      <c r="X88" s="99">
        <f t="shared" ref="X88:X95" si="19">AL161</f>
        <v>0</v>
      </c>
      <c r="Y88" s="99">
        <f t="shared" si="16"/>
        <v>1.5069999999999999</v>
      </c>
      <c r="Z88" s="99">
        <f t="shared" si="16"/>
        <v>3.5</v>
      </c>
      <c r="AA88" s="99">
        <f t="shared" si="16"/>
        <v>3.3250000000000002</v>
      </c>
      <c r="AB88" s="99">
        <f t="shared" si="16"/>
        <v>4</v>
      </c>
      <c r="AC88" s="100">
        <f t="shared" ref="AC88:AC95" si="20">AC161*0.602</f>
        <v>1.7217199999999999</v>
      </c>
      <c r="AD88" s="100">
        <f t="shared" ref="AD88:AD95" si="21">AD161*0.715</f>
        <v>0</v>
      </c>
      <c r="AE88" s="100">
        <f t="shared" si="17"/>
        <v>5.7217199999999995</v>
      </c>
      <c r="AT88" s="75">
        <v>2</v>
      </c>
      <c r="AU88" s="97" t="s">
        <v>289</v>
      </c>
      <c r="AV88" s="97" t="str">
        <f t="shared" si="14"/>
        <v>2 - Lodo de esgosto</v>
      </c>
      <c r="AW88" s="75">
        <v>5</v>
      </c>
    </row>
    <row r="89" spans="13:49" ht="20.25" customHeight="1" x14ac:dyDescent="0.25">
      <c r="M89" s="364"/>
      <c r="N89" s="365"/>
      <c r="O89" s="450" t="s">
        <v>251</v>
      </c>
      <c r="P89" s="451"/>
      <c r="Q89" s="452"/>
      <c r="R89" s="53"/>
      <c r="U89" s="466"/>
      <c r="V89" s="99" t="str">
        <f t="shared" si="18"/>
        <v>Micaxisto (61) 3233-9368</v>
      </c>
      <c r="W89" s="99">
        <f t="shared" si="18"/>
        <v>0</v>
      </c>
      <c r="X89" s="99">
        <f t="shared" si="19"/>
        <v>0</v>
      </c>
      <c r="Y89" s="99">
        <f t="shared" si="16"/>
        <v>4.4999999999999998E-2</v>
      </c>
      <c r="Z89" s="99">
        <f t="shared" si="16"/>
        <v>0.1</v>
      </c>
      <c r="AA89" s="99">
        <f t="shared" si="16"/>
        <v>4.32</v>
      </c>
      <c r="AB89" s="99">
        <f t="shared" si="16"/>
        <v>5.2</v>
      </c>
      <c r="AC89" s="100">
        <f t="shared" si="20"/>
        <v>0.75776223776223772</v>
      </c>
      <c r="AD89" s="100">
        <f t="shared" si="21"/>
        <v>0.83139534883720934</v>
      </c>
      <c r="AE89" s="100">
        <f t="shared" si="17"/>
        <v>6.7891575865994476</v>
      </c>
      <c r="AT89" s="75">
        <v>3</v>
      </c>
      <c r="AU89" s="97" t="s">
        <v>289</v>
      </c>
      <c r="AV89" s="97" t="str">
        <f t="shared" si="14"/>
        <v>3 - Lodo de esgosto</v>
      </c>
      <c r="AW89" s="75">
        <v>15</v>
      </c>
    </row>
    <row r="90" spans="13:49" ht="20.25" customHeight="1" x14ac:dyDescent="0.25">
      <c r="M90" s="364"/>
      <c r="N90" s="365"/>
      <c r="O90" s="448" t="s">
        <v>93</v>
      </c>
      <c r="P90" s="448"/>
      <c r="Q90" s="92">
        <v>1</v>
      </c>
      <c r="R90" s="53"/>
      <c r="U90" s="466"/>
      <c r="V90" s="99" t="str">
        <f t="shared" si="18"/>
        <v xml:space="preserve">Pó de brita Fmx (62) 3924 8565 </v>
      </c>
      <c r="W90" s="99">
        <f t="shared" si="18"/>
        <v>0</v>
      </c>
      <c r="X90" s="99">
        <f t="shared" si="19"/>
        <v>0</v>
      </c>
      <c r="Y90" s="99">
        <f t="shared" si="16"/>
        <v>0</v>
      </c>
      <c r="Z90" s="99">
        <f t="shared" si="16"/>
        <v>0</v>
      </c>
      <c r="AA90" s="99">
        <f t="shared" si="16"/>
        <v>4.99</v>
      </c>
      <c r="AB90" s="99">
        <f t="shared" si="16"/>
        <v>6</v>
      </c>
      <c r="AC90" s="100">
        <f t="shared" si="20"/>
        <v>2.5258741258741257</v>
      </c>
      <c r="AD90" s="100">
        <f t="shared" si="21"/>
        <v>0.59385382059800662</v>
      </c>
      <c r="AE90" s="100">
        <f t="shared" si="17"/>
        <v>9.1197279464721319</v>
      </c>
      <c r="AT90" s="75">
        <v>4</v>
      </c>
      <c r="AU90" s="97" t="s">
        <v>289</v>
      </c>
      <c r="AV90" s="97" t="str">
        <f t="shared" si="14"/>
        <v>4 - Lodo de esgosto</v>
      </c>
      <c r="AW90" s="75">
        <v>10</v>
      </c>
    </row>
    <row r="91" spans="13:49" ht="20.25" customHeight="1" x14ac:dyDescent="0.25">
      <c r="M91" s="364"/>
      <c r="N91" s="365"/>
      <c r="O91" s="448"/>
      <c r="P91" s="448"/>
      <c r="Q91" s="92"/>
      <c r="R91" s="53"/>
      <c r="U91" s="466"/>
      <c r="V91" s="99" t="str">
        <f t="shared" si="18"/>
        <v>Remax Mistel (61) 99414-1975</v>
      </c>
      <c r="W91" s="99">
        <f t="shared" si="18"/>
        <v>0</v>
      </c>
      <c r="X91" s="99">
        <f t="shared" si="19"/>
        <v>43.8</v>
      </c>
      <c r="Y91" s="99">
        <f t="shared" si="16"/>
        <v>4.4999999999999998E-2</v>
      </c>
      <c r="Z91" s="99">
        <f t="shared" si="16"/>
        <v>0.1</v>
      </c>
      <c r="AA91" s="99">
        <f t="shared" si="16"/>
        <v>2.1949999999999998</v>
      </c>
      <c r="AB91" s="99">
        <f t="shared" si="16"/>
        <v>2.6</v>
      </c>
      <c r="AC91" s="100">
        <f t="shared" si="20"/>
        <v>11.282237762237763</v>
      </c>
      <c r="AD91" s="100">
        <f t="shared" si="21"/>
        <v>8.8959302325581397</v>
      </c>
      <c r="AE91" s="100">
        <f t="shared" si="17"/>
        <v>22.778167994795901</v>
      </c>
      <c r="AT91" s="51">
        <v>0</v>
      </c>
      <c r="AU91" s="93" t="s">
        <v>290</v>
      </c>
      <c r="AV91" s="93" t="str">
        <f t="shared" si="14"/>
        <v>0 - Compostos orgânicos</v>
      </c>
      <c r="AW91" s="51">
        <v>6</v>
      </c>
    </row>
    <row r="92" spans="13:49" ht="20.25" customHeight="1" x14ac:dyDescent="0.25">
      <c r="M92" s="364"/>
      <c r="N92" s="365"/>
      <c r="O92" s="448"/>
      <c r="P92" s="448"/>
      <c r="Q92" s="92"/>
      <c r="R92" s="53"/>
      <c r="U92" s="466"/>
      <c r="V92" s="99">
        <f t="shared" si="18"/>
        <v>0</v>
      </c>
      <c r="W92" s="99">
        <f t="shared" si="18"/>
        <v>0</v>
      </c>
      <c r="X92" s="99">
        <f t="shared" si="19"/>
        <v>0</v>
      </c>
      <c r="Y92" s="99">
        <f t="shared" si="16"/>
        <v>0</v>
      </c>
      <c r="Z92" s="99">
        <f t="shared" si="16"/>
        <v>0</v>
      </c>
      <c r="AA92" s="99">
        <f t="shared" si="16"/>
        <v>0</v>
      </c>
      <c r="AB92" s="99">
        <f t="shared" si="16"/>
        <v>0</v>
      </c>
      <c r="AC92" s="100">
        <f t="shared" si="20"/>
        <v>0</v>
      </c>
      <c r="AD92" s="100">
        <f t="shared" si="21"/>
        <v>0</v>
      </c>
      <c r="AE92" s="100">
        <f t="shared" si="17"/>
        <v>0</v>
      </c>
      <c r="AT92" s="51">
        <v>1</v>
      </c>
      <c r="AU92" s="93" t="s">
        <v>290</v>
      </c>
      <c r="AV92" s="93" t="str">
        <f t="shared" si="14"/>
        <v>1 - Compostos orgânicos</v>
      </c>
      <c r="AW92" s="51">
        <v>2</v>
      </c>
    </row>
    <row r="93" spans="13:49" ht="20.25" customHeight="1" x14ac:dyDescent="0.25">
      <c r="M93" s="101"/>
      <c r="N93" s="25"/>
      <c r="O93" s="25"/>
      <c r="P93" s="25"/>
      <c r="Q93" s="25"/>
      <c r="R93" s="53"/>
      <c r="U93" s="466"/>
      <c r="V93" s="99">
        <f t="shared" si="18"/>
        <v>0</v>
      </c>
      <c r="W93" s="99">
        <f t="shared" si="18"/>
        <v>0</v>
      </c>
      <c r="X93" s="99">
        <f t="shared" si="19"/>
        <v>0</v>
      </c>
      <c r="Y93" s="99">
        <f t="shared" si="16"/>
        <v>0</v>
      </c>
      <c r="Z93" s="99">
        <f t="shared" si="16"/>
        <v>0</v>
      </c>
      <c r="AA93" s="99">
        <f t="shared" si="16"/>
        <v>0</v>
      </c>
      <c r="AB93" s="99">
        <f t="shared" si="16"/>
        <v>0</v>
      </c>
      <c r="AC93" s="100">
        <f t="shared" si="20"/>
        <v>0</v>
      </c>
      <c r="AD93" s="100">
        <f t="shared" si="21"/>
        <v>0</v>
      </c>
      <c r="AE93" s="100">
        <f t="shared" si="17"/>
        <v>0</v>
      </c>
      <c r="AT93" s="51">
        <v>2</v>
      </c>
      <c r="AU93" s="93" t="s">
        <v>290</v>
      </c>
      <c r="AV93" s="93" t="str">
        <f t="shared" si="14"/>
        <v>2 - Compostos orgânicos</v>
      </c>
      <c r="AW93" s="51">
        <v>4</v>
      </c>
    </row>
    <row r="94" spans="13:49" ht="20.25" customHeight="1" x14ac:dyDescent="0.25">
      <c r="M94" s="101"/>
      <c r="N94" s="25"/>
      <c r="O94" s="365" t="s">
        <v>264</v>
      </c>
      <c r="P94" s="365"/>
      <c r="Q94" s="365"/>
      <c r="R94" s="53"/>
      <c r="U94" s="466"/>
      <c r="V94" s="99">
        <f t="shared" si="18"/>
        <v>0</v>
      </c>
      <c r="W94" s="99">
        <f t="shared" si="18"/>
        <v>0</v>
      </c>
      <c r="X94" s="99">
        <f t="shared" si="19"/>
        <v>0</v>
      </c>
      <c r="Y94" s="99">
        <f t="shared" si="16"/>
        <v>0</v>
      </c>
      <c r="Z94" s="99">
        <f t="shared" si="16"/>
        <v>0</v>
      </c>
      <c r="AA94" s="99">
        <f t="shared" si="16"/>
        <v>0</v>
      </c>
      <c r="AB94" s="99">
        <f t="shared" si="16"/>
        <v>0</v>
      </c>
      <c r="AC94" s="100">
        <f t="shared" si="20"/>
        <v>0</v>
      </c>
      <c r="AD94" s="100">
        <f t="shared" si="21"/>
        <v>0</v>
      </c>
      <c r="AE94" s="100">
        <f t="shared" si="17"/>
        <v>0</v>
      </c>
      <c r="AT94" s="51">
        <v>3</v>
      </c>
      <c r="AU94" s="93" t="s">
        <v>290</v>
      </c>
      <c r="AV94" s="93" t="str">
        <f t="shared" si="14"/>
        <v>3 - Compostos orgânicos</v>
      </c>
      <c r="AW94" s="51">
        <v>6</v>
      </c>
    </row>
    <row r="95" spans="13:49" ht="20.25" customHeight="1" thickBot="1" x14ac:dyDescent="0.3">
      <c r="M95" s="69"/>
      <c r="N95" s="70"/>
      <c r="O95" s="70"/>
      <c r="P95" s="70"/>
      <c r="Q95" s="70"/>
      <c r="R95" s="71"/>
      <c r="U95" s="466"/>
      <c r="V95" s="99">
        <f t="shared" si="18"/>
        <v>0</v>
      </c>
      <c r="W95" s="99">
        <f t="shared" si="18"/>
        <v>0</v>
      </c>
      <c r="X95" s="99">
        <f t="shared" si="19"/>
        <v>0</v>
      </c>
      <c r="Y95" s="99">
        <f t="shared" si="16"/>
        <v>0</v>
      </c>
      <c r="Z95" s="99">
        <f t="shared" si="16"/>
        <v>0</v>
      </c>
      <c r="AA95" s="99">
        <f t="shared" si="16"/>
        <v>0</v>
      </c>
      <c r="AB95" s="99">
        <f t="shared" si="16"/>
        <v>0</v>
      </c>
      <c r="AC95" s="100">
        <f t="shared" si="20"/>
        <v>0</v>
      </c>
      <c r="AD95" s="100">
        <f t="shared" si="21"/>
        <v>0</v>
      </c>
      <c r="AE95" s="100">
        <f t="shared" si="17"/>
        <v>0</v>
      </c>
      <c r="AT95" s="51">
        <v>4</v>
      </c>
      <c r="AU95" s="93" t="s">
        <v>290</v>
      </c>
      <c r="AV95" s="93" t="str">
        <f t="shared" si="14"/>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$V$26</f>
        <v>168</v>
      </c>
      <c r="P99" s="103">
        <f>$V$27</f>
        <v>102</v>
      </c>
      <c r="Q99" s="103">
        <f>$V$28</f>
        <v>192</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1.2</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29">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W85:W86"/>
    <mergeCell ref="X85:AE85"/>
    <mergeCell ref="O86:Q86"/>
    <mergeCell ref="U87:U95"/>
    <mergeCell ref="O88:Q88"/>
    <mergeCell ref="O89:Q89"/>
    <mergeCell ref="O90:P90"/>
    <mergeCell ref="O91:P91"/>
    <mergeCell ref="O92:P92"/>
    <mergeCell ref="O94:Q94"/>
    <mergeCell ref="O81:Q81"/>
    <mergeCell ref="O82:P82"/>
    <mergeCell ref="O83:P83"/>
    <mergeCell ref="O84:P84"/>
    <mergeCell ref="U85:U86"/>
    <mergeCell ref="V85:V86"/>
    <mergeCell ref="X71:Z71"/>
    <mergeCell ref="M72:N92"/>
    <mergeCell ref="O72:Q72"/>
    <mergeCell ref="O73:Q73"/>
    <mergeCell ref="U73:U82"/>
    <mergeCell ref="O74:P74"/>
    <mergeCell ref="O75:P75"/>
    <mergeCell ref="O76:P76"/>
    <mergeCell ref="O78:Q78"/>
    <mergeCell ref="O80:Q80"/>
    <mergeCell ref="F64:I66"/>
    <mergeCell ref="O66:Q67"/>
    <mergeCell ref="B67:E67"/>
    <mergeCell ref="F67:I67"/>
    <mergeCell ref="O68:Q68"/>
    <mergeCell ref="U71:U72"/>
    <mergeCell ref="V71:V72"/>
    <mergeCell ref="W71:W72"/>
    <mergeCell ref="AQ57:AR57"/>
    <mergeCell ref="B58:C58"/>
    <mergeCell ref="E58:I58"/>
    <mergeCell ref="AQ58:AR58"/>
    <mergeCell ref="B59:C59"/>
    <mergeCell ref="E59:I59"/>
    <mergeCell ref="AQ59:AR59"/>
    <mergeCell ref="AP54:AP55"/>
    <mergeCell ref="AQ54:AQ55"/>
    <mergeCell ref="AS54:AS55"/>
    <mergeCell ref="B55:C55"/>
    <mergeCell ref="E55:I55"/>
    <mergeCell ref="O55:Q55"/>
    <mergeCell ref="B50:I53"/>
    <mergeCell ref="O50:P50"/>
    <mergeCell ref="AT50:AW50"/>
    <mergeCell ref="B54:I54"/>
    <mergeCell ref="M54:N68"/>
    <mergeCell ref="O54:Q54"/>
    <mergeCell ref="U54:U55"/>
    <mergeCell ref="V54:V55"/>
    <mergeCell ref="W54:W55"/>
    <mergeCell ref="X54:AA54"/>
    <mergeCell ref="B56:C56"/>
    <mergeCell ref="E56:I56"/>
    <mergeCell ref="O56:Q64"/>
    <mergeCell ref="U56:U68"/>
    <mergeCell ref="B57:C57"/>
    <mergeCell ref="E57:I57"/>
    <mergeCell ref="B60:I63"/>
    <mergeCell ref="B64:E66"/>
    <mergeCell ref="B45:C45"/>
    <mergeCell ref="E45:I45"/>
    <mergeCell ref="O45:Q46"/>
    <mergeCell ref="U45:V45"/>
    <mergeCell ref="X45:Z45"/>
    <mergeCell ref="B46:C46"/>
    <mergeCell ref="E46:I46"/>
    <mergeCell ref="M46:N50"/>
    <mergeCell ref="X46:Y46"/>
    <mergeCell ref="B47:C47"/>
    <mergeCell ref="E47:I47"/>
    <mergeCell ref="O47:P47"/>
    <mergeCell ref="X47:Y47"/>
    <mergeCell ref="B48:C48"/>
    <mergeCell ref="E48:I48"/>
    <mergeCell ref="O48:Q49"/>
    <mergeCell ref="X48:Y48"/>
    <mergeCell ref="B49:C49"/>
    <mergeCell ref="E49:I49"/>
    <mergeCell ref="X49:Y49"/>
    <mergeCell ref="B43:C43"/>
    <mergeCell ref="E43:I43"/>
    <mergeCell ref="AP43:AQ43"/>
    <mergeCell ref="B44:C44"/>
    <mergeCell ref="E44:I44"/>
    <mergeCell ref="M44:R44"/>
    <mergeCell ref="AP44:AQ44"/>
    <mergeCell ref="E41:I41"/>
    <mergeCell ref="O41:Q41"/>
    <mergeCell ref="AP41:AQ41"/>
    <mergeCell ref="B42:C42"/>
    <mergeCell ref="E42:I42"/>
    <mergeCell ref="O42:Q42"/>
    <mergeCell ref="AP42:AQ42"/>
    <mergeCell ref="B37:I38"/>
    <mergeCell ref="M38:N42"/>
    <mergeCell ref="O38:Q38"/>
    <mergeCell ref="B39:I39"/>
    <mergeCell ref="P39:Q39"/>
    <mergeCell ref="AP39:AQ39"/>
    <mergeCell ref="B40:C40"/>
    <mergeCell ref="E40:I40"/>
    <mergeCell ref="AP40:AQ40"/>
    <mergeCell ref="B41:C41"/>
    <mergeCell ref="O29:Q29"/>
    <mergeCell ref="AQ29:AR29"/>
    <mergeCell ref="E30:I30"/>
    <mergeCell ref="AQ30:AR30"/>
    <mergeCell ref="B31:I33"/>
    <mergeCell ref="O31:Q31"/>
    <mergeCell ref="U31:V31"/>
    <mergeCell ref="AQ31:AR31"/>
    <mergeCell ref="U32:V32"/>
    <mergeCell ref="B26:I26"/>
    <mergeCell ref="B27:C28"/>
    <mergeCell ref="E27:I27"/>
    <mergeCell ref="AP27:AP36"/>
    <mergeCell ref="AQ27:AR27"/>
    <mergeCell ref="E28:I28"/>
    <mergeCell ref="AQ28:AR28"/>
    <mergeCell ref="B29:C30"/>
    <mergeCell ref="E29:I29"/>
    <mergeCell ref="B35:C36"/>
    <mergeCell ref="E35:I35"/>
    <mergeCell ref="U35:V35"/>
    <mergeCell ref="AQ35:AR35"/>
    <mergeCell ref="E36:I36"/>
    <mergeCell ref="M36:R36"/>
    <mergeCell ref="AQ36:AR36"/>
    <mergeCell ref="AQ32:AR32"/>
    <mergeCell ref="O33:Q33"/>
    <mergeCell ref="AQ33:AR33"/>
    <mergeCell ref="B34:I34"/>
    <mergeCell ref="O34:Q34"/>
    <mergeCell ref="U34:V34"/>
    <mergeCell ref="AQ34:AR34"/>
    <mergeCell ref="M29:N34"/>
    <mergeCell ref="B16:I16"/>
    <mergeCell ref="W16:W17"/>
    <mergeCell ref="AP16:AP17"/>
    <mergeCell ref="AQ16:AR17"/>
    <mergeCell ref="AV16:AV17"/>
    <mergeCell ref="B18:D18"/>
    <mergeCell ref="F18:H18"/>
    <mergeCell ref="AF18:AF20"/>
    <mergeCell ref="AJ18:AJ20"/>
    <mergeCell ref="AK18:AK20"/>
    <mergeCell ref="AL18:AL20"/>
    <mergeCell ref="AM18:AM20"/>
    <mergeCell ref="AQ18:AR18"/>
    <mergeCell ref="AQ19:AR19"/>
    <mergeCell ref="B20:E20"/>
    <mergeCell ref="AQ20:AR20"/>
    <mergeCell ref="C12:I12"/>
    <mergeCell ref="AF12:AF14"/>
    <mergeCell ref="AJ12:AJ14"/>
    <mergeCell ref="AK12:AK14"/>
    <mergeCell ref="AL12:AL14"/>
    <mergeCell ref="AM12:AM14"/>
    <mergeCell ref="AQ12:AR12"/>
    <mergeCell ref="C13:I13"/>
    <mergeCell ref="U13:W14"/>
    <mergeCell ref="AQ13:AR13"/>
    <mergeCell ref="C14:G14"/>
    <mergeCell ref="AQ14:AR14"/>
    <mergeCell ref="B9:I9"/>
    <mergeCell ref="AF9:AF11"/>
    <mergeCell ref="AJ9:AJ11"/>
    <mergeCell ref="AK9:AK11"/>
    <mergeCell ref="AL9:AL11"/>
    <mergeCell ref="AM9:AM11"/>
    <mergeCell ref="AF7:AM7"/>
    <mergeCell ref="AQ7:AR7"/>
    <mergeCell ref="W8:W10"/>
    <mergeCell ref="AG8:AH8"/>
    <mergeCell ref="AI8:AJ8"/>
    <mergeCell ref="AQ8:AR8"/>
    <mergeCell ref="AP10:AP11"/>
    <mergeCell ref="AQ10:AR11"/>
    <mergeCell ref="C11:I11"/>
    <mergeCell ref="M2:R2"/>
    <mergeCell ref="M4:N4"/>
    <mergeCell ref="O4:P4"/>
    <mergeCell ref="AP4:AP5"/>
    <mergeCell ref="AQ4:AR5"/>
    <mergeCell ref="AV4:AV5"/>
    <mergeCell ref="M5:N25"/>
    <mergeCell ref="U6:V7"/>
    <mergeCell ref="W6:W7"/>
    <mergeCell ref="AQ6:AR6"/>
    <mergeCell ref="AV10:AV11"/>
    <mergeCell ref="AF15:AF17"/>
    <mergeCell ref="AJ15:AJ17"/>
    <mergeCell ref="AK15:AK17"/>
    <mergeCell ref="AL15:AL17"/>
    <mergeCell ref="AM15:AM17"/>
    <mergeCell ref="U25:V25"/>
    <mergeCell ref="X25:Y25"/>
    <mergeCell ref="AE25:AH25"/>
    <mergeCell ref="AJ25:AM25"/>
    <mergeCell ref="AP25:AP26"/>
    <mergeCell ref="AQ25:AR26"/>
  </mergeCells>
  <dataValidations count="5">
    <dataValidation type="list" allowBlank="1" showInputMessage="1" showErrorMessage="1" sqref="P39:Q39">
      <formula1>$X$27:$X$29</formula1>
    </dataValidation>
    <dataValidation type="list" allowBlank="1" showInputMessage="1" showErrorMessage="1" sqref="O105:Q109">
      <formula1>$V$170:$V$179</formula1>
    </dataValidation>
    <dataValidation type="list" allowBlank="1" showInputMessage="1" showErrorMessage="1" sqref="O68 O174 N159 O176">
      <formula1>$Y$5:$Y$6</formula1>
    </dataValidation>
    <dataValidation type="list" allowBlank="1" showInputMessage="1" showErrorMessage="1" sqref="Q82:Q84 Q90:Q92 Q74:Q76 Q47 Q50">
      <formula1>$Y$10:$Y$21</formula1>
    </dataValidation>
    <dataValidation type="list" allowBlank="1" showInputMessage="1" showErrorMessage="1" sqref="O42:Q42">
      <formula1>$AA$8:$AA$17</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corretivos'!$C$3:$C$62</xm:f>
          </x14:formula1>
          <xm:sqref>O74:P76 O82:P84 O90:P92</xm:sqref>
        </x14:dataValidation>
      </x14:dataValidation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M4" sqref="M4:N4"/>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18.7109375" style="11" customWidth="1"/>
    <col min="17" max="17" width="49.28515625" style="11" customWidth="1"/>
    <col min="18" max="18" width="8.7109375"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0.28515625" style="11" hidden="1" customWidth="1" outlineLevel="1"/>
    <col min="25" max="25" width="22.42578125" style="11" hidden="1" customWidth="1" outlineLevel="1"/>
    <col min="26" max="26" width="18.85546875"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25.42578125" style="11" hidden="1" customWidth="1" outlineLevel="1"/>
    <col min="32" max="32" width="25.5703125" style="11" hidden="1" customWidth="1" outlineLevel="1"/>
    <col min="33" max="33" width="21.42578125" style="11" hidden="1" customWidth="1" outlineLevel="1"/>
    <col min="34" max="34" width="21.5703125" style="11" hidden="1" customWidth="1" outlineLevel="1"/>
    <col min="35" max="36" width="14.28515625" style="11" hidden="1" customWidth="1" outlineLevel="1"/>
    <col min="37" max="37" width="31.42578125" style="11" hidden="1" customWidth="1" outlineLevel="1"/>
    <col min="38" max="38" width="11.425781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29.28515625" style="11" hidden="1" customWidth="1" outlineLevel="1"/>
    <col min="47" max="48" width="23.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210</v>
      </c>
      <c r="AT5" s="55">
        <f>$AC$31</f>
        <v>60</v>
      </c>
      <c r="AU5" s="55">
        <f>$AC$32</f>
        <v>50</v>
      </c>
      <c r="AV5" s="509"/>
      <c r="AW5" s="47"/>
      <c r="AX5" s="47"/>
      <c r="AY5" s="47"/>
      <c r="AZ5" s="47"/>
      <c r="BA5" s="47"/>
      <c r="BB5" s="47"/>
    </row>
    <row r="6" spans="1:54" ht="20.25" customHeight="1" x14ac:dyDescent="0.25">
      <c r="M6" s="364"/>
      <c r="N6" s="453"/>
      <c r="O6" s="51" t="s">
        <v>3</v>
      </c>
      <c r="P6" s="56">
        <v>6.6</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30.000000000000007</v>
      </c>
      <c r="AU6" s="55">
        <f>IFERROR((VLOOKUP(AQ6,$V$100:$AB$179,7,0)*0.01)*AV6,0)</f>
        <v>0</v>
      </c>
      <c r="AV6" s="55">
        <f>IFERROR($AT$5*Q74/(VLOOKUP(AQ6,$V$100:$AB$179,5,0)/100),0)</f>
        <v>171.42857142857144</v>
      </c>
      <c r="AW6" s="47"/>
      <c r="AX6" s="47"/>
      <c r="AY6" s="47"/>
      <c r="AZ6" s="47"/>
      <c r="BA6" s="47"/>
      <c r="BB6" s="47"/>
    </row>
    <row r="7" spans="1:54" ht="20.25" customHeight="1" x14ac:dyDescent="0.25">
      <c r="M7" s="364"/>
      <c r="N7" s="453"/>
      <c r="O7" s="51" t="s">
        <v>4</v>
      </c>
      <c r="P7" s="32">
        <v>2.2999999999999998</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30.000000000000004</v>
      </c>
      <c r="AU7" s="55">
        <f>IFERROR((VLOOKUP(AQ7,$V$100:$AB$179,7,0)*0.01)*AV7,0)</f>
        <v>0</v>
      </c>
      <c r="AV7" s="55">
        <f>IFERROR($AT$5*Q75/(VLOOKUP(AQ7,$V$100:$AB$179,5,0)/100),0)</f>
        <v>166.66666666666669</v>
      </c>
      <c r="AW7" s="47"/>
      <c r="AX7" s="47"/>
      <c r="AY7" s="47"/>
      <c r="AZ7" s="47"/>
      <c r="BA7" s="47"/>
      <c r="BB7" s="47"/>
    </row>
    <row r="8" spans="1:54" ht="20.25" customHeight="1" thickBot="1" x14ac:dyDescent="0.3">
      <c r="M8" s="364"/>
      <c r="N8" s="453"/>
      <c r="O8" s="51" t="s">
        <v>5</v>
      </c>
      <c r="P8" s="56">
        <v>1.01</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6.4</v>
      </c>
      <c r="AL9" s="457">
        <f>(AM9*1000)/$E$18</f>
        <v>6.4</v>
      </c>
      <c r="AM9" s="456">
        <v>2</v>
      </c>
      <c r="AO9" s="47"/>
      <c r="AP9" s="47"/>
      <c r="AQ9" s="47"/>
      <c r="AR9" s="47"/>
      <c r="AS9" s="59">
        <f>AS5-(SUM(AS6:AS8))</f>
        <v>210</v>
      </c>
      <c r="AT9" s="59">
        <f>AT5-(SUM(AT6:AT8))</f>
        <v>0</v>
      </c>
      <c r="AU9" s="59">
        <f>AU5-(SUM(AU6:AU8))</f>
        <v>50</v>
      </c>
      <c r="AV9" s="59"/>
      <c r="AW9" s="47"/>
      <c r="AX9" s="47"/>
      <c r="AY9" s="47"/>
      <c r="AZ9" s="47"/>
      <c r="BA9" s="47"/>
      <c r="BB9" s="47"/>
    </row>
    <row r="10" spans="1:54" ht="20.2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210</v>
      </c>
      <c r="AT11" s="55">
        <f t="shared" ref="AT11:AU11" si="0">AT9</f>
        <v>0</v>
      </c>
      <c r="AU11" s="55">
        <f t="shared" si="0"/>
        <v>50</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6.4</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25.000000000000004</v>
      </c>
      <c r="AV12" s="55">
        <f>IFERROR($AU$11*Q82/(VLOOKUP(AQ12,$V$100:$AB$179,7,0)/100),0)</f>
        <v>41.666666666666671</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25</v>
      </c>
      <c r="AV13" s="55">
        <f>IFERROR($AU$11*Q83/(VLOOKUP(AQ13,$V$100:$AB$179,7,0)/100),0)</f>
        <v>312.5</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19.2</v>
      </c>
      <c r="AM15" s="456">
        <v>6</v>
      </c>
      <c r="AO15" s="47"/>
      <c r="AP15" s="47"/>
      <c r="AQ15" s="47"/>
      <c r="AR15" s="47"/>
      <c r="AS15" s="59">
        <f>AS11-(SUM(AS12:AS14))</f>
        <v>210</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210</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312.5</v>
      </c>
      <c r="F18" s="457" t="s">
        <v>125</v>
      </c>
      <c r="G18" s="457"/>
      <c r="H18" s="457"/>
      <c r="I18" s="51">
        <f>O34</f>
        <v>1</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19.2</v>
      </c>
      <c r="AM18" s="456">
        <v>6</v>
      </c>
      <c r="AO18" s="47"/>
      <c r="AP18" s="54">
        <v>13</v>
      </c>
      <c r="AQ18" s="447" t="str">
        <f>O90</f>
        <v>Nitrato de Amônio</v>
      </c>
      <c r="AR18" s="447"/>
      <c r="AS18" s="55">
        <f>IFERROR((VLOOKUP(AQ18,$V$100:$AB$179,3,0)*0.01)*AV18,0)</f>
        <v>210</v>
      </c>
      <c r="AT18" s="55">
        <f>IFERROR((VLOOKUP(AQ18,$V$100:$AB$179,5,0)*0.01)*AV18,0)</f>
        <v>0</v>
      </c>
      <c r="AU18" s="55">
        <f>IFERROR((VLOOKUP(AQ18,$V$100:$AB$179,7,0)*0.01)*AV18,0)</f>
        <v>0</v>
      </c>
      <c r="AV18" s="55">
        <f>IFERROR($AS$17*Q90/(VLOOKUP(AQ18,$V$100:$AB$179,3,0)/100),0)</f>
        <v>724.13793103448279</v>
      </c>
      <c r="AW18" s="47"/>
      <c r="AX18" s="47"/>
      <c r="AY18" s="47"/>
      <c r="AZ18" s="47"/>
      <c r="BA18" s="47"/>
      <c r="BB18" s="47"/>
    </row>
    <row r="19" spans="2:54" ht="20.2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79.310344827586206</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6.6</v>
      </c>
      <c r="D22" s="63" t="s">
        <v>79</v>
      </c>
      <c r="E22" s="63">
        <f>P13</f>
        <v>38.299999999999997</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20.25" customHeight="1" x14ac:dyDescent="0.25">
      <c r="B23" s="64" t="s">
        <v>82</v>
      </c>
      <c r="C23" s="65">
        <f>P7</f>
        <v>2.2999999999999998</v>
      </c>
      <c r="D23" s="63" t="s">
        <v>129</v>
      </c>
      <c r="E23" s="63">
        <f>P11</f>
        <v>2.7</v>
      </c>
      <c r="F23" s="63" t="s">
        <v>87</v>
      </c>
      <c r="G23" s="63">
        <f>P16</f>
        <v>4</v>
      </c>
      <c r="H23" s="63" t="s">
        <v>83</v>
      </c>
      <c r="I23" s="63">
        <f>P15</f>
        <v>20</v>
      </c>
      <c r="J23" s="66"/>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20.25" customHeight="1" x14ac:dyDescent="0.25">
      <c r="B24" s="64" t="s">
        <v>80</v>
      </c>
      <c r="C24" s="65">
        <f>P8</f>
        <v>1.01</v>
      </c>
      <c r="D24" s="63" t="s">
        <v>130</v>
      </c>
      <c r="E24" s="63">
        <f>P10</f>
        <v>0.1</v>
      </c>
      <c r="F24" s="63" t="s">
        <v>89</v>
      </c>
      <c r="G24" s="63">
        <f>P17</f>
        <v>58.4</v>
      </c>
      <c r="H24" s="63" t="s">
        <v>131</v>
      </c>
      <c r="I24" s="63">
        <f>P25</f>
        <v>13.049999999999997</v>
      </c>
      <c r="J24" s="66"/>
      <c r="M24" s="364"/>
      <c r="N24" s="453"/>
      <c r="O24" s="51" t="s">
        <v>22</v>
      </c>
      <c r="P24" s="63">
        <f>100*(P6+P7+P8+P9)/P25</f>
        <v>79.310344827586206</v>
      </c>
      <c r="Q24" s="51" t="s">
        <v>23</v>
      </c>
      <c r="R24" s="53"/>
      <c r="AO24" s="47"/>
      <c r="AP24" s="47"/>
      <c r="AQ24" s="47"/>
      <c r="AR24" s="47"/>
      <c r="AS24" s="59">
        <f>AS26-(SUM(AS27:AS36))</f>
        <v>6.3995293103448283</v>
      </c>
      <c r="AT24" s="59">
        <f t="shared" ref="AT24:AV24" si="3">AT26-(SUM(AT27:AT36))</f>
        <v>-4.7068965517241376E-4</v>
      </c>
      <c r="AU24" s="59">
        <f t="shared" si="3"/>
        <v>-9.0517241379310361E-4</v>
      </c>
      <c r="AV24" s="59">
        <f t="shared" si="3"/>
        <v>-1.013793103448276E-4</v>
      </c>
      <c r="AW24" s="47"/>
      <c r="AX24" s="47"/>
      <c r="AY24" s="47"/>
      <c r="AZ24" s="47"/>
      <c r="BA24" s="47"/>
      <c r="BB24" s="47"/>
    </row>
    <row r="25" spans="2:54" ht="20.25" customHeight="1" thickBot="1" x14ac:dyDescent="0.3">
      <c r="J25" s="66"/>
      <c r="M25" s="364"/>
      <c r="N25" s="453"/>
      <c r="O25" s="51" t="s">
        <v>24</v>
      </c>
      <c r="P25" s="67">
        <f>(P6+P7+P8+P9+P11)</f>
        <v>13.049999999999997</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459" t="s">
        <v>312</v>
      </c>
      <c r="V26" s="512"/>
      <c r="W26" s="512"/>
      <c r="X26" s="512"/>
      <c r="Y26" s="512"/>
      <c r="Z26" s="460"/>
      <c r="AO26" s="47"/>
      <c r="AP26" s="461"/>
      <c r="AQ26" s="461"/>
      <c r="AR26" s="461"/>
      <c r="AS26" s="72">
        <f>AK9</f>
        <v>6.4</v>
      </c>
      <c r="AT26" s="72">
        <f>AK12</f>
        <v>0</v>
      </c>
      <c r="AU26" s="72">
        <f>AK15</f>
        <v>0</v>
      </c>
      <c r="AV26" s="72">
        <f>AK18</f>
        <v>0</v>
      </c>
      <c r="AW26" s="47"/>
      <c r="AX26" s="47"/>
      <c r="AY26" s="47"/>
      <c r="AZ26" s="47"/>
      <c r="BA26" s="47"/>
      <c r="BB26" s="47"/>
    </row>
    <row r="27" spans="2:54" ht="20.25" customHeight="1" thickBot="1" x14ac:dyDescent="0.3">
      <c r="B27" s="488" t="str">
        <f>IF($O$47&gt;0,$O$47,"-")</f>
        <v>ARAGUAIA Dolomítico</v>
      </c>
      <c r="C27" s="488"/>
      <c r="D27" s="73" t="str">
        <f>IF(J27&gt;0,J27,"-")</f>
        <v>-</v>
      </c>
      <c r="E27" s="365" t="str">
        <f>IF(J27&gt;0,"toneladas por hectare ou,","-")</f>
        <v>-</v>
      </c>
      <c r="F27" s="365"/>
      <c r="G27" s="365"/>
      <c r="H27" s="365"/>
      <c r="I27" s="365"/>
      <c r="J27" s="74">
        <f>V51</f>
        <v>0</v>
      </c>
      <c r="U27" s="51" t="s">
        <v>32</v>
      </c>
      <c r="V27" s="51" t="s">
        <v>64</v>
      </c>
      <c r="W27" s="51" t="s">
        <v>75</v>
      </c>
      <c r="X27" s="51" t="s">
        <v>71</v>
      </c>
      <c r="Y27" s="51" t="s">
        <v>36</v>
      </c>
      <c r="Z27" s="51" t="s">
        <v>35</v>
      </c>
      <c r="AO27" s="47"/>
      <c r="AP27" s="447" t="s">
        <v>261</v>
      </c>
      <c r="AQ27" s="447" t="str">
        <f>B29</f>
        <v>Micaxisto (61) 3233-9368</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20.25" customHeight="1" x14ac:dyDescent="0.25">
      <c r="B28" s="488"/>
      <c r="C28" s="488"/>
      <c r="D28" s="73" t="str">
        <f>IF(J28&gt;0,J28,"-")</f>
        <v>-</v>
      </c>
      <c r="E28" s="365" t="str">
        <f>IF(J28&gt;0,"quilos por metro quadrado","-")</f>
        <v>-</v>
      </c>
      <c r="F28" s="365"/>
      <c r="G28" s="365"/>
      <c r="H28" s="365"/>
      <c r="I28" s="365"/>
      <c r="J28" s="74">
        <f>J27/10</f>
        <v>0</v>
      </c>
      <c r="M28" s="48"/>
      <c r="N28" s="49"/>
      <c r="O28" s="49"/>
      <c r="P28" s="49"/>
      <c r="Q28" s="49"/>
      <c r="R28" s="50"/>
      <c r="U28" s="75">
        <v>0</v>
      </c>
      <c r="V28" s="75">
        <v>50</v>
      </c>
      <c r="W28" s="75" t="s">
        <v>68</v>
      </c>
      <c r="X28" s="75" t="str">
        <f>CONCATENATE(U28," - ",W28)</f>
        <v>0 - baixo</v>
      </c>
      <c r="Y28" s="75">
        <v>10</v>
      </c>
      <c r="Z28" s="75">
        <v>10</v>
      </c>
      <c r="AE28" s="51"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20.25" customHeight="1" x14ac:dyDescent="0.25">
      <c r="B29" s="488" t="str">
        <f>IF($O$50&gt;0,$O$50,"-")</f>
        <v>Micaxisto (61) 3233-9368</v>
      </c>
      <c r="C29" s="488"/>
      <c r="D29" s="73" t="str">
        <f>IF(J29&gt;0,J29,"-")</f>
        <v>-</v>
      </c>
      <c r="E29" s="365" t="str">
        <f>IF(J29&gt;0,"toneladas por hectare ou,","-")</f>
        <v>-</v>
      </c>
      <c r="F29" s="365"/>
      <c r="G29" s="365"/>
      <c r="H29" s="365"/>
      <c r="I29" s="365"/>
      <c r="J29" s="74">
        <f>Z49</f>
        <v>0</v>
      </c>
      <c r="M29" s="364" t="s">
        <v>211</v>
      </c>
      <c r="N29" s="453"/>
      <c r="O29" s="489" t="s">
        <v>197</v>
      </c>
      <c r="P29" s="489"/>
      <c r="Q29" s="489"/>
      <c r="R29" s="53"/>
      <c r="U29" s="75">
        <v>0</v>
      </c>
      <c r="V29" s="75">
        <v>50</v>
      </c>
      <c r="W29" s="75" t="s">
        <v>69</v>
      </c>
      <c r="X29" s="75" t="str">
        <f t="shared" ref="X29:X42" si="9">CONCATENATE(U29," - ",W29)</f>
        <v>0 - medio</v>
      </c>
      <c r="Y29" s="75">
        <v>10</v>
      </c>
      <c r="Z29" s="75">
        <v>10</v>
      </c>
      <c r="AB29" s="458" t="s">
        <v>65</v>
      </c>
      <c r="AC29" s="458"/>
      <c r="AE29" s="51" t="s">
        <v>32</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20.25" customHeight="1" x14ac:dyDescent="0.25">
      <c r="B30" s="488"/>
      <c r="C30" s="488"/>
      <c r="D30" s="73" t="str">
        <f>IF(J30&gt;0,J30,"-")</f>
        <v>-</v>
      </c>
      <c r="E30" s="365" t="str">
        <f>IF(J30&gt;0,"quilos por metro quadrado","-")</f>
        <v>-</v>
      </c>
      <c r="F30" s="365"/>
      <c r="G30" s="365"/>
      <c r="H30" s="365"/>
      <c r="I30" s="365"/>
      <c r="J30" s="74">
        <f>J29/10</f>
        <v>0</v>
      </c>
      <c r="M30" s="364"/>
      <c r="N30" s="453"/>
      <c r="O30" s="32">
        <v>4</v>
      </c>
      <c r="P30" s="77" t="s">
        <v>200</v>
      </c>
      <c r="Q30" s="32">
        <v>8</v>
      </c>
      <c r="R30" s="53"/>
      <c r="U30" s="75">
        <v>0</v>
      </c>
      <c r="V30" s="75">
        <v>50</v>
      </c>
      <c r="W30" s="75" t="s">
        <v>70</v>
      </c>
      <c r="X30" s="75" t="str">
        <f t="shared" si="9"/>
        <v>0 - adequado</v>
      </c>
      <c r="Y30" s="75">
        <v>10</v>
      </c>
      <c r="Z30" s="75">
        <v>10</v>
      </c>
      <c r="AB30" s="78" t="s">
        <v>33</v>
      </c>
      <c r="AC30" s="78">
        <f>VLOOKUP($P$39,$U$28:$V$42,2,0)</f>
        <v>210</v>
      </c>
      <c r="AE30" s="51"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20.25" customHeight="1" x14ac:dyDescent="0.25">
      <c r="B31" s="514" t="s">
        <v>533</v>
      </c>
      <c r="C31" s="514"/>
      <c r="D31" s="514"/>
      <c r="E31" s="514"/>
      <c r="F31" s="514"/>
      <c r="G31" s="514"/>
      <c r="H31" s="514"/>
      <c r="I31" s="514"/>
      <c r="J31" s="74"/>
      <c r="M31" s="364"/>
      <c r="N31" s="365"/>
      <c r="O31" s="105"/>
      <c r="P31" s="105"/>
      <c r="Q31" s="105"/>
      <c r="R31" s="53"/>
      <c r="U31" s="75">
        <v>1</v>
      </c>
      <c r="V31" s="75">
        <v>30</v>
      </c>
      <c r="W31" s="75" t="s">
        <v>68</v>
      </c>
      <c r="X31" s="75" t="str">
        <f t="shared" si="9"/>
        <v>1 - baixo</v>
      </c>
      <c r="Y31" s="75">
        <v>80</v>
      </c>
      <c r="Z31" s="75">
        <v>50</v>
      </c>
      <c r="AB31" s="78" t="s">
        <v>66</v>
      </c>
      <c r="AC31" s="78">
        <f>VLOOKUP(AB36,X28:Z42,2,0)</f>
        <v>60</v>
      </c>
      <c r="AE31" s="51">
        <v>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20.25" customHeight="1" x14ac:dyDescent="0.25">
      <c r="B32" s="514"/>
      <c r="C32" s="514"/>
      <c r="D32" s="514"/>
      <c r="E32" s="514"/>
      <c r="F32" s="514"/>
      <c r="G32" s="514"/>
      <c r="H32" s="514"/>
      <c r="I32" s="514"/>
      <c r="J32" s="74"/>
      <c r="M32" s="364"/>
      <c r="N32" s="365"/>
      <c r="O32" s="80"/>
      <c r="P32" s="80"/>
      <c r="Q32" s="80"/>
      <c r="R32" s="53"/>
      <c r="U32" s="75">
        <v>1</v>
      </c>
      <c r="V32" s="75">
        <v>30</v>
      </c>
      <c r="W32" s="75" t="s">
        <v>69</v>
      </c>
      <c r="X32" s="75" t="str">
        <f t="shared" si="9"/>
        <v>1 - medio</v>
      </c>
      <c r="Y32" s="75">
        <v>50</v>
      </c>
      <c r="Z32" s="75">
        <v>30</v>
      </c>
      <c r="AB32" s="78" t="s">
        <v>67</v>
      </c>
      <c r="AC32" s="78">
        <f>VLOOKUP($AB$39,X28:Z42,3,0)</f>
        <v>50</v>
      </c>
      <c r="AE32" s="51">
        <v>1</v>
      </c>
      <c r="AI32" s="76">
        <v>0.2</v>
      </c>
      <c r="AK32" s="51" t="s">
        <v>292</v>
      </c>
      <c r="AO32" s="47"/>
      <c r="AP32" s="447"/>
      <c r="AQ32" s="447" t="str">
        <f t="shared" si="8"/>
        <v>EkoSil</v>
      </c>
      <c r="AR32" s="447"/>
      <c r="AS32" s="55">
        <f t="shared" si="4"/>
        <v>4.7068965517241376E-4</v>
      </c>
      <c r="AT32" s="55">
        <f t="shared" si="5"/>
        <v>4.7068965517241376E-4</v>
      </c>
      <c r="AU32" s="55">
        <f t="shared" si="6"/>
        <v>9.0517241379310361E-4</v>
      </c>
      <c r="AV32" s="55">
        <f t="shared" si="7"/>
        <v>1.013793103448276E-4</v>
      </c>
      <c r="AW32" s="47"/>
      <c r="AX32" s="47"/>
      <c r="AY32" s="47"/>
      <c r="AZ32" s="47"/>
      <c r="BA32" s="47"/>
      <c r="BB32" s="47"/>
    </row>
    <row r="33" spans="2:57" ht="20.25" customHeight="1" thickBot="1" x14ac:dyDescent="0.3">
      <c r="B33" s="515"/>
      <c r="C33" s="515"/>
      <c r="D33" s="515"/>
      <c r="E33" s="515"/>
      <c r="F33" s="515"/>
      <c r="G33" s="515"/>
      <c r="H33" s="515"/>
      <c r="I33" s="515"/>
      <c r="J33" s="74"/>
      <c r="M33" s="364"/>
      <c r="N33" s="453"/>
      <c r="O33" s="489" t="s">
        <v>282</v>
      </c>
      <c r="P33" s="489"/>
      <c r="Q33" s="489"/>
      <c r="R33" s="53"/>
      <c r="U33" s="75">
        <v>1</v>
      </c>
      <c r="V33" s="75">
        <v>30</v>
      </c>
      <c r="W33" s="75" t="s">
        <v>70</v>
      </c>
      <c r="X33" s="75" t="str">
        <f t="shared" si="9"/>
        <v>1 - adequado</v>
      </c>
      <c r="Y33" s="75">
        <v>30</v>
      </c>
      <c r="Z33" s="75">
        <v>20</v>
      </c>
      <c r="AE33" s="51">
        <v>2</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364"/>
      <c r="N34" s="453"/>
      <c r="O34" s="448">
        <v>1</v>
      </c>
      <c r="P34" s="448"/>
      <c r="Q34" s="448"/>
      <c r="R34" s="53"/>
      <c r="U34" s="75">
        <v>2</v>
      </c>
      <c r="V34" s="75">
        <v>80</v>
      </c>
      <c r="W34" s="75" t="s">
        <v>68</v>
      </c>
      <c r="X34" s="75" t="str">
        <f t="shared" si="9"/>
        <v>2 - baixo</v>
      </c>
      <c r="Y34" s="75">
        <v>115</v>
      </c>
      <c r="Z34" s="75">
        <v>80</v>
      </c>
      <c r="AE34" s="51">
        <v>3</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20.25" customHeight="1" thickBot="1" x14ac:dyDescent="0.3">
      <c r="B35" s="488" t="str">
        <f>IF($O$55&gt;0,$O$55,"-")</f>
        <v>Nutrigesso Nutrion</v>
      </c>
      <c r="C35" s="488"/>
      <c r="D35" s="73">
        <f>IF(J34&gt;0,J34,"-")</f>
        <v>356.25</v>
      </c>
      <c r="E35" s="365" t="str">
        <f>IF(J34&gt;0,"quilos por hectare ou,","-")</f>
        <v>quilos por hectare ou,</v>
      </c>
      <c r="F35" s="365"/>
      <c r="G35" s="365"/>
      <c r="H35" s="365"/>
      <c r="I35" s="365"/>
      <c r="J35" s="81">
        <f>J34/10</f>
        <v>35.625</v>
      </c>
      <c r="M35" s="69"/>
      <c r="N35" s="70"/>
      <c r="O35" s="70"/>
      <c r="P35" s="83">
        <f>10000/($O$30*$Q$30)</f>
        <v>312.5</v>
      </c>
      <c r="Q35" s="83" t="e">
        <f>10000/((($O$32/2)+($P$32/2))*$Q$32)</f>
        <v>#DIV/0!</v>
      </c>
      <c r="R35" s="71"/>
      <c r="U35" s="75">
        <v>2</v>
      </c>
      <c r="V35" s="75">
        <v>80</v>
      </c>
      <c r="W35" s="75" t="s">
        <v>69</v>
      </c>
      <c r="X35" s="75" t="str">
        <f t="shared" si="9"/>
        <v>2 - medio</v>
      </c>
      <c r="Y35" s="75">
        <v>80</v>
      </c>
      <c r="Z35" s="75">
        <v>50</v>
      </c>
      <c r="AB35" s="457" t="s">
        <v>72</v>
      </c>
      <c r="AC35" s="457"/>
      <c r="AE35" s="51">
        <v>4</v>
      </c>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v>2</v>
      </c>
      <c r="V36" s="75">
        <v>80</v>
      </c>
      <c r="W36" s="75" t="s">
        <v>70</v>
      </c>
      <c r="X36" s="75" t="str">
        <f t="shared" si="9"/>
        <v>2 - adequado</v>
      </c>
      <c r="Y36" s="75">
        <v>40</v>
      </c>
      <c r="Z36" s="75">
        <v>30</v>
      </c>
      <c r="AB36" s="457" t="str">
        <f>CONCATENATE($P$39," - ",$AD$8)</f>
        <v>4 -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U37" s="75">
        <v>3</v>
      </c>
      <c r="V37" s="75">
        <v>150</v>
      </c>
      <c r="W37" s="75" t="s">
        <v>68</v>
      </c>
      <c r="X37" s="75" t="str">
        <f t="shared" si="9"/>
        <v>3 - baixo</v>
      </c>
      <c r="Y37" s="75">
        <v>160</v>
      </c>
      <c r="Z37" s="75">
        <v>110</v>
      </c>
      <c r="AI37" s="76">
        <v>0.7</v>
      </c>
      <c r="AK37" s="51" t="s">
        <v>290</v>
      </c>
      <c r="AO37" s="85"/>
      <c r="AP37" s="85"/>
      <c r="AQ37" s="85"/>
      <c r="AR37" s="85"/>
      <c r="AS37" s="59">
        <f>IF(AS24&gt;0,AS24,0)</f>
        <v>6.3995293103448283</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198</v>
      </c>
      <c r="P38" s="489"/>
      <c r="Q38" s="489"/>
      <c r="R38" s="53"/>
      <c r="U38" s="75">
        <v>3</v>
      </c>
      <c r="V38" s="75">
        <v>150</v>
      </c>
      <c r="W38" s="75" t="s">
        <v>69</v>
      </c>
      <c r="X38" s="75" t="str">
        <f t="shared" si="9"/>
        <v>3 - medio</v>
      </c>
      <c r="Y38" s="75">
        <v>110</v>
      </c>
      <c r="Z38" s="75">
        <v>70</v>
      </c>
      <c r="AB38" s="457" t="s">
        <v>73</v>
      </c>
      <c r="AC38" s="457"/>
      <c r="AI38" s="76">
        <v>0.8</v>
      </c>
      <c r="AK38" s="51"/>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171.42857142857144</v>
      </c>
      <c r="M39" s="364"/>
      <c r="N39" s="365"/>
      <c r="O39" s="51" t="s">
        <v>182</v>
      </c>
      <c r="P39" s="448">
        <v>4</v>
      </c>
      <c r="Q39" s="448"/>
      <c r="R39" s="53"/>
      <c r="U39" s="75">
        <v>3</v>
      </c>
      <c r="V39" s="75">
        <v>150</v>
      </c>
      <c r="W39" s="75" t="s">
        <v>70</v>
      </c>
      <c r="X39" s="75" t="str">
        <f t="shared" si="9"/>
        <v>3 - adequado</v>
      </c>
      <c r="Y39" s="75">
        <v>50</v>
      </c>
      <c r="Z39" s="75">
        <v>40</v>
      </c>
      <c r="AB39" s="457" t="str">
        <f>CONCATENATE($P$39," - ",$AD$22)</f>
        <v>4 -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f>IF(AQ59&gt;0,AQ59,"-")</f>
        <v>5</v>
      </c>
      <c r="E40" s="362" t="str">
        <f>IF(AQ59&gt;0,"quilos por cova ou planta","-")</f>
        <v>quilos por cova ou planta</v>
      </c>
      <c r="F40" s="362"/>
      <c r="G40" s="362"/>
      <c r="H40" s="362"/>
      <c r="I40" s="362"/>
      <c r="J40" s="81">
        <f>AV7</f>
        <v>166.66666666666669</v>
      </c>
      <c r="M40" s="364"/>
      <c r="N40" s="365"/>
      <c r="O40" s="25"/>
      <c r="P40" s="25"/>
      <c r="Q40" s="25"/>
      <c r="R40" s="53"/>
      <c r="U40" s="75">
        <v>4</v>
      </c>
      <c r="V40" s="75">
        <v>210</v>
      </c>
      <c r="W40" s="75" t="s">
        <v>68</v>
      </c>
      <c r="X40" s="75" t="str">
        <f t="shared" si="9"/>
        <v>4 - baixo</v>
      </c>
      <c r="Y40" s="75">
        <v>190</v>
      </c>
      <c r="Z40" s="75">
        <v>130</v>
      </c>
      <c r="AI40" s="76">
        <v>1</v>
      </c>
      <c r="AO40" s="47"/>
      <c r="AP40" s="447" t="str">
        <f>O105</f>
        <v>Ácido Bórico</v>
      </c>
      <c r="AQ40" s="447"/>
      <c r="AR40" s="55">
        <f>IFERROR($AS$37/((VLOOKUP(AP40,$V$100:$AO$179,11,0)*0.01)),0)</f>
        <v>36.568738916256159</v>
      </c>
      <c r="AS40" s="55">
        <f>IFERROR($AT$37/((VLOOKUP(AP40,$V$100:$AO$179,14,0)*0.01)),0)</f>
        <v>0</v>
      </c>
      <c r="AT40" s="55">
        <f>IFERROR($AU$37/((VLOOKUP(AP40,$V$100:$AO$179,12,0)*0.01)),0)</f>
        <v>0</v>
      </c>
      <c r="AU40" s="55">
        <f>IFERROR($AV$37/((VLOOKUP(AP40,$V$100:$AO$179,13,0)*0.01)),0)</f>
        <v>0</v>
      </c>
      <c r="AV40" s="55">
        <f>MAX(AR40:AU40)</f>
        <v>36.568738916256159</v>
      </c>
      <c r="AW40" s="55">
        <f>IFERROR(AV40*(VLOOKUP(AP40,$V$100:$AO$179,11,0)*0.01),0)</f>
        <v>6.3995293103448283</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f t="shared" ref="D41:D49" si="10">IF(J39&gt;0,J39,"-")</f>
        <v>171.42857142857144</v>
      </c>
      <c r="E41" s="365" t="str">
        <f t="shared" ref="E41:E49" si="11">IF(J39&gt;0,"gramas por planta","-")</f>
        <v>gramas por planta</v>
      </c>
      <c r="F41" s="365"/>
      <c r="G41" s="365"/>
      <c r="H41" s="365"/>
      <c r="I41" s="365"/>
      <c r="J41" s="81">
        <f>AV8</f>
        <v>0</v>
      </c>
      <c r="M41" s="364"/>
      <c r="N41" s="365"/>
      <c r="O41" s="489" t="s">
        <v>308</v>
      </c>
      <c r="P41" s="489"/>
      <c r="Q41" s="489"/>
      <c r="R41" s="53"/>
      <c r="U41" s="75">
        <v>4</v>
      </c>
      <c r="V41" s="75">
        <v>210</v>
      </c>
      <c r="W41" s="75" t="s">
        <v>69</v>
      </c>
      <c r="X41" s="75" t="str">
        <f t="shared" si="9"/>
        <v>4 - medio</v>
      </c>
      <c r="Y41" s="75">
        <v>130</v>
      </c>
      <c r="Z41" s="75">
        <v>85</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2">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f t="shared" si="10"/>
        <v>166.66666666666669</v>
      </c>
      <c r="E42" s="365" t="str">
        <f t="shared" si="11"/>
        <v>gramas por planta</v>
      </c>
      <c r="F42" s="365"/>
      <c r="G42" s="365"/>
      <c r="H42" s="365"/>
      <c r="I42" s="365"/>
      <c r="J42" s="81">
        <f>AV12</f>
        <v>41.666666666666671</v>
      </c>
      <c r="M42" s="364"/>
      <c r="N42" s="365"/>
      <c r="O42" s="483" t="s">
        <v>292</v>
      </c>
      <c r="P42" s="513"/>
      <c r="Q42" s="484"/>
      <c r="R42" s="53"/>
      <c r="U42" s="75">
        <v>4</v>
      </c>
      <c r="V42" s="75">
        <v>210</v>
      </c>
      <c r="W42" s="75" t="s">
        <v>70</v>
      </c>
      <c r="X42" s="75" t="str">
        <f t="shared" si="9"/>
        <v>4 - adequado</v>
      </c>
      <c r="Y42" s="75">
        <v>60</v>
      </c>
      <c r="Z42" s="75">
        <v>50</v>
      </c>
      <c r="AO42" s="47"/>
      <c r="AP42" s="447" t="str">
        <f>O107</f>
        <v>Sulfato de manganês</v>
      </c>
      <c r="AQ42" s="447"/>
      <c r="AR42" s="55">
        <f>IFERROR($AS$37/((VLOOKUP(AP42,$V$100:$AO$179,11,0)*0.01)),0)</f>
        <v>0</v>
      </c>
      <c r="AS42" s="55">
        <f>IFERROR($AT$37/((VLOOKUP(AP42,$V$100:$AO$179,14,0)*0.01)),0)</f>
        <v>0</v>
      </c>
      <c r="AT42" s="55">
        <f>IFERROR($AU$37/((VLOOKUP(AP42,$V$100:$AO$179,12,0)*0.01)),0)</f>
        <v>0</v>
      </c>
      <c r="AU42" s="55">
        <f>IFERROR($AV$37/((VLOOKUP(AP42,$V$100:$AO$179,13,0)*0.01)),0)</f>
        <v>0</v>
      </c>
      <c r="AV42" s="55">
        <f t="shared" si="12"/>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0"/>
        <v>-</v>
      </c>
      <c r="E43" s="365" t="str">
        <f t="shared" si="11"/>
        <v>-</v>
      </c>
      <c r="F43" s="365"/>
      <c r="G43" s="365"/>
      <c r="H43" s="365"/>
      <c r="I43" s="365"/>
      <c r="J43" s="81">
        <f>AV13</f>
        <v>312.5</v>
      </c>
      <c r="M43" s="69"/>
      <c r="N43" s="70"/>
      <c r="O43" s="70"/>
      <c r="P43" s="70"/>
      <c r="Q43" s="70"/>
      <c r="R43" s="71"/>
      <c r="AO43" s="47"/>
      <c r="AP43" s="447" t="str">
        <f>O108</f>
        <v>Sulfato de zinco</v>
      </c>
      <c r="AQ43" s="447"/>
      <c r="AR43" s="55">
        <f>IFERROR($AS$37/((VLOOKUP(AP43,$V$100:$AO$179,11,0)*0.01)),0)</f>
        <v>0</v>
      </c>
      <c r="AS43" s="55">
        <f>IFERROR($AT$37/((VLOOKUP(AP43,$V$100:$AO$179,14,0)*0.01)),0)</f>
        <v>0</v>
      </c>
      <c r="AT43" s="55">
        <f>IFERROR($AU$37/((VLOOKUP(AP43,$V$100:$AO$179,12,0)*0.01)),0)</f>
        <v>0</v>
      </c>
      <c r="AU43" s="55">
        <f>IFERROR($AV$37/((VLOOKUP(AP43,$V$100:$AO$179,13,0)*0.01)),0)</f>
        <v>0</v>
      </c>
      <c r="AV43" s="55">
        <f t="shared" si="12"/>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0"/>
        <v>41.666666666666671</v>
      </c>
      <c r="E44" s="365" t="str">
        <f t="shared" si="11"/>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0"/>
        <v>312.5</v>
      </c>
      <c r="E45" s="365" t="str">
        <f t="shared" si="11"/>
        <v>gramas por planta</v>
      </c>
      <c r="F45" s="365"/>
      <c r="G45" s="365"/>
      <c r="H45" s="365"/>
      <c r="I45" s="365"/>
      <c r="J45" s="81">
        <f>AV18</f>
        <v>724.13793103448279</v>
      </c>
      <c r="M45" s="48"/>
      <c r="N45" s="49"/>
      <c r="O45" s="499" t="s">
        <v>305</v>
      </c>
      <c r="P45" s="500"/>
      <c r="Q45" s="501"/>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0"/>
        <v>-</v>
      </c>
      <c r="E46" s="365" t="str">
        <f t="shared" si="11"/>
        <v>-</v>
      </c>
      <c r="F46" s="365"/>
      <c r="G46" s="365"/>
      <c r="H46" s="365"/>
      <c r="I46" s="365"/>
      <c r="J46" s="81">
        <f>AV19</f>
        <v>0</v>
      </c>
      <c r="M46" s="364" t="s">
        <v>213</v>
      </c>
      <c r="N46" s="365"/>
      <c r="O46" s="502"/>
      <c r="P46" s="503"/>
      <c r="Q46" s="504"/>
      <c r="R46" s="53"/>
      <c r="U46" s="75" t="s">
        <v>109</v>
      </c>
      <c r="V46" s="89">
        <v>70</v>
      </c>
      <c r="X46" s="455" t="s">
        <v>268</v>
      </c>
      <c r="Y46" s="455"/>
      <c r="Z46" s="63">
        <f>IFERROR(VLOOKUP(O50,$V$87:$AE$95,10,0),0)</f>
        <v>6.7891575865994476</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0"/>
        <v>724.13793103448279</v>
      </c>
      <c r="E47" s="365" t="str">
        <f t="shared" si="11"/>
        <v>gramas por planta</v>
      </c>
      <c r="F47" s="365"/>
      <c r="G47" s="365"/>
      <c r="H47" s="365"/>
      <c r="I47" s="365"/>
      <c r="J47" s="81">
        <f>AV20</f>
        <v>0</v>
      </c>
      <c r="M47" s="364"/>
      <c r="N47" s="365"/>
      <c r="O47" s="481" t="s">
        <v>138</v>
      </c>
      <c r="P47" s="482"/>
      <c r="Q47" s="90">
        <v>0.5</v>
      </c>
      <c r="R47" s="53"/>
      <c r="U47" s="51" t="s">
        <v>111</v>
      </c>
      <c r="V47" s="63">
        <f>IFERROR((((V46-P24)*P25)/V49),0)</f>
        <v>-1.3650151668351866</v>
      </c>
      <c r="X47" s="455" t="s">
        <v>203</v>
      </c>
      <c r="Y47" s="455"/>
      <c r="Z47" s="63">
        <f>IFERROR((($V$50/$Z$46)*$V$47),0)</f>
        <v>-9.2888845049438551</v>
      </c>
      <c r="AO47" s="47"/>
      <c r="BA47" s="47"/>
      <c r="BB47" s="47"/>
    </row>
    <row r="48" spans="2:57" ht="20.25" customHeight="1" x14ac:dyDescent="0.25">
      <c r="B48" s="449" t="str">
        <f>IF(AQ19&gt;0,AQ19,"-")</f>
        <v>-</v>
      </c>
      <c r="C48" s="449"/>
      <c r="D48" s="87" t="str">
        <f t="shared" si="10"/>
        <v>-</v>
      </c>
      <c r="E48" s="365" t="str">
        <f t="shared" si="11"/>
        <v>-</v>
      </c>
      <c r="F48" s="365"/>
      <c r="G48" s="365"/>
      <c r="H48" s="365"/>
      <c r="I48" s="365"/>
      <c r="J48" s="91"/>
      <c r="M48" s="364"/>
      <c r="N48" s="365"/>
      <c r="O48" s="505" t="s">
        <v>306</v>
      </c>
      <c r="P48" s="506"/>
      <c r="Q48" s="507"/>
      <c r="R48" s="53"/>
      <c r="U48" s="51" t="s">
        <v>201</v>
      </c>
      <c r="V48" s="63">
        <f>IF(V47&lt;0,(0),IF(V47&gt;=0,(V47)))</f>
        <v>0</v>
      </c>
      <c r="X48" s="455" t="s">
        <v>201</v>
      </c>
      <c r="Y48" s="455"/>
      <c r="Z48" s="63">
        <f>IFERROR(IF(Z47&lt;0,(0),IF(Z47&gt;=0,(Z47))),0)</f>
        <v>0</v>
      </c>
    </row>
    <row r="49" spans="2:50" ht="20.25" customHeight="1" x14ac:dyDescent="0.25">
      <c r="B49" s="449" t="str">
        <f>IF(AQ20&gt;0,AQ20,"-")</f>
        <v>-</v>
      </c>
      <c r="C49" s="449"/>
      <c r="D49" s="87" t="str">
        <f t="shared" si="10"/>
        <v>-</v>
      </c>
      <c r="E49" s="365" t="str">
        <f t="shared" si="11"/>
        <v>-</v>
      </c>
      <c r="F49" s="365"/>
      <c r="G49" s="365"/>
      <c r="H49" s="365"/>
      <c r="I49" s="365"/>
      <c r="M49" s="364"/>
      <c r="N49" s="365"/>
      <c r="O49" s="502"/>
      <c r="P49" s="503"/>
      <c r="Q49" s="504"/>
      <c r="R49" s="53"/>
      <c r="U49" s="51" t="s">
        <v>110</v>
      </c>
      <c r="V49" s="63">
        <f>IFERROR(VLOOKUP($O$47,$V$56:$AA$68,5,0),0)</f>
        <v>89.01</v>
      </c>
      <c r="X49" s="455" t="s">
        <v>273</v>
      </c>
      <c r="Y49" s="455"/>
      <c r="Z49" s="63">
        <f>Z48*$Q$50</f>
        <v>0</v>
      </c>
    </row>
    <row r="50" spans="2:50" ht="20.25" customHeight="1" x14ac:dyDescent="0.25">
      <c r="B50" s="476" t="s">
        <v>535</v>
      </c>
      <c r="C50" s="476"/>
      <c r="D50" s="476"/>
      <c r="E50" s="476"/>
      <c r="F50" s="476"/>
      <c r="G50" s="476"/>
      <c r="H50" s="476"/>
      <c r="I50" s="476"/>
      <c r="M50" s="364"/>
      <c r="N50" s="365"/>
      <c r="O50" s="483" t="s">
        <v>156</v>
      </c>
      <c r="P50" s="484"/>
      <c r="Q50" s="92">
        <v>0.5</v>
      </c>
      <c r="R50" s="53"/>
      <c r="U50" s="51" t="s">
        <v>193</v>
      </c>
      <c r="V50" s="63">
        <f>IFERROR(VLOOKUP($O$47,$V$56:$AA$68,6,0),0)</f>
        <v>46.2</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3">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3"/>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3"/>
        <v>3 - Composto de lixo (COL)</v>
      </c>
      <c r="AW54" s="51">
        <v>15</v>
      </c>
    </row>
    <row r="55" spans="2:50" ht="20.25" customHeight="1" x14ac:dyDescent="0.25">
      <c r="B55" s="449" t="str">
        <f>IF(AP40&gt;0,AP40,"-")</f>
        <v>Ácido Bórico</v>
      </c>
      <c r="C55" s="449"/>
      <c r="D55" s="87">
        <f>IF(AV40&gt;0,AV40,"-")</f>
        <v>36.568738916256159</v>
      </c>
      <c r="E55" s="365" t="str">
        <f>IF(AV40&gt;0,"gramas por planta","-")</f>
        <v>gramas por planta</v>
      </c>
      <c r="F55" s="365"/>
      <c r="G55" s="365"/>
      <c r="H55" s="365"/>
      <c r="I55" s="365"/>
      <c r="M55" s="364"/>
      <c r="N55" s="365"/>
      <c r="O55" s="448" t="s">
        <v>154</v>
      </c>
      <c r="P55" s="448"/>
      <c r="Q55" s="448"/>
      <c r="R55" s="53"/>
      <c r="U55" s="344"/>
      <c r="V55" s="344"/>
      <c r="W55" s="344"/>
      <c r="X55" s="95" t="s">
        <v>105</v>
      </c>
      <c r="Y55" s="95" t="s">
        <v>106</v>
      </c>
      <c r="Z55" s="95" t="s">
        <v>107</v>
      </c>
      <c r="AA55" s="95" t="s">
        <v>195</v>
      </c>
      <c r="AP55" s="465"/>
      <c r="AQ55" s="465"/>
      <c r="AS55" s="465"/>
      <c r="AT55" s="51">
        <v>4</v>
      </c>
      <c r="AU55" s="93" t="s">
        <v>286</v>
      </c>
      <c r="AV55" s="93" t="str">
        <f t="shared" si="13"/>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3"/>
        <v>0 - Cama de frango corte</v>
      </c>
      <c r="AW56" s="75">
        <v>4</v>
      </c>
      <c r="AX56" s="25"/>
    </row>
    <row r="57" spans="2:50" ht="20.25" customHeight="1" x14ac:dyDescent="0.25">
      <c r="B57" s="449" t="str">
        <f>IF(AP42&gt;0,AP42,"-")</f>
        <v>Sulfato de manganês</v>
      </c>
      <c r="C57" s="449"/>
      <c r="D57" s="87" t="str">
        <f>IF(AV42&gt;0,AV42,"-")</f>
        <v>-</v>
      </c>
      <c r="E57" s="365" t="str">
        <f t="shared" ref="E57:E59" si="14">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3"/>
        <v>1 - Cama de frango corte</v>
      </c>
      <c r="AW57" s="75">
        <v>1</v>
      </c>
    </row>
    <row r="58" spans="2:50" ht="20.25" customHeight="1" x14ac:dyDescent="0.25">
      <c r="B58" s="449" t="str">
        <f>IF(AP43&gt;0,AP43,"-")</f>
        <v>Sulfato de zinco</v>
      </c>
      <c r="C58" s="449"/>
      <c r="D58" s="87" t="str">
        <f>IF(AV43&gt;0,AV43,"-")</f>
        <v>-</v>
      </c>
      <c r="E58" s="365" t="str">
        <f t="shared" si="14"/>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4 - Esterco Bovino curtido</v>
      </c>
      <c r="AR58" s="463"/>
      <c r="AS58" s="25"/>
      <c r="AT58" s="75">
        <v>2</v>
      </c>
      <c r="AU58" s="97" t="s">
        <v>293</v>
      </c>
      <c r="AV58" s="97" t="str">
        <f t="shared" si="13"/>
        <v>2 - Cama de frango corte</v>
      </c>
      <c r="AW58" s="75">
        <v>3</v>
      </c>
    </row>
    <row r="59" spans="2:50" ht="20.25" customHeight="1" x14ac:dyDescent="0.25">
      <c r="B59" s="449" t="str">
        <f>IF(AP44&gt;0,AP44,"-")</f>
        <v>-</v>
      </c>
      <c r="C59" s="449"/>
      <c r="D59" s="87" t="str">
        <f>IF(AV44&gt;0,AV44,"-")</f>
        <v>-</v>
      </c>
      <c r="E59" s="365" t="str">
        <f t="shared" si="14"/>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5</v>
      </c>
      <c r="AR59" s="456"/>
      <c r="AS59" s="25"/>
      <c r="AT59" s="75">
        <v>3</v>
      </c>
      <c r="AU59" s="97" t="s">
        <v>293</v>
      </c>
      <c r="AV59" s="97" t="str">
        <f t="shared" si="13"/>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3"/>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3"/>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3"/>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3"/>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3"/>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3"/>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3"/>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3"/>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3"/>
        <v>2 - Esterco Bovino curtido</v>
      </c>
      <c r="AW68" s="75">
        <v>7</v>
      </c>
    </row>
    <row r="69" spans="2:49" ht="20.25" customHeight="1" thickBot="1" x14ac:dyDescent="0.3">
      <c r="M69" s="69"/>
      <c r="N69" s="70"/>
      <c r="O69" s="70"/>
      <c r="P69" s="70"/>
      <c r="Q69" s="70"/>
      <c r="R69" s="71"/>
      <c r="AT69" s="75">
        <v>3</v>
      </c>
      <c r="AU69" s="97" t="s">
        <v>292</v>
      </c>
      <c r="AV69" s="97" t="str">
        <f t="shared" si="13"/>
        <v>3 - Esterco Bovino curtido</v>
      </c>
      <c r="AW69" s="75">
        <v>12</v>
      </c>
    </row>
    <row r="70" spans="2:49" ht="20.25" customHeight="1" thickBot="1" x14ac:dyDescent="0.3">
      <c r="AT70" s="75">
        <v>4</v>
      </c>
      <c r="AU70" s="97" t="s">
        <v>292</v>
      </c>
      <c r="AV70" s="97" t="str">
        <f t="shared" si="13"/>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3"/>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3"/>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3"/>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3"/>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3"/>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3"/>
        <v>0 - Esterco de suínos</v>
      </c>
      <c r="AW76" s="75">
        <v>10</v>
      </c>
    </row>
    <row r="77" spans="2:49" ht="20.2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3"/>
        <v>1 - Esterco de suínos</v>
      </c>
      <c r="AW77" s="75">
        <v>4</v>
      </c>
    </row>
    <row r="78" spans="2:49" ht="20.2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3"/>
        <v>2 - Esterco de suínos</v>
      </c>
      <c r="AW78" s="75">
        <v>6</v>
      </c>
    </row>
    <row r="79" spans="2:49" ht="20.2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3"/>
        <v>3 - Esterco de suínos</v>
      </c>
      <c r="AW79" s="75">
        <v>10</v>
      </c>
    </row>
    <row r="80" spans="2:49" ht="20.2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3"/>
        <v>4 - Esterco de suínos</v>
      </c>
      <c r="AW80" s="75">
        <v>4</v>
      </c>
    </row>
    <row r="81" spans="13:49" ht="20.2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3"/>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3"/>
        <v>1 - Esterco de ovinos</v>
      </c>
      <c r="AW82" s="51">
        <v>4</v>
      </c>
    </row>
    <row r="83" spans="13:49" ht="20.25" customHeight="1" x14ac:dyDescent="0.25">
      <c r="M83" s="364"/>
      <c r="N83" s="365"/>
      <c r="O83" s="448" t="s">
        <v>116</v>
      </c>
      <c r="P83" s="448"/>
      <c r="Q83" s="92">
        <v>0.5</v>
      </c>
      <c r="R83" s="53"/>
      <c r="AT83" s="51">
        <v>2</v>
      </c>
      <c r="AU83" s="93" t="s">
        <v>288</v>
      </c>
      <c r="AV83" s="93" t="str">
        <f t="shared" si="13"/>
        <v>2 - Esterco de ovinos</v>
      </c>
      <c r="AW83" s="51">
        <v>6</v>
      </c>
    </row>
    <row r="84" spans="13:49" ht="20.25" customHeight="1" x14ac:dyDescent="0.25">
      <c r="M84" s="364"/>
      <c r="N84" s="365"/>
      <c r="O84" s="448"/>
      <c r="P84" s="448"/>
      <c r="Q84" s="92"/>
      <c r="R84" s="53"/>
      <c r="AT84" s="51">
        <v>3</v>
      </c>
      <c r="AU84" s="93" t="s">
        <v>288</v>
      </c>
      <c r="AV84" s="93" t="str">
        <f t="shared" si="13"/>
        <v>3 - Esterco de ovinos</v>
      </c>
      <c r="AW84" s="51">
        <v>10</v>
      </c>
    </row>
    <row r="85" spans="13:49" ht="20.2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T85" s="51">
        <v>4</v>
      </c>
      <c r="AU85" s="93" t="s">
        <v>288</v>
      </c>
      <c r="AV85" s="93" t="str">
        <f t="shared" si="13"/>
        <v>4 - Esterco de ovinos</v>
      </c>
      <c r="AW85" s="51">
        <v>4</v>
      </c>
    </row>
    <row r="86" spans="13:49" ht="20.2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3"/>
        <v>0 - Lodo de esgosto</v>
      </c>
      <c r="AW86" s="75">
        <v>15</v>
      </c>
    </row>
    <row r="87" spans="13:49" ht="20.2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5">Y160</f>
        <v>8.7999999999999995E-2</v>
      </c>
      <c r="Z87" s="99">
        <f t="shared" si="15"/>
        <v>0.2</v>
      </c>
      <c r="AA87" s="99">
        <f t="shared" si="15"/>
        <v>2.83</v>
      </c>
      <c r="AB87" s="99">
        <f t="shared" si="15"/>
        <v>3.4</v>
      </c>
      <c r="AC87" s="100">
        <f>AC160*0.602</f>
        <v>1.5155244755244754</v>
      </c>
      <c r="AD87" s="100">
        <f>AD160*0.715</f>
        <v>5.4634551495016606</v>
      </c>
      <c r="AE87" s="100">
        <f t="shared" ref="AE87:AE95" si="16">AB87+AC87+AD87</f>
        <v>10.378979625026137</v>
      </c>
      <c r="AT87" s="75">
        <v>1</v>
      </c>
      <c r="AU87" s="97" t="s">
        <v>289</v>
      </c>
      <c r="AV87" s="97" t="str">
        <f t="shared" si="13"/>
        <v>1 - Lodo de esgosto</v>
      </c>
      <c r="AW87" s="75">
        <v>10</v>
      </c>
    </row>
    <row r="88" spans="13:49" ht="20.25" customHeight="1" x14ac:dyDescent="0.25">
      <c r="M88" s="364"/>
      <c r="N88" s="365"/>
      <c r="O88" s="450" t="s">
        <v>254</v>
      </c>
      <c r="P88" s="451"/>
      <c r="Q88" s="452"/>
      <c r="R88" s="53"/>
      <c r="U88" s="466"/>
      <c r="V88" s="99" t="str">
        <f t="shared" ref="V88:W95" si="17">V161</f>
        <v>Kamafugito</v>
      </c>
      <c r="W88" s="99">
        <f t="shared" si="17"/>
        <v>0</v>
      </c>
      <c r="X88" s="99">
        <f t="shared" ref="X88:X95" si="18">AL161</f>
        <v>0</v>
      </c>
      <c r="Y88" s="99">
        <f t="shared" si="15"/>
        <v>1.5069999999999999</v>
      </c>
      <c r="Z88" s="99">
        <f t="shared" si="15"/>
        <v>3.5</v>
      </c>
      <c r="AA88" s="99">
        <f t="shared" si="15"/>
        <v>3.3250000000000002</v>
      </c>
      <c r="AB88" s="99">
        <f t="shared" si="15"/>
        <v>4</v>
      </c>
      <c r="AC88" s="100">
        <f t="shared" ref="AC88:AC95" si="19">AC161*0.602</f>
        <v>1.7217199999999999</v>
      </c>
      <c r="AD88" s="100">
        <f t="shared" ref="AD88:AD95" si="20">AD161*0.715</f>
        <v>0</v>
      </c>
      <c r="AE88" s="100">
        <f t="shared" si="16"/>
        <v>5.7217199999999995</v>
      </c>
      <c r="AT88" s="75">
        <v>2</v>
      </c>
      <c r="AU88" s="97" t="s">
        <v>289</v>
      </c>
      <c r="AV88" s="97" t="str">
        <f t="shared" si="13"/>
        <v>2 - Lodo de esgosto</v>
      </c>
      <c r="AW88" s="75">
        <v>5</v>
      </c>
    </row>
    <row r="89" spans="13:49" ht="20.25" customHeight="1" x14ac:dyDescent="0.25">
      <c r="M89" s="364"/>
      <c r="N89" s="365"/>
      <c r="O89" s="450" t="s">
        <v>251</v>
      </c>
      <c r="P89" s="451"/>
      <c r="Q89" s="452"/>
      <c r="R89" s="53"/>
      <c r="U89" s="466"/>
      <c r="V89" s="99" t="str">
        <f t="shared" si="17"/>
        <v>Micaxisto (61) 3233-9368</v>
      </c>
      <c r="W89" s="99">
        <f t="shared" si="17"/>
        <v>0</v>
      </c>
      <c r="X89" s="99">
        <f t="shared" si="18"/>
        <v>0</v>
      </c>
      <c r="Y89" s="99">
        <f t="shared" si="15"/>
        <v>4.4999999999999998E-2</v>
      </c>
      <c r="Z89" s="99">
        <f t="shared" si="15"/>
        <v>0.1</v>
      </c>
      <c r="AA89" s="99">
        <f t="shared" si="15"/>
        <v>4.32</v>
      </c>
      <c r="AB89" s="99">
        <f t="shared" si="15"/>
        <v>5.2</v>
      </c>
      <c r="AC89" s="100">
        <f t="shared" si="19"/>
        <v>0.75776223776223772</v>
      </c>
      <c r="AD89" s="100">
        <f t="shared" si="20"/>
        <v>0.83139534883720934</v>
      </c>
      <c r="AE89" s="100">
        <f t="shared" si="16"/>
        <v>6.7891575865994476</v>
      </c>
      <c r="AT89" s="75">
        <v>3</v>
      </c>
      <c r="AU89" s="97" t="s">
        <v>289</v>
      </c>
      <c r="AV89" s="97" t="str">
        <f t="shared" si="13"/>
        <v>3 - Lodo de esgosto</v>
      </c>
      <c r="AW89" s="75">
        <v>15</v>
      </c>
    </row>
    <row r="90" spans="13:49" ht="20.25" customHeight="1" x14ac:dyDescent="0.25">
      <c r="M90" s="364"/>
      <c r="N90" s="365"/>
      <c r="O90" s="448" t="s">
        <v>93</v>
      </c>
      <c r="P90" s="448"/>
      <c r="Q90" s="92">
        <v>1</v>
      </c>
      <c r="R90" s="53"/>
      <c r="U90" s="466"/>
      <c r="V90" s="99" t="str">
        <f t="shared" si="17"/>
        <v xml:space="preserve">Pó de brita Fmx (62) 3924 8565 </v>
      </c>
      <c r="W90" s="99">
        <f t="shared" si="17"/>
        <v>0</v>
      </c>
      <c r="X90" s="99">
        <f t="shared" si="18"/>
        <v>0</v>
      </c>
      <c r="Y90" s="99">
        <f t="shared" si="15"/>
        <v>0</v>
      </c>
      <c r="Z90" s="99">
        <f t="shared" si="15"/>
        <v>0</v>
      </c>
      <c r="AA90" s="99">
        <f t="shared" si="15"/>
        <v>4.99</v>
      </c>
      <c r="AB90" s="99">
        <f t="shared" si="15"/>
        <v>6</v>
      </c>
      <c r="AC90" s="100">
        <f t="shared" si="19"/>
        <v>2.5258741258741257</v>
      </c>
      <c r="AD90" s="100">
        <f t="shared" si="20"/>
        <v>0.59385382059800662</v>
      </c>
      <c r="AE90" s="100">
        <f t="shared" si="16"/>
        <v>9.1197279464721319</v>
      </c>
      <c r="AT90" s="75">
        <v>4</v>
      </c>
      <c r="AU90" s="97" t="s">
        <v>289</v>
      </c>
      <c r="AV90" s="97" t="str">
        <f t="shared" si="13"/>
        <v>4 - Lodo de esgosto</v>
      </c>
      <c r="AW90" s="75">
        <v>10</v>
      </c>
    </row>
    <row r="91" spans="13:49" ht="20.25" customHeight="1" x14ac:dyDescent="0.25">
      <c r="M91" s="364"/>
      <c r="N91" s="365"/>
      <c r="O91" s="448"/>
      <c r="P91" s="448"/>
      <c r="Q91" s="92"/>
      <c r="R91" s="53"/>
      <c r="U91" s="466"/>
      <c r="V91" s="99" t="str">
        <f t="shared" si="17"/>
        <v>Remax Mistel (61) 99414-1975</v>
      </c>
      <c r="W91" s="99">
        <f t="shared" si="17"/>
        <v>0</v>
      </c>
      <c r="X91" s="99">
        <f t="shared" si="18"/>
        <v>43.8</v>
      </c>
      <c r="Y91" s="99">
        <f t="shared" si="15"/>
        <v>4.4999999999999998E-2</v>
      </c>
      <c r="Z91" s="99">
        <f t="shared" si="15"/>
        <v>0.1</v>
      </c>
      <c r="AA91" s="99">
        <f t="shared" si="15"/>
        <v>2.1949999999999998</v>
      </c>
      <c r="AB91" s="99">
        <f t="shared" si="15"/>
        <v>2.6</v>
      </c>
      <c r="AC91" s="100">
        <f t="shared" si="19"/>
        <v>11.282237762237763</v>
      </c>
      <c r="AD91" s="100">
        <f t="shared" si="20"/>
        <v>8.8959302325581397</v>
      </c>
      <c r="AE91" s="100">
        <f t="shared" si="16"/>
        <v>22.778167994795901</v>
      </c>
      <c r="AT91" s="51">
        <v>0</v>
      </c>
      <c r="AU91" s="93" t="s">
        <v>290</v>
      </c>
      <c r="AV91" s="93" t="str">
        <f t="shared" si="13"/>
        <v>0 - Compostos orgânicos</v>
      </c>
      <c r="AW91" s="51">
        <v>6</v>
      </c>
    </row>
    <row r="92" spans="13:49" ht="20.25" customHeight="1" x14ac:dyDescent="0.25">
      <c r="M92" s="364"/>
      <c r="N92" s="365"/>
      <c r="O92" s="448"/>
      <c r="P92" s="448"/>
      <c r="Q92" s="92"/>
      <c r="R92" s="53"/>
      <c r="U92" s="466"/>
      <c r="V92" s="99">
        <f t="shared" si="17"/>
        <v>0</v>
      </c>
      <c r="W92" s="99">
        <f t="shared" si="17"/>
        <v>0</v>
      </c>
      <c r="X92" s="99">
        <f t="shared" si="18"/>
        <v>0</v>
      </c>
      <c r="Y92" s="99">
        <f t="shared" si="15"/>
        <v>0</v>
      </c>
      <c r="Z92" s="99">
        <f t="shared" si="15"/>
        <v>0</v>
      </c>
      <c r="AA92" s="99">
        <f t="shared" si="15"/>
        <v>0</v>
      </c>
      <c r="AB92" s="99">
        <f t="shared" si="15"/>
        <v>0</v>
      </c>
      <c r="AC92" s="100">
        <f t="shared" si="19"/>
        <v>0</v>
      </c>
      <c r="AD92" s="100">
        <f t="shared" si="20"/>
        <v>0</v>
      </c>
      <c r="AE92" s="100">
        <f t="shared" si="16"/>
        <v>0</v>
      </c>
      <c r="AT92" s="51">
        <v>1</v>
      </c>
      <c r="AU92" s="93" t="s">
        <v>290</v>
      </c>
      <c r="AV92" s="93" t="str">
        <f t="shared" si="13"/>
        <v>1 - Compostos orgânicos</v>
      </c>
      <c r="AW92" s="51">
        <v>2</v>
      </c>
    </row>
    <row r="93" spans="13:49" ht="20.25" customHeight="1" x14ac:dyDescent="0.25">
      <c r="M93" s="101"/>
      <c r="N93" s="25"/>
      <c r="O93" s="25"/>
      <c r="P93" s="25"/>
      <c r="Q93" s="25"/>
      <c r="R93" s="53"/>
      <c r="U93" s="466"/>
      <c r="V93" s="99">
        <f t="shared" si="17"/>
        <v>0</v>
      </c>
      <c r="W93" s="99">
        <f t="shared" si="17"/>
        <v>0</v>
      </c>
      <c r="X93" s="99">
        <f t="shared" si="18"/>
        <v>0</v>
      </c>
      <c r="Y93" s="99">
        <f t="shared" si="15"/>
        <v>0</v>
      </c>
      <c r="Z93" s="99">
        <f t="shared" si="15"/>
        <v>0</v>
      </c>
      <c r="AA93" s="99">
        <f t="shared" si="15"/>
        <v>0</v>
      </c>
      <c r="AB93" s="99">
        <f t="shared" si="15"/>
        <v>0</v>
      </c>
      <c r="AC93" s="100">
        <f t="shared" si="19"/>
        <v>0</v>
      </c>
      <c r="AD93" s="100">
        <f t="shared" si="20"/>
        <v>0</v>
      </c>
      <c r="AE93" s="100">
        <f t="shared" si="16"/>
        <v>0</v>
      </c>
      <c r="AT93" s="51">
        <v>2</v>
      </c>
      <c r="AU93" s="93" t="s">
        <v>290</v>
      </c>
      <c r="AV93" s="93" t="str">
        <f t="shared" si="13"/>
        <v>2 - Compostos orgânicos</v>
      </c>
      <c r="AW93" s="51">
        <v>4</v>
      </c>
    </row>
    <row r="94" spans="13:49" ht="20.25" customHeight="1" x14ac:dyDescent="0.25">
      <c r="M94" s="101"/>
      <c r="N94" s="25"/>
      <c r="O94" s="365" t="s">
        <v>264</v>
      </c>
      <c r="P94" s="365"/>
      <c r="Q94" s="365"/>
      <c r="R94" s="53"/>
      <c r="U94" s="466"/>
      <c r="V94" s="99">
        <f t="shared" si="17"/>
        <v>0</v>
      </c>
      <c r="W94" s="99">
        <f t="shared" si="17"/>
        <v>0</v>
      </c>
      <c r="X94" s="99">
        <f t="shared" si="18"/>
        <v>0</v>
      </c>
      <c r="Y94" s="99">
        <f t="shared" si="15"/>
        <v>0</v>
      </c>
      <c r="Z94" s="99">
        <f t="shared" si="15"/>
        <v>0</v>
      </c>
      <c r="AA94" s="99">
        <f t="shared" si="15"/>
        <v>0</v>
      </c>
      <c r="AB94" s="99">
        <f t="shared" si="15"/>
        <v>0</v>
      </c>
      <c r="AC94" s="100">
        <f t="shared" si="19"/>
        <v>0</v>
      </c>
      <c r="AD94" s="100">
        <f t="shared" si="20"/>
        <v>0</v>
      </c>
      <c r="AE94" s="100">
        <f t="shared" si="16"/>
        <v>0</v>
      </c>
      <c r="AT94" s="51">
        <v>3</v>
      </c>
      <c r="AU94" s="93" t="s">
        <v>290</v>
      </c>
      <c r="AV94" s="93" t="str">
        <f t="shared" si="13"/>
        <v>3 - Compostos orgânicos</v>
      </c>
      <c r="AW94" s="51">
        <v>6</v>
      </c>
    </row>
    <row r="95" spans="13:49" ht="20.25" customHeight="1" thickBot="1" x14ac:dyDescent="0.3">
      <c r="M95" s="69"/>
      <c r="N95" s="70"/>
      <c r="O95" s="70"/>
      <c r="P95" s="70"/>
      <c r="Q95" s="70"/>
      <c r="R95" s="71"/>
      <c r="U95" s="466"/>
      <c r="V95" s="99">
        <f t="shared" si="17"/>
        <v>0</v>
      </c>
      <c r="W95" s="99">
        <f t="shared" si="17"/>
        <v>0</v>
      </c>
      <c r="X95" s="99">
        <f t="shared" si="18"/>
        <v>0</v>
      </c>
      <c r="Y95" s="99">
        <f t="shared" si="15"/>
        <v>0</v>
      </c>
      <c r="Z95" s="99">
        <f t="shared" si="15"/>
        <v>0</v>
      </c>
      <c r="AA95" s="99">
        <f t="shared" si="15"/>
        <v>0</v>
      </c>
      <c r="AB95" s="99">
        <f t="shared" si="15"/>
        <v>0</v>
      </c>
      <c r="AC95" s="100">
        <f t="shared" si="19"/>
        <v>0</v>
      </c>
      <c r="AD95" s="100">
        <f t="shared" si="20"/>
        <v>0</v>
      </c>
      <c r="AE95" s="100">
        <f t="shared" si="16"/>
        <v>0</v>
      </c>
      <c r="AT95" s="51">
        <v>4</v>
      </c>
      <c r="AU95" s="93" t="s">
        <v>290</v>
      </c>
      <c r="AV95" s="93" t="str">
        <f t="shared" si="13"/>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$AC$30</f>
        <v>210</v>
      </c>
      <c r="P99" s="103">
        <f>$AC$31</f>
        <v>60</v>
      </c>
      <c r="Q99" s="103">
        <f>$AC$32</f>
        <v>50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102</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103</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6.4</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AQ59:AR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dataValidations count="5">
    <dataValidation type="list" allowBlank="1" showInputMessage="1" showErrorMessage="1" sqref="O68 O176 N159 O174">
      <formula1>$AG$29:$AG$30</formula1>
    </dataValidation>
    <dataValidation type="list" allowBlank="1" showInputMessage="1" showErrorMessage="1" sqref="P39:Q39">
      <formula1>$AE$31:$AE$35</formula1>
    </dataValidation>
    <dataValidation type="list" allowBlank="1" showInputMessage="1" showErrorMessage="1" sqref="Q82:Q84 Q90:Q92 Q74:Q76 Q47 Q50">
      <formula1>$AI$29:$AI$40</formula1>
    </dataValidation>
    <dataValidation type="list" allowBlank="1" showInputMessage="1" showErrorMessage="1" sqref="O42:Q42">
      <formula1>$AK$29:$AK$38</formula1>
    </dataValidation>
    <dataValidation type="list" allowBlank="1" showInputMessage="1" showErrorMessage="1" sqref="O105:Q109">
      <formula1>$V$170:$V$179</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corretivos'!$C$3:$C$62</xm:f>
          </x14:formula1>
          <xm:sqref>O74:P76 O82:P84 O90:P92</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sqref="A1:XFD1048576"/>
    </sheetView>
  </sheetViews>
  <sheetFormatPr defaultRowHeight="19.5" customHeight="1" outlineLevelCol="1" x14ac:dyDescent="0.25"/>
  <cols>
    <col min="1" max="1" width="5.7109375" style="11" customWidth="1"/>
    <col min="2" max="2" width="37.28515625" style="11" customWidth="1"/>
    <col min="3" max="3" width="29.5703125" style="11" customWidth="1"/>
    <col min="4" max="9" width="16.7109375" style="11" customWidth="1"/>
    <col min="10" max="10" width="5.85546875" style="66" customWidth="1"/>
    <col min="11" max="12" width="0" style="11" hidden="1" customWidth="1"/>
    <col min="13" max="13" width="36.5703125" style="11" customWidth="1"/>
    <col min="14" max="14" width="13.140625" style="11" bestFit="1" customWidth="1"/>
    <col min="15" max="15" width="29.7109375" style="11" customWidth="1"/>
    <col min="16" max="16" width="18.42578125" style="11" customWidth="1"/>
    <col min="17" max="17" width="49.140625" style="11" customWidth="1"/>
    <col min="18" max="18" width="8"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7.42578125" style="11" hidden="1" customWidth="1" outlineLevel="1"/>
    <col min="25" max="25" width="22.42578125" style="11" hidden="1" customWidth="1" outlineLevel="1"/>
    <col min="26" max="26" width="22"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36.140625" style="11" hidden="1" customWidth="1" outlineLevel="1"/>
    <col min="32" max="32" width="25.5703125" style="11" hidden="1" customWidth="1" outlineLevel="1"/>
    <col min="33" max="33" width="22" style="11" hidden="1" customWidth="1" outlineLevel="1"/>
    <col min="34" max="34" width="21.5703125" style="11" hidden="1" customWidth="1" outlineLevel="1"/>
    <col min="35" max="35" width="24.7109375" style="11" hidden="1" customWidth="1" outlineLevel="1"/>
    <col min="36" max="36" width="14.28515625" style="11" hidden="1" customWidth="1" outlineLevel="1"/>
    <col min="37" max="37" width="32.42578125" style="11" hidden="1" customWidth="1" outlineLevel="1"/>
    <col min="38" max="38" width="13.1406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13.7109375" style="11" hidden="1" customWidth="1" outlineLevel="1"/>
    <col min="47" max="47" width="31.42578125" style="11" hidden="1" customWidth="1" outlineLevel="1"/>
    <col min="48" max="48" width="9.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19.5" customHeight="1" thickBot="1" x14ac:dyDescent="0.3">
      <c r="A1" s="23"/>
    </row>
    <row r="2" spans="1:54" ht="19.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19.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19.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19.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288</v>
      </c>
      <c r="AT5" s="55">
        <f>$AC$31</f>
        <v>72</v>
      </c>
      <c r="AU5" s="55">
        <f>$AC$32</f>
        <v>240</v>
      </c>
      <c r="AV5" s="509"/>
      <c r="AW5" s="47"/>
      <c r="AX5" s="47"/>
      <c r="AY5" s="47"/>
      <c r="AZ5" s="47"/>
      <c r="BA5" s="47"/>
      <c r="BB5" s="47"/>
    </row>
    <row r="6" spans="1:54" ht="19.5" customHeight="1" x14ac:dyDescent="0.25">
      <c r="M6" s="364"/>
      <c r="N6" s="453"/>
      <c r="O6" s="51" t="s">
        <v>3</v>
      </c>
      <c r="P6" s="56">
        <v>6.6</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36.000000000000007</v>
      </c>
      <c r="AU6" s="55">
        <f>IFERROR((VLOOKUP(AQ6,$V$100:$AB$179,7,0)*0.01)*AV6,0)</f>
        <v>0</v>
      </c>
      <c r="AV6" s="55">
        <f>IFERROR($AT$5*Q74/(VLOOKUP(AQ6,$V$100:$AB$179,5,0)/100),0)</f>
        <v>205.71428571428572</v>
      </c>
      <c r="AW6" s="47"/>
      <c r="AX6" s="47"/>
      <c r="AY6" s="47"/>
      <c r="AZ6" s="47"/>
      <c r="BA6" s="47"/>
      <c r="BB6" s="47"/>
    </row>
    <row r="7" spans="1:54" ht="19.5" customHeight="1" x14ac:dyDescent="0.25">
      <c r="M7" s="364"/>
      <c r="N7" s="453"/>
      <c r="O7" s="51" t="s">
        <v>4</v>
      </c>
      <c r="P7" s="32">
        <v>2.2999999999999998</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36</v>
      </c>
      <c r="AU7" s="55">
        <f>IFERROR((VLOOKUP(AQ7,$V$100:$AB$179,7,0)*0.01)*AV7,0)</f>
        <v>0</v>
      </c>
      <c r="AV7" s="55">
        <f>IFERROR($AT$5*Q75/(VLOOKUP(AQ7,$V$100:$AB$179,5,0)/100),0)</f>
        <v>200</v>
      </c>
      <c r="AW7" s="47"/>
      <c r="AX7" s="47"/>
      <c r="AY7" s="47"/>
      <c r="AZ7" s="47"/>
      <c r="BA7" s="47"/>
      <c r="BB7" s="47"/>
    </row>
    <row r="8" spans="1:54" ht="19.5" customHeight="1" thickBot="1" x14ac:dyDescent="0.3">
      <c r="M8" s="364"/>
      <c r="N8" s="453"/>
      <c r="O8" s="51" t="s">
        <v>5</v>
      </c>
      <c r="P8" s="56">
        <v>1.01</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19.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4.8</v>
      </c>
      <c r="AL9" s="457">
        <f>(AM9*1000)/$E$18</f>
        <v>4.8</v>
      </c>
      <c r="AM9" s="456">
        <v>1</v>
      </c>
      <c r="AO9" s="47"/>
      <c r="AP9" s="47"/>
      <c r="AQ9" s="47"/>
      <c r="AR9" s="47"/>
      <c r="AS9" s="59">
        <f>AS5-(SUM(AS6:AS8))</f>
        <v>288</v>
      </c>
      <c r="AT9" s="59">
        <f>AT5-(SUM(AT6:AT8))</f>
        <v>0</v>
      </c>
      <c r="AU9" s="59">
        <f>AU5-(SUM(AU6:AU8))</f>
        <v>240</v>
      </c>
      <c r="AV9" s="59"/>
      <c r="AW9" s="47"/>
      <c r="AX9" s="47"/>
      <c r="AY9" s="47"/>
      <c r="AZ9" s="47"/>
      <c r="BA9" s="47"/>
      <c r="BB9" s="47"/>
    </row>
    <row r="10" spans="1:54" ht="19.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c r="AX10" s="47"/>
      <c r="AY10" s="47"/>
      <c r="AZ10" s="47"/>
      <c r="BA10" s="47"/>
      <c r="BB10" s="47"/>
    </row>
    <row r="11" spans="1:54" ht="19.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288</v>
      </c>
      <c r="AT11" s="55">
        <f t="shared" ref="AT11:AU11" si="0">AT9</f>
        <v>0</v>
      </c>
      <c r="AU11" s="55">
        <f t="shared" si="0"/>
        <v>240</v>
      </c>
      <c r="AV11" s="509"/>
      <c r="AW11" s="47"/>
      <c r="AX11" s="47"/>
      <c r="AY11" s="47"/>
      <c r="AZ11" s="47"/>
      <c r="BA11" s="47"/>
      <c r="BB11" s="47"/>
    </row>
    <row r="12" spans="1:54" ht="19.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2.4</v>
      </c>
      <c r="AM12" s="456">
        <v>0.5</v>
      </c>
      <c r="AO12" s="47"/>
      <c r="AP12" s="54">
        <v>7</v>
      </c>
      <c r="AQ12" s="447" t="str">
        <f>O82</f>
        <v>Cloreto de potássio</v>
      </c>
      <c r="AR12" s="447"/>
      <c r="AS12" s="55">
        <f>IFERROR((VLOOKUP(AQ12,$V$100:$AB$179,3,0)*0.01)*AV12,0)</f>
        <v>0</v>
      </c>
      <c r="AT12" s="55">
        <f>IFERROR((VLOOKUP(AQ12,$V$100:$AB$179,5,0)*0.01)*AV12,0)</f>
        <v>0</v>
      </c>
      <c r="AU12" s="55">
        <f>IFERROR((VLOOKUP(AQ12,$V$100:$AB$179,7,0)*0.01)*AV12,0)</f>
        <v>120</v>
      </c>
      <c r="AV12" s="55">
        <f>IFERROR($AU$11*Q82/(VLOOKUP(AQ12,$V$100:$AB$179,7,0)/100),0)</f>
        <v>200</v>
      </c>
      <c r="AW12" s="47"/>
      <c r="AX12" s="47"/>
      <c r="AY12" s="47"/>
      <c r="AZ12" s="47"/>
      <c r="BA12" s="47"/>
      <c r="BB12" s="47"/>
    </row>
    <row r="13" spans="1:54" ht="19.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120</v>
      </c>
      <c r="AV13" s="55">
        <f>IFERROR($AU$11*Q83/(VLOOKUP(AQ13,$V$100:$AB$179,7,0)/100),0)</f>
        <v>1500</v>
      </c>
      <c r="AW13" s="47"/>
      <c r="AX13" s="47"/>
      <c r="AY13" s="47"/>
      <c r="AZ13" s="47"/>
      <c r="BA13" s="47"/>
      <c r="BB13" s="47"/>
    </row>
    <row r="14" spans="1:54" ht="19.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19.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4.8</v>
      </c>
      <c r="AM15" s="456">
        <v>1</v>
      </c>
      <c r="AO15" s="47"/>
      <c r="AP15" s="47"/>
      <c r="AQ15" s="47"/>
      <c r="AR15" s="47"/>
      <c r="AS15" s="59">
        <f>AS11-(SUM(AS12:AS14))</f>
        <v>288</v>
      </c>
      <c r="AT15" s="59">
        <f>AT11-(SUM(AT12:AT14))</f>
        <v>0</v>
      </c>
      <c r="AU15" s="59">
        <f>AU11-(SUM(AU12:AU14))</f>
        <v>0</v>
      </c>
      <c r="AV15" s="47"/>
      <c r="AW15" s="47"/>
      <c r="AX15" s="47"/>
      <c r="AY15" s="47"/>
      <c r="AZ15" s="47"/>
      <c r="BA15" s="47"/>
      <c r="BB15" s="47"/>
    </row>
    <row r="16" spans="1:54" ht="19.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19.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288</v>
      </c>
      <c r="AT17" s="55">
        <f t="shared" ref="AT17:AU17" si="1">AT15</f>
        <v>0</v>
      </c>
      <c r="AU17" s="55">
        <f t="shared" si="1"/>
        <v>0</v>
      </c>
      <c r="AV17" s="509"/>
      <c r="AW17" s="47"/>
      <c r="AX17" s="47"/>
      <c r="AY17" s="47"/>
      <c r="AZ17" s="47"/>
      <c r="BA17" s="47"/>
      <c r="BB17" s="47"/>
    </row>
    <row r="18" spans="2:54" ht="19.5" customHeight="1" x14ac:dyDescent="0.25">
      <c r="B18" s="457" t="s">
        <v>134</v>
      </c>
      <c r="C18" s="457"/>
      <c r="D18" s="457"/>
      <c r="E18" s="60">
        <f>IFERROR(IF(ISERR(P35),Q35,IF(ISERR(Q35),P35)),"-")</f>
        <v>208.33333333333334</v>
      </c>
      <c r="F18" s="457" t="s">
        <v>125</v>
      </c>
      <c r="G18" s="457"/>
      <c r="H18" s="457"/>
      <c r="I18" s="51">
        <f>O34</f>
        <v>1</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24</v>
      </c>
      <c r="AM18" s="456">
        <v>5</v>
      </c>
      <c r="AO18" s="47"/>
      <c r="AP18" s="54">
        <v>13</v>
      </c>
      <c r="AQ18" s="447" t="str">
        <f>O90</f>
        <v>Nitrato de Amônio</v>
      </c>
      <c r="AR18" s="447"/>
      <c r="AS18" s="55">
        <f>IFERROR((VLOOKUP(AQ18,$V$100:$AB$179,3,0)*0.01)*AV18,0)</f>
        <v>288</v>
      </c>
      <c r="AT18" s="55">
        <f>IFERROR((VLOOKUP(AQ18,$V$100:$AB$179,5,0)*0.01)*AV18,0)</f>
        <v>0</v>
      </c>
      <c r="AU18" s="55">
        <f>IFERROR((VLOOKUP(AQ18,$V$100:$AB$179,7,0)*0.01)*AV18,0)</f>
        <v>0</v>
      </c>
      <c r="AV18" s="55">
        <f>IFERROR($AS$17*Q90/(VLOOKUP(AQ18,$V$100:$AB$179,3,0)/100),0)</f>
        <v>993.10344827586209</v>
      </c>
      <c r="AW18" s="47"/>
      <c r="AX18" s="47"/>
      <c r="AY18" s="47"/>
      <c r="AZ18" s="47"/>
      <c r="BA18" s="47"/>
      <c r="BB18" s="47"/>
    </row>
    <row r="19" spans="2:54" ht="19.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19.5" customHeight="1" x14ac:dyDescent="0.25">
      <c r="B20" s="459" t="s">
        <v>183</v>
      </c>
      <c r="C20" s="512"/>
      <c r="D20" s="512"/>
      <c r="E20" s="460"/>
      <c r="F20" s="63" t="s">
        <v>126</v>
      </c>
      <c r="G20" s="63">
        <f>P24</f>
        <v>79.310344827586206</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19.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19.5" customHeight="1" x14ac:dyDescent="0.25">
      <c r="B22" s="64" t="s">
        <v>81</v>
      </c>
      <c r="C22" s="65">
        <f>P6</f>
        <v>6.6</v>
      </c>
      <c r="D22" s="63" t="s">
        <v>79</v>
      </c>
      <c r="E22" s="63">
        <f>P13</f>
        <v>38.299999999999997</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19.5" customHeight="1" x14ac:dyDescent="0.25">
      <c r="B23" s="64" t="s">
        <v>82</v>
      </c>
      <c r="C23" s="65">
        <f>P7</f>
        <v>2.2999999999999998</v>
      </c>
      <c r="D23" s="63" t="s">
        <v>129</v>
      </c>
      <c r="E23" s="63">
        <f>P11</f>
        <v>2.7</v>
      </c>
      <c r="F23" s="63" t="s">
        <v>87</v>
      </c>
      <c r="G23" s="63">
        <f>P16</f>
        <v>4</v>
      </c>
      <c r="H23" s="63" t="s">
        <v>83</v>
      </c>
      <c r="I23" s="63">
        <f>P15</f>
        <v>20</v>
      </c>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19.5" customHeight="1" x14ac:dyDescent="0.25">
      <c r="B24" s="64" t="s">
        <v>80</v>
      </c>
      <c r="C24" s="65">
        <f>P8</f>
        <v>1.01</v>
      </c>
      <c r="D24" s="63" t="s">
        <v>130</v>
      </c>
      <c r="E24" s="63">
        <f>P10</f>
        <v>0.1</v>
      </c>
      <c r="F24" s="63" t="s">
        <v>89</v>
      </c>
      <c r="G24" s="63">
        <f>P17</f>
        <v>58.4</v>
      </c>
      <c r="H24" s="63" t="s">
        <v>131</v>
      </c>
      <c r="I24" s="63">
        <f>P25</f>
        <v>13.049999999999997</v>
      </c>
      <c r="M24" s="364"/>
      <c r="N24" s="453"/>
      <c r="O24" s="51" t="s">
        <v>22</v>
      </c>
      <c r="P24" s="63">
        <f>100*(P6+P7+P8+P9)/P25</f>
        <v>79.310344827586206</v>
      </c>
      <c r="Q24" s="51" t="s">
        <v>23</v>
      </c>
      <c r="R24" s="53"/>
      <c r="AO24" s="47"/>
      <c r="AP24" s="47"/>
      <c r="AQ24" s="47"/>
      <c r="AR24" s="47"/>
      <c r="AS24" s="59">
        <f>AS26-(SUM(AS27:AS36))</f>
        <v>4.7993544827586208</v>
      </c>
      <c r="AT24" s="59">
        <f t="shared" ref="AT24:AV24" si="3">AT26-(SUM(AT27:AT36))</f>
        <v>-6.4551724137931028E-4</v>
      </c>
      <c r="AU24" s="59">
        <f t="shared" si="3"/>
        <v>-1.2413793103448277E-3</v>
      </c>
      <c r="AV24" s="59">
        <f t="shared" si="3"/>
        <v>-1.3903448275862071E-4</v>
      </c>
      <c r="AW24" s="47"/>
      <c r="AX24" s="47"/>
      <c r="AY24" s="47"/>
      <c r="AZ24" s="47"/>
      <c r="BA24" s="47"/>
      <c r="BB24" s="47"/>
    </row>
    <row r="25" spans="2:54" ht="19.5" customHeight="1" thickBot="1" x14ac:dyDescent="0.3">
      <c r="M25" s="364"/>
      <c r="N25" s="453"/>
      <c r="O25" s="51" t="s">
        <v>24</v>
      </c>
      <c r="P25" s="67">
        <f>(P6+P7+P8+P9+P11)</f>
        <v>13.049999999999997</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19.5" customHeight="1" thickBot="1" x14ac:dyDescent="0.3">
      <c r="B26" s="485" t="s">
        <v>272</v>
      </c>
      <c r="C26" s="486"/>
      <c r="D26" s="486"/>
      <c r="E26" s="486"/>
      <c r="F26" s="486"/>
      <c r="G26" s="486"/>
      <c r="H26" s="486"/>
      <c r="I26" s="487"/>
      <c r="M26" s="69"/>
      <c r="N26" s="70"/>
      <c r="O26" s="70"/>
      <c r="P26" s="70"/>
      <c r="Q26" s="70"/>
      <c r="R26" s="71"/>
      <c r="U26" s="459" t="s">
        <v>312</v>
      </c>
      <c r="V26" s="512"/>
      <c r="W26" s="512"/>
      <c r="X26" s="512"/>
      <c r="Y26" s="512"/>
      <c r="Z26" s="460"/>
      <c r="AO26" s="47"/>
      <c r="AP26" s="461"/>
      <c r="AQ26" s="461"/>
      <c r="AR26" s="461"/>
      <c r="AS26" s="72">
        <f>AK9</f>
        <v>4.8</v>
      </c>
      <c r="AT26" s="72">
        <f>AK12</f>
        <v>0</v>
      </c>
      <c r="AU26" s="72">
        <f>AK15</f>
        <v>0</v>
      </c>
      <c r="AV26" s="72">
        <f>AK18</f>
        <v>0</v>
      </c>
      <c r="AW26" s="47"/>
      <c r="AX26" s="47"/>
      <c r="AY26" s="47"/>
      <c r="AZ26" s="47"/>
      <c r="BA26" s="47"/>
      <c r="BB26" s="47"/>
    </row>
    <row r="27" spans="2:54" ht="19.5" customHeight="1" thickBot="1" x14ac:dyDescent="0.3">
      <c r="B27" s="488" t="str">
        <f>IF($O$47&gt;0,$O$47,"-")</f>
        <v>BRICCAL Calcítico</v>
      </c>
      <c r="C27" s="488"/>
      <c r="D27" s="73" t="str">
        <f>IF(J27&gt;0,J27,"-")</f>
        <v>-</v>
      </c>
      <c r="E27" s="365" t="str">
        <f>IF(J27&gt;0,"toneladas por hectare ou,","-")</f>
        <v>-</v>
      </c>
      <c r="F27" s="365"/>
      <c r="G27" s="365"/>
      <c r="H27" s="365"/>
      <c r="I27" s="365"/>
      <c r="J27" s="74">
        <f>V51</f>
        <v>0</v>
      </c>
      <c r="U27" s="51" t="s">
        <v>300</v>
      </c>
      <c r="V27" s="51" t="s">
        <v>313</v>
      </c>
      <c r="W27" s="51" t="s">
        <v>75</v>
      </c>
      <c r="X27" s="51" t="s">
        <v>71</v>
      </c>
      <c r="Y27" s="51" t="s">
        <v>314</v>
      </c>
      <c r="Z27" s="51" t="s">
        <v>315</v>
      </c>
      <c r="AO27" s="47"/>
      <c r="AP27" s="447" t="s">
        <v>261</v>
      </c>
      <c r="AQ27" s="447" t="str">
        <f>B29</f>
        <v xml:space="preserve">Pó de brita Fmx (62) 3924 8565 </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19.5" customHeight="1" x14ac:dyDescent="0.25">
      <c r="B28" s="488"/>
      <c r="C28" s="488"/>
      <c r="D28" s="73" t="str">
        <f>IF(J28&gt;0,J28,"-")</f>
        <v>-</v>
      </c>
      <c r="E28" s="365" t="str">
        <f>IF(J28&gt;0,"quilos por metro quadrado","-")</f>
        <v>-</v>
      </c>
      <c r="F28" s="365"/>
      <c r="G28" s="365"/>
      <c r="H28" s="365"/>
      <c r="I28" s="365"/>
      <c r="J28" s="74">
        <f>J27/10</f>
        <v>0</v>
      </c>
      <c r="M28" s="48"/>
      <c r="N28" s="49"/>
      <c r="O28" s="49"/>
      <c r="P28" s="49"/>
      <c r="Q28" s="49"/>
      <c r="R28" s="50"/>
      <c r="U28" s="75" t="s">
        <v>40</v>
      </c>
      <c r="V28" s="75">
        <v>20000</v>
      </c>
      <c r="W28" s="75" t="s">
        <v>68</v>
      </c>
      <c r="X28" s="75" t="str">
        <f>CONCATENATE(U28," - ",W28)</f>
        <v>&lt; 10 - baixo</v>
      </c>
      <c r="Y28" s="75">
        <v>30000</v>
      </c>
      <c r="Z28" s="75">
        <v>40000</v>
      </c>
      <c r="AE28" s="75"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19.5" customHeight="1" x14ac:dyDescent="0.25">
      <c r="B29" s="488" t="str">
        <f>IF($O$50&gt;0,$O$50,"-")</f>
        <v xml:space="preserve">Pó de brita Fmx (62) 3924 8565 </v>
      </c>
      <c r="C29" s="488"/>
      <c r="D29" s="73" t="str">
        <f>IF(J29&gt;0,J29,"-")</f>
        <v>-</v>
      </c>
      <c r="E29" s="365" t="str">
        <f>IF(J29&gt;0,"toneladas por hectare ou,","-")</f>
        <v>-</v>
      </c>
      <c r="F29" s="365"/>
      <c r="G29" s="365"/>
      <c r="H29" s="365"/>
      <c r="I29" s="365"/>
      <c r="J29" s="74">
        <f>Z49</f>
        <v>0</v>
      </c>
      <c r="M29" s="364" t="s">
        <v>211</v>
      </c>
      <c r="N29" s="453"/>
      <c r="O29" s="489" t="s">
        <v>197</v>
      </c>
      <c r="P29" s="489"/>
      <c r="Q29" s="489"/>
      <c r="R29" s="53"/>
      <c r="U29" s="75" t="s">
        <v>40</v>
      </c>
      <c r="V29" s="75">
        <v>20000</v>
      </c>
      <c r="W29" s="75" t="s">
        <v>69</v>
      </c>
      <c r="X29" s="75" t="str">
        <f t="shared" ref="X29:X42" si="9">CONCATENATE(U29," - ",W29)</f>
        <v>&lt; 10 - medio</v>
      </c>
      <c r="Y29" s="75">
        <v>20000</v>
      </c>
      <c r="Z29" s="75">
        <v>30000</v>
      </c>
      <c r="AB29" s="458" t="s">
        <v>65</v>
      </c>
      <c r="AC29" s="458"/>
      <c r="AE29" s="75" t="s">
        <v>300</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19.5" customHeight="1" x14ac:dyDescent="0.25">
      <c r="B30" s="488"/>
      <c r="C30" s="488"/>
      <c r="D30" s="73" t="str">
        <f>IF(J30&gt;0,J30,"-")</f>
        <v>-</v>
      </c>
      <c r="E30" s="365" t="str">
        <f>IF(J30&gt;0,"quilos por metro quadrado","-")</f>
        <v>-</v>
      </c>
      <c r="F30" s="365"/>
      <c r="G30" s="365"/>
      <c r="H30" s="365"/>
      <c r="I30" s="365"/>
      <c r="J30" s="74">
        <f>J29/10</f>
        <v>0</v>
      </c>
      <c r="M30" s="364"/>
      <c r="N30" s="453"/>
      <c r="O30" s="32">
        <v>8</v>
      </c>
      <c r="P30" s="113" t="s">
        <v>510</v>
      </c>
      <c r="Q30" s="32">
        <v>6</v>
      </c>
      <c r="R30" s="53"/>
      <c r="U30" s="75" t="s">
        <v>40</v>
      </c>
      <c r="V30" s="75">
        <v>20000</v>
      </c>
      <c r="W30" s="75" t="s">
        <v>70</v>
      </c>
      <c r="X30" s="75" t="str">
        <f t="shared" si="9"/>
        <v>&lt; 10 - adequado</v>
      </c>
      <c r="Y30" s="75">
        <v>0</v>
      </c>
      <c r="Z30" s="75">
        <v>20000</v>
      </c>
      <c r="AB30" s="78" t="s">
        <v>33</v>
      </c>
      <c r="AC30" s="78">
        <f>VLOOKUP($P$39,$U$28:$V$42,2,0)/$E$18</f>
        <v>288</v>
      </c>
      <c r="AE30" s="75"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19.5" customHeight="1" x14ac:dyDescent="0.25">
      <c r="B31" s="524" t="s">
        <v>533</v>
      </c>
      <c r="C31" s="524"/>
      <c r="D31" s="524"/>
      <c r="E31" s="524"/>
      <c r="F31" s="524"/>
      <c r="G31" s="524"/>
      <c r="H31" s="524"/>
      <c r="I31" s="524"/>
      <c r="J31" s="74"/>
      <c r="M31" s="364"/>
      <c r="N31" s="365"/>
      <c r="O31" s="105"/>
      <c r="P31" s="105"/>
      <c r="Q31" s="105"/>
      <c r="R31" s="53"/>
      <c r="U31" s="75" t="s">
        <v>44</v>
      </c>
      <c r="V31" s="75">
        <v>30000</v>
      </c>
      <c r="W31" s="75" t="s">
        <v>68</v>
      </c>
      <c r="X31" s="75" t="str">
        <f t="shared" si="9"/>
        <v>10,1 - 15 - baixo</v>
      </c>
      <c r="Y31" s="75">
        <v>35000</v>
      </c>
      <c r="Z31" s="75">
        <v>50000</v>
      </c>
      <c r="AB31" s="78" t="s">
        <v>66</v>
      </c>
      <c r="AC31" s="78">
        <f>VLOOKUP(AB36,X28:Z42,2,0)/$E$18</f>
        <v>72</v>
      </c>
      <c r="AE31" s="75" t="s">
        <v>40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19.5" customHeight="1" x14ac:dyDescent="0.25">
      <c r="B32" s="524"/>
      <c r="C32" s="524"/>
      <c r="D32" s="524"/>
      <c r="E32" s="524"/>
      <c r="F32" s="524"/>
      <c r="G32" s="524"/>
      <c r="H32" s="524"/>
      <c r="I32" s="524"/>
      <c r="J32" s="74"/>
      <c r="M32" s="364"/>
      <c r="N32" s="365"/>
      <c r="O32" s="80"/>
      <c r="P32" s="80"/>
      <c r="Q32" s="80"/>
      <c r="R32" s="53"/>
      <c r="U32" s="75" t="s">
        <v>44</v>
      </c>
      <c r="V32" s="75">
        <v>30000</v>
      </c>
      <c r="W32" s="75" t="s">
        <v>69</v>
      </c>
      <c r="X32" s="75" t="str">
        <f t="shared" si="9"/>
        <v>10,1 - 15 - medio</v>
      </c>
      <c r="Y32" s="75">
        <v>25000</v>
      </c>
      <c r="Z32" s="75">
        <v>35000</v>
      </c>
      <c r="AB32" s="78" t="s">
        <v>67</v>
      </c>
      <c r="AC32" s="78">
        <f>VLOOKUP($AB$39,X28:Z42,3,0)/$E$18</f>
        <v>240</v>
      </c>
      <c r="AE32" s="75" t="s">
        <v>44</v>
      </c>
      <c r="AI32" s="76">
        <v>0.2</v>
      </c>
      <c r="AK32" s="51" t="s">
        <v>292</v>
      </c>
      <c r="AO32" s="47"/>
      <c r="AP32" s="447"/>
      <c r="AQ32" s="447" t="str">
        <f t="shared" si="8"/>
        <v>EkoSil</v>
      </c>
      <c r="AR32" s="447"/>
      <c r="AS32" s="55">
        <f t="shared" si="4"/>
        <v>6.4551724137931028E-4</v>
      </c>
      <c r="AT32" s="55">
        <f t="shared" si="5"/>
        <v>6.4551724137931028E-4</v>
      </c>
      <c r="AU32" s="55">
        <f t="shared" si="6"/>
        <v>1.2413793103448277E-3</v>
      </c>
      <c r="AV32" s="55">
        <f t="shared" si="7"/>
        <v>1.3903448275862071E-4</v>
      </c>
      <c r="AW32" s="47"/>
      <c r="AX32" s="47"/>
      <c r="AY32" s="47"/>
      <c r="AZ32" s="47"/>
      <c r="BA32" s="47"/>
      <c r="BB32" s="47"/>
    </row>
    <row r="33" spans="2:57" ht="19.5" customHeight="1" thickBot="1" x14ac:dyDescent="0.3">
      <c r="B33" s="525"/>
      <c r="C33" s="525"/>
      <c r="D33" s="525"/>
      <c r="E33" s="525"/>
      <c r="F33" s="525"/>
      <c r="G33" s="525"/>
      <c r="H33" s="525"/>
      <c r="I33" s="525"/>
      <c r="J33" s="74"/>
      <c r="M33" s="364"/>
      <c r="N33" s="453"/>
      <c r="O33" s="489" t="s">
        <v>282</v>
      </c>
      <c r="P33" s="489"/>
      <c r="Q33" s="489"/>
      <c r="R33" s="53"/>
      <c r="U33" s="75" t="s">
        <v>44</v>
      </c>
      <c r="V33" s="75">
        <v>30000</v>
      </c>
      <c r="W33" s="75" t="s">
        <v>70</v>
      </c>
      <c r="X33" s="75" t="str">
        <f t="shared" si="9"/>
        <v>10,1 - 15 - adequado</v>
      </c>
      <c r="Y33" s="75">
        <v>0</v>
      </c>
      <c r="Z33" s="75">
        <v>25000</v>
      </c>
      <c r="AE33" s="75" t="s">
        <v>327</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19.5" customHeight="1" thickBot="1" x14ac:dyDescent="0.3">
      <c r="B34" s="485" t="s">
        <v>184</v>
      </c>
      <c r="C34" s="486"/>
      <c r="D34" s="486"/>
      <c r="E34" s="486"/>
      <c r="F34" s="486"/>
      <c r="G34" s="486"/>
      <c r="H34" s="486"/>
      <c r="I34" s="487"/>
      <c r="J34" s="81">
        <f>IF(O68="Sim",P21*7.5,0)</f>
        <v>356.25</v>
      </c>
      <c r="M34" s="364"/>
      <c r="N34" s="453"/>
      <c r="O34" s="448">
        <v>1</v>
      </c>
      <c r="P34" s="448"/>
      <c r="Q34" s="448"/>
      <c r="R34" s="53"/>
      <c r="U34" s="75" t="s">
        <v>327</v>
      </c>
      <c r="V34" s="75">
        <v>40000</v>
      </c>
      <c r="W34" s="75" t="s">
        <v>68</v>
      </c>
      <c r="X34" s="75" t="str">
        <f t="shared" si="9"/>
        <v>15,1 - 20 - baixo</v>
      </c>
      <c r="Y34" s="75">
        <v>50000</v>
      </c>
      <c r="Z34" s="75">
        <v>70000</v>
      </c>
      <c r="AE34" s="75" t="s">
        <v>328</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19.5" customHeight="1" thickBot="1" x14ac:dyDescent="0.3">
      <c r="B35" s="488" t="str">
        <f>IF($O$55&gt;0,$O$55,"-")</f>
        <v>Nutrigesso Nutrion</v>
      </c>
      <c r="C35" s="488"/>
      <c r="D35" s="73">
        <f>IF(J34&gt;0,J34,"-")</f>
        <v>356.25</v>
      </c>
      <c r="E35" s="365" t="str">
        <f>IF(J34&gt;0,"quilos por hectare ou,","-")</f>
        <v>quilos por hectare ou,</v>
      </c>
      <c r="F35" s="365"/>
      <c r="G35" s="365"/>
      <c r="H35" s="365"/>
      <c r="I35" s="365"/>
      <c r="J35" s="81">
        <f>J34/10</f>
        <v>35.625</v>
      </c>
      <c r="M35" s="69"/>
      <c r="N35" s="70"/>
      <c r="O35" s="70"/>
      <c r="P35" s="83">
        <f>10000/($O$30*$Q$30)</f>
        <v>208.33333333333334</v>
      </c>
      <c r="Q35" s="83" t="e">
        <f>10000/((($O$32/2)+($P$32/2))*$Q$32)</f>
        <v>#DIV/0!</v>
      </c>
      <c r="R35" s="71"/>
      <c r="U35" s="75" t="s">
        <v>327</v>
      </c>
      <c r="V35" s="75">
        <v>40000</v>
      </c>
      <c r="W35" s="75" t="s">
        <v>69</v>
      </c>
      <c r="X35" s="75" t="str">
        <f t="shared" si="9"/>
        <v>15,1 - 20 - medio</v>
      </c>
      <c r="Y35" s="75">
        <v>30000</v>
      </c>
      <c r="Z35" s="75">
        <v>50000</v>
      </c>
      <c r="AB35" s="457" t="s">
        <v>72</v>
      </c>
      <c r="AC35" s="457"/>
      <c r="AE35" s="75" t="s">
        <v>329</v>
      </c>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19.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t="s">
        <v>327</v>
      </c>
      <c r="V36" s="75">
        <v>40000</v>
      </c>
      <c r="W36" s="75" t="s">
        <v>70</v>
      </c>
      <c r="X36" s="75" t="str">
        <f t="shared" si="9"/>
        <v>15,1 - 20 - adequado</v>
      </c>
      <c r="Y36" s="75">
        <v>0</v>
      </c>
      <c r="Z36" s="75">
        <v>30000</v>
      </c>
      <c r="AB36" s="457" t="str">
        <f>CONCATENATE($P$39," - ",$AD$8)</f>
        <v>&gt; 25,1 -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19.5" customHeight="1" x14ac:dyDescent="0.25">
      <c r="B37" s="523" t="s">
        <v>534</v>
      </c>
      <c r="C37" s="523"/>
      <c r="D37" s="523"/>
      <c r="E37" s="523"/>
      <c r="F37" s="523"/>
      <c r="G37" s="523"/>
      <c r="H37" s="523"/>
      <c r="I37" s="523"/>
      <c r="J37" s="81"/>
      <c r="M37" s="48"/>
      <c r="N37" s="49"/>
      <c r="O37" s="49"/>
      <c r="P37" s="49"/>
      <c r="Q37" s="49"/>
      <c r="R37" s="50"/>
      <c r="U37" s="75" t="s">
        <v>328</v>
      </c>
      <c r="V37" s="75">
        <v>50000</v>
      </c>
      <c r="W37" s="75" t="s">
        <v>68</v>
      </c>
      <c r="X37" s="75" t="str">
        <f t="shared" si="9"/>
        <v>20,1 - 25 - baixo</v>
      </c>
      <c r="Y37" s="75">
        <v>60000</v>
      </c>
      <c r="Z37" s="75">
        <v>90000</v>
      </c>
      <c r="AI37" s="76">
        <v>0.7</v>
      </c>
      <c r="AK37" s="51" t="s">
        <v>290</v>
      </c>
      <c r="AO37" s="85"/>
      <c r="AP37" s="85"/>
      <c r="AQ37" s="85"/>
      <c r="AR37" s="85"/>
      <c r="AS37" s="59">
        <f>IF(AS24&gt;0,AS24,0)</f>
        <v>4.7993544827586208</v>
      </c>
      <c r="AT37" s="59">
        <f>IF(AT24&gt;0,AT24,0)</f>
        <v>0</v>
      </c>
      <c r="AU37" s="59">
        <f>IF(AU24&gt;0,AU24,0)</f>
        <v>0</v>
      </c>
      <c r="AV37" s="59">
        <f>IF(AV24&gt;0,AV24,0)</f>
        <v>0</v>
      </c>
      <c r="AW37" s="47"/>
      <c r="AX37" s="47"/>
      <c r="AY37" s="47"/>
      <c r="AZ37" s="47"/>
      <c r="BA37" s="47"/>
      <c r="BB37" s="47"/>
    </row>
    <row r="38" spans="2:57" ht="19.5" customHeight="1" thickBot="1" x14ac:dyDescent="0.3">
      <c r="B38" s="523"/>
      <c r="C38" s="523"/>
      <c r="D38" s="523"/>
      <c r="E38" s="523"/>
      <c r="F38" s="523"/>
      <c r="G38" s="523"/>
      <c r="H38" s="523"/>
      <c r="I38" s="523"/>
      <c r="J38" s="81"/>
      <c r="M38" s="364" t="s">
        <v>212</v>
      </c>
      <c r="N38" s="365"/>
      <c r="O38" s="489" t="s">
        <v>301</v>
      </c>
      <c r="P38" s="489"/>
      <c r="Q38" s="489"/>
      <c r="R38" s="53"/>
      <c r="U38" s="75" t="s">
        <v>328</v>
      </c>
      <c r="V38" s="75">
        <v>50000</v>
      </c>
      <c r="W38" s="75" t="s">
        <v>69</v>
      </c>
      <c r="X38" s="75" t="str">
        <f t="shared" si="9"/>
        <v>20,1 - 25 - medio</v>
      </c>
      <c r="Y38" s="75">
        <v>40000</v>
      </c>
      <c r="Z38" s="75">
        <v>60000</v>
      </c>
      <c r="AB38" s="457" t="s">
        <v>73</v>
      </c>
      <c r="AC38" s="457"/>
      <c r="AI38" s="76">
        <v>0.8</v>
      </c>
      <c r="AK38" s="51"/>
      <c r="AO38" s="47"/>
      <c r="AP38" s="47"/>
      <c r="AQ38" s="47"/>
      <c r="AR38" s="47"/>
      <c r="AS38" s="47"/>
      <c r="AT38" s="47"/>
      <c r="AU38" s="47"/>
      <c r="AV38" s="47"/>
      <c r="AW38" s="47"/>
      <c r="AX38" s="47"/>
      <c r="AY38" s="47"/>
      <c r="AZ38" s="47"/>
      <c r="BA38" s="47"/>
      <c r="BB38" s="47"/>
    </row>
    <row r="39" spans="2:57" ht="19.5" customHeight="1" thickBot="1" x14ac:dyDescent="0.3">
      <c r="B39" s="355" t="s">
        <v>267</v>
      </c>
      <c r="C39" s="356"/>
      <c r="D39" s="356"/>
      <c r="E39" s="356"/>
      <c r="F39" s="356"/>
      <c r="G39" s="356"/>
      <c r="H39" s="356"/>
      <c r="I39" s="357"/>
      <c r="J39" s="81">
        <f>AV6</f>
        <v>205.71428571428572</v>
      </c>
      <c r="M39" s="364"/>
      <c r="N39" s="365"/>
      <c r="O39" s="51" t="s">
        <v>303</v>
      </c>
      <c r="P39" s="448" t="s">
        <v>329</v>
      </c>
      <c r="Q39" s="448"/>
      <c r="R39" s="53"/>
      <c r="U39" s="75" t="s">
        <v>328</v>
      </c>
      <c r="V39" s="75">
        <v>50000</v>
      </c>
      <c r="W39" s="75" t="s">
        <v>70</v>
      </c>
      <c r="X39" s="75" t="str">
        <f t="shared" si="9"/>
        <v>20,1 - 25 - adequado</v>
      </c>
      <c r="Y39" s="75">
        <v>10000</v>
      </c>
      <c r="Z39" s="75">
        <v>40000</v>
      </c>
      <c r="AB39" s="457" t="str">
        <f>CONCATENATE($P$39," - ",$AD$22)</f>
        <v>&gt; 25,1 -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19.5" customHeight="1" x14ac:dyDescent="0.25">
      <c r="B40" s="449" t="str">
        <f>IF(O42&gt;0,O42,"-")</f>
        <v>Esterco Bovino curtido</v>
      </c>
      <c r="C40" s="449"/>
      <c r="D40" s="86">
        <f>IF(AQ58&gt;0,AQ58,"-")</f>
        <v>12</v>
      </c>
      <c r="E40" s="362" t="str">
        <f>IF(AQ58&gt;0,"quilos por cova ou planta","-")</f>
        <v>quilos por cova ou planta</v>
      </c>
      <c r="F40" s="362"/>
      <c r="G40" s="362"/>
      <c r="H40" s="362"/>
      <c r="I40" s="362"/>
      <c r="J40" s="81">
        <f>AV7</f>
        <v>200</v>
      </c>
      <c r="M40" s="364"/>
      <c r="N40" s="365"/>
      <c r="O40" s="25"/>
      <c r="P40" s="25"/>
      <c r="Q40" s="25"/>
      <c r="R40" s="53"/>
      <c r="U40" s="75" t="s">
        <v>329</v>
      </c>
      <c r="V40" s="75">
        <v>60000</v>
      </c>
      <c r="W40" s="75" t="s">
        <v>68</v>
      </c>
      <c r="X40" s="75" t="str">
        <f t="shared" si="9"/>
        <v>&gt; 25,1 - baixo</v>
      </c>
      <c r="Y40" s="75">
        <v>80000</v>
      </c>
      <c r="Z40" s="75">
        <v>115000</v>
      </c>
      <c r="AI40" s="76">
        <v>1</v>
      </c>
      <c r="AO40" s="47"/>
      <c r="AP40" s="447" t="str">
        <f>O105</f>
        <v>Ácido Bórico</v>
      </c>
      <c r="AQ40" s="447"/>
      <c r="AR40" s="55">
        <f>IFERROR($AS$37/((VLOOKUP(AP40,$V$100:$AO$179,11,0)*0.01)),0)</f>
        <v>27.424882758620686</v>
      </c>
      <c r="AS40" s="55">
        <f>IFERROR($AT$37/((VLOOKUP(AP40,$V$100:$AO$179,14,0)*0.01)),0)</f>
        <v>0</v>
      </c>
      <c r="AT40" s="55">
        <f>IFERROR($AU$37/((VLOOKUP(AP40,$V$100:$AO$179,12,0)*0.01)),0)</f>
        <v>0</v>
      </c>
      <c r="AU40" s="55">
        <f>IFERROR($AV$37/((VLOOKUP(AP40,$V$100:$AO$179,13,0)*0.01)),0)</f>
        <v>0</v>
      </c>
      <c r="AV40" s="55">
        <f>MAX(AR40:AU40)</f>
        <v>27.424882758620686</v>
      </c>
      <c r="AW40" s="55">
        <f>IFERROR(AV40*(VLOOKUP(AP40,$V$100:$AO$179,11,0)*0.01),0)</f>
        <v>4.7993544827586208</v>
      </c>
      <c r="AX40" s="55">
        <f>IFERROR(AV40*(VLOOKUP(AP40,$V$100:$AO$179,14,0)*0.01),0)</f>
        <v>0</v>
      </c>
      <c r="AY40" s="55">
        <f>IFERROR(AV40*(VLOOKUP(AP40,$V$100:$AO$179,12,0)*0.01),0)</f>
        <v>0</v>
      </c>
      <c r="AZ40" s="55">
        <f>IFERROR(AV40*(VLOOKUP(AP40,$V$100:$AO$179,13,0)*0.01),0)</f>
        <v>0</v>
      </c>
      <c r="BA40" s="47"/>
      <c r="BB40" s="47"/>
    </row>
    <row r="41" spans="2:57" ht="19.5" customHeight="1" x14ac:dyDescent="0.25">
      <c r="B41" s="449" t="str">
        <f>IF(AQ6&gt;0,AQ6,"-")</f>
        <v>Termofosfato YOORIN</v>
      </c>
      <c r="C41" s="449"/>
      <c r="D41" s="87">
        <f>IF(J39&gt;0,J39,"-")</f>
        <v>205.71428571428572</v>
      </c>
      <c r="E41" s="365" t="str">
        <f>IF(J39&gt;0,"gramas por cova ou planta","-")</f>
        <v>gramas por cova ou planta</v>
      </c>
      <c r="F41" s="365"/>
      <c r="G41" s="365"/>
      <c r="H41" s="365"/>
      <c r="I41" s="365"/>
      <c r="J41" s="81">
        <f>AV8</f>
        <v>0</v>
      </c>
      <c r="M41" s="364"/>
      <c r="N41" s="365"/>
      <c r="O41" s="489" t="s">
        <v>308</v>
      </c>
      <c r="P41" s="489"/>
      <c r="Q41" s="489"/>
      <c r="R41" s="53"/>
      <c r="U41" s="75" t="s">
        <v>329</v>
      </c>
      <c r="V41" s="75">
        <v>60000</v>
      </c>
      <c r="W41" s="75" t="s">
        <v>69</v>
      </c>
      <c r="X41" s="75" t="str">
        <f t="shared" si="9"/>
        <v>&gt; 25,1 - medio</v>
      </c>
      <c r="Y41" s="75">
        <v>50000</v>
      </c>
      <c r="Z41" s="75">
        <v>80000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0">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19.5" customHeight="1" x14ac:dyDescent="0.25">
      <c r="B42" s="449" t="str">
        <f>IF(AQ7&gt;0,AQ7,"-")</f>
        <v>Superfosfato simples</v>
      </c>
      <c r="C42" s="449"/>
      <c r="D42" s="87">
        <f t="shared" ref="D42:D49" si="11">IF(J40&gt;0,J40,"-")</f>
        <v>200</v>
      </c>
      <c r="E42" s="365" t="str">
        <f t="shared" ref="E42:E49" si="12">IF(J40&gt;0,"gramas por planta","-")</f>
        <v>gramas por planta</v>
      </c>
      <c r="F42" s="365"/>
      <c r="G42" s="365"/>
      <c r="H42" s="365"/>
      <c r="I42" s="365"/>
      <c r="J42" s="81">
        <f>AV12</f>
        <v>200</v>
      </c>
      <c r="M42" s="364"/>
      <c r="N42" s="365"/>
      <c r="O42" s="483" t="s">
        <v>292</v>
      </c>
      <c r="P42" s="513"/>
      <c r="Q42" s="484"/>
      <c r="R42" s="53"/>
      <c r="U42" s="75" t="s">
        <v>329</v>
      </c>
      <c r="V42" s="75">
        <v>60000</v>
      </c>
      <c r="W42" s="75" t="s">
        <v>70</v>
      </c>
      <c r="X42" s="75" t="str">
        <f t="shared" si="9"/>
        <v>&gt; 25,1 - adequado</v>
      </c>
      <c r="Y42" s="75">
        <v>15000</v>
      </c>
      <c r="Z42" s="75">
        <v>50000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0"/>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19.5" customHeight="1" thickBot="1" x14ac:dyDescent="0.3">
      <c r="B43" s="449" t="str">
        <f>IF(AQ8&gt;0,AQ8,"-")</f>
        <v>-</v>
      </c>
      <c r="C43" s="449"/>
      <c r="D43" s="87" t="str">
        <f t="shared" si="11"/>
        <v>-</v>
      </c>
      <c r="E43" s="365" t="str">
        <f t="shared" si="12"/>
        <v>-</v>
      </c>
      <c r="F43" s="365"/>
      <c r="G43" s="365"/>
      <c r="H43" s="365"/>
      <c r="I43" s="365"/>
      <c r="J43" s="81">
        <f>AV13</f>
        <v>1500</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0"/>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19.5" customHeight="1" thickBot="1" x14ac:dyDescent="0.3">
      <c r="B44" s="449" t="str">
        <f>IF(AQ12&gt;0,AQ12,"-")</f>
        <v>Cloreto de potássio</v>
      </c>
      <c r="C44" s="449"/>
      <c r="D44" s="87">
        <f t="shared" si="11"/>
        <v>200</v>
      </c>
      <c r="E44" s="365" t="str">
        <f t="shared" si="12"/>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19.5" customHeight="1" x14ac:dyDescent="0.25">
      <c r="B45" s="449" t="str">
        <f>IF(AQ13&gt;0,AQ13,"-")</f>
        <v>EkoSil</v>
      </c>
      <c r="C45" s="449"/>
      <c r="D45" s="87">
        <f t="shared" si="11"/>
        <v>1500</v>
      </c>
      <c r="E45" s="365" t="str">
        <f t="shared" si="12"/>
        <v>gramas por planta</v>
      </c>
      <c r="F45" s="365"/>
      <c r="G45" s="365"/>
      <c r="H45" s="365"/>
      <c r="I45" s="365"/>
      <c r="J45" s="81">
        <f>AV18</f>
        <v>993.10344827586209</v>
      </c>
      <c r="M45" s="48"/>
      <c r="N45" s="49"/>
      <c r="O45" s="500" t="s">
        <v>305</v>
      </c>
      <c r="P45" s="500"/>
      <c r="Q45" s="500"/>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19.5" customHeight="1" x14ac:dyDescent="0.25">
      <c r="B46" s="449" t="str">
        <f>IF(AQ14&gt;0,AQ14,"-")</f>
        <v>-</v>
      </c>
      <c r="C46" s="449"/>
      <c r="D46" s="87" t="str">
        <f t="shared" si="11"/>
        <v>-</v>
      </c>
      <c r="E46" s="365" t="str">
        <f t="shared" si="12"/>
        <v>-</v>
      </c>
      <c r="F46" s="365"/>
      <c r="G46" s="365"/>
      <c r="H46" s="365"/>
      <c r="I46" s="365"/>
      <c r="J46" s="81">
        <f>AV19</f>
        <v>0</v>
      </c>
      <c r="M46" s="364" t="s">
        <v>213</v>
      </c>
      <c r="N46" s="365"/>
      <c r="O46" s="503"/>
      <c r="P46" s="503"/>
      <c r="Q46" s="503"/>
      <c r="R46" s="53"/>
      <c r="U46" s="75" t="s">
        <v>109</v>
      </c>
      <c r="V46" s="89">
        <v>70</v>
      </c>
      <c r="X46" s="455" t="s">
        <v>268</v>
      </c>
      <c r="Y46" s="455"/>
      <c r="Z46" s="63">
        <f>IFERROR(VLOOKUP(O50,$V$87:$AE$95,10,0),0)</f>
        <v>9.1197279464721319</v>
      </c>
      <c r="AO46" s="47"/>
      <c r="AP46" s="47"/>
      <c r="AQ46" s="47"/>
      <c r="AR46" s="47"/>
      <c r="AS46" s="47"/>
      <c r="AT46" s="47"/>
      <c r="AU46" s="47"/>
      <c r="AV46" s="47"/>
      <c r="AW46" s="47"/>
      <c r="AX46" s="47"/>
      <c r="AY46" s="47"/>
      <c r="AZ46" s="47"/>
      <c r="BA46" s="47"/>
      <c r="BB46" s="47"/>
    </row>
    <row r="47" spans="2:57" ht="19.5" customHeight="1" x14ac:dyDescent="0.25">
      <c r="B47" s="449" t="str">
        <f>IF(AQ18&gt;0,AQ18,"-")</f>
        <v>Nitrato de Amônio</v>
      </c>
      <c r="C47" s="449"/>
      <c r="D47" s="87">
        <f t="shared" si="11"/>
        <v>993.10344827586209</v>
      </c>
      <c r="E47" s="365" t="str">
        <f t="shared" si="12"/>
        <v>gramas por planta</v>
      </c>
      <c r="F47" s="365"/>
      <c r="G47" s="365"/>
      <c r="H47" s="365"/>
      <c r="I47" s="365"/>
      <c r="J47" s="81">
        <f>AV20</f>
        <v>0</v>
      </c>
      <c r="M47" s="364"/>
      <c r="N47" s="365"/>
      <c r="O47" s="483" t="s">
        <v>139</v>
      </c>
      <c r="P47" s="484"/>
      <c r="Q47" s="92">
        <v>0.5</v>
      </c>
      <c r="R47" s="53"/>
      <c r="U47" s="51" t="s">
        <v>111</v>
      </c>
      <c r="V47" s="63">
        <f>IFERROR((((V46-P24)*P25)/V49),0)</f>
        <v>-1.5142073778664005</v>
      </c>
      <c r="X47" s="455" t="s">
        <v>203</v>
      </c>
      <c r="Y47" s="455"/>
      <c r="Z47" s="63">
        <f>IFERROR((($V$50/$Z$46)*$V$47),0)</f>
        <v>-7.3056044014881856</v>
      </c>
      <c r="AO47" s="47"/>
      <c r="BA47" s="47"/>
      <c r="BB47" s="47"/>
    </row>
    <row r="48" spans="2:57" ht="19.5" customHeight="1" x14ac:dyDescent="0.25">
      <c r="B48" s="449" t="str">
        <f>IF(AQ19&gt;0,AQ19,"-")</f>
        <v>-</v>
      </c>
      <c r="C48" s="449"/>
      <c r="D48" s="87" t="str">
        <f t="shared" si="11"/>
        <v>-</v>
      </c>
      <c r="E48" s="365" t="str">
        <f t="shared" si="12"/>
        <v>-</v>
      </c>
      <c r="F48" s="365"/>
      <c r="G48" s="365"/>
      <c r="H48" s="365"/>
      <c r="I48" s="365"/>
      <c r="J48" s="91"/>
      <c r="M48" s="364"/>
      <c r="N48" s="365"/>
      <c r="O48" s="506" t="s">
        <v>306</v>
      </c>
      <c r="P48" s="506"/>
      <c r="Q48" s="506"/>
      <c r="R48" s="53"/>
      <c r="U48" s="51" t="s">
        <v>201</v>
      </c>
      <c r="V48" s="63">
        <f>IF(V47&lt;0,(0),IF(V47&gt;=0,(V47)))</f>
        <v>0</v>
      </c>
      <c r="X48" s="455" t="s">
        <v>201</v>
      </c>
      <c r="Y48" s="455"/>
      <c r="Z48" s="63">
        <f>IFERROR(IF(Z47&lt;0,(0),IF(Z47&gt;=0,(Z47))),0)</f>
        <v>0</v>
      </c>
    </row>
    <row r="49" spans="2:50" ht="19.5" customHeight="1" x14ac:dyDescent="0.25">
      <c r="B49" s="449" t="str">
        <f>IF(AQ20&gt;0,AQ20,"-")</f>
        <v>-</v>
      </c>
      <c r="C49" s="449"/>
      <c r="D49" s="87" t="str">
        <f t="shared" si="11"/>
        <v>-</v>
      </c>
      <c r="E49" s="365" t="str">
        <f t="shared" si="12"/>
        <v>-</v>
      </c>
      <c r="F49" s="365"/>
      <c r="G49" s="365"/>
      <c r="H49" s="365"/>
      <c r="I49" s="365"/>
      <c r="M49" s="364"/>
      <c r="N49" s="365"/>
      <c r="O49" s="503"/>
      <c r="P49" s="503"/>
      <c r="Q49" s="503"/>
      <c r="R49" s="53"/>
      <c r="U49" s="51" t="s">
        <v>110</v>
      </c>
      <c r="V49" s="63">
        <f>IFERROR(VLOOKUP($O$47,$V$56:$AA$68,5,0),0)</f>
        <v>80.239999999999995</v>
      </c>
      <c r="X49" s="455" t="s">
        <v>273</v>
      </c>
      <c r="Y49" s="455"/>
      <c r="Z49" s="63">
        <f>Z48*$Q$50</f>
        <v>0</v>
      </c>
    </row>
    <row r="50" spans="2:50" ht="19.5" customHeight="1" x14ac:dyDescent="0.25">
      <c r="B50" s="476" t="s">
        <v>535</v>
      </c>
      <c r="C50" s="476"/>
      <c r="D50" s="476"/>
      <c r="E50" s="476"/>
      <c r="F50" s="476"/>
      <c r="G50" s="476"/>
      <c r="H50" s="476"/>
      <c r="I50" s="476"/>
      <c r="M50" s="364"/>
      <c r="N50" s="365"/>
      <c r="O50" s="483" t="s">
        <v>157</v>
      </c>
      <c r="P50" s="484"/>
      <c r="Q50" s="92">
        <v>0.5</v>
      </c>
      <c r="R50" s="53"/>
      <c r="U50" s="51" t="s">
        <v>193</v>
      </c>
      <c r="V50" s="63">
        <f>IFERROR(VLOOKUP($O$47,$V$56:$AA$68,6,0),0)</f>
        <v>44</v>
      </c>
      <c r="AT50" s="457" t="s">
        <v>280</v>
      </c>
      <c r="AU50" s="457"/>
      <c r="AV50" s="457"/>
    </row>
    <row r="51" spans="2:50" ht="19.5" customHeight="1" thickBot="1" x14ac:dyDescent="0.3">
      <c r="B51" s="476"/>
      <c r="C51" s="476"/>
      <c r="D51" s="476"/>
      <c r="E51" s="476"/>
      <c r="F51" s="476"/>
      <c r="G51" s="476"/>
      <c r="H51" s="476"/>
      <c r="I51" s="476"/>
      <c r="M51" s="69"/>
      <c r="N51" s="70"/>
      <c r="O51" s="70"/>
      <c r="P51" s="70"/>
      <c r="Q51" s="70"/>
      <c r="R51" s="71"/>
      <c r="U51" s="51" t="s">
        <v>273</v>
      </c>
      <c r="V51" s="63">
        <f>V48*$Q$47</f>
        <v>0</v>
      </c>
      <c r="AT51" s="110" t="s">
        <v>291</v>
      </c>
      <c r="AU51" s="111" t="s">
        <v>286</v>
      </c>
      <c r="AV51" s="110">
        <v>15</v>
      </c>
    </row>
    <row r="52" spans="2:50" ht="19.5" customHeight="1" thickBot="1" x14ac:dyDescent="0.3">
      <c r="B52" s="476"/>
      <c r="C52" s="476"/>
      <c r="D52" s="476"/>
      <c r="E52" s="476"/>
      <c r="F52" s="476"/>
      <c r="G52" s="476"/>
      <c r="H52" s="476"/>
      <c r="I52" s="476"/>
      <c r="AT52" s="110" t="s">
        <v>291</v>
      </c>
      <c r="AU52" s="111" t="s">
        <v>293</v>
      </c>
      <c r="AV52" s="110">
        <v>4</v>
      </c>
    </row>
    <row r="53" spans="2:50" ht="19.5" customHeight="1" thickBot="1" x14ac:dyDescent="0.3">
      <c r="B53" s="477"/>
      <c r="C53" s="477"/>
      <c r="D53" s="477"/>
      <c r="E53" s="477"/>
      <c r="F53" s="477"/>
      <c r="G53" s="477"/>
      <c r="H53" s="477"/>
      <c r="I53" s="477"/>
      <c r="M53" s="48"/>
      <c r="N53" s="49"/>
      <c r="O53" s="49"/>
      <c r="P53" s="49"/>
      <c r="Q53" s="49"/>
      <c r="R53" s="50"/>
      <c r="AP53" s="108"/>
      <c r="AQ53" s="108"/>
      <c r="AS53" s="108"/>
      <c r="AT53" s="110" t="s">
        <v>291</v>
      </c>
      <c r="AU53" s="111" t="s">
        <v>158</v>
      </c>
      <c r="AV53" s="110">
        <v>6</v>
      </c>
    </row>
    <row r="54" spans="2:50" ht="19.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110" t="s">
        <v>291</v>
      </c>
      <c r="AU54" s="111" t="s">
        <v>292</v>
      </c>
      <c r="AV54" s="110">
        <v>12</v>
      </c>
    </row>
    <row r="55" spans="2:50" ht="19.5" customHeight="1" x14ac:dyDescent="0.25">
      <c r="B55" s="449" t="str">
        <f>IF(AP40&gt;0,AP40,"-")</f>
        <v>Ácido Bórico</v>
      </c>
      <c r="C55" s="449"/>
      <c r="D55" s="87">
        <f>IF(AV40&gt;0,AV40,"-")</f>
        <v>27.424882758620686</v>
      </c>
      <c r="E55" s="365" t="str">
        <f>IF(AV40&gt;0,"gramas por planta","-")</f>
        <v>gramas por planta</v>
      </c>
      <c r="F55" s="365"/>
      <c r="G55" s="365"/>
      <c r="H55" s="365"/>
      <c r="I55" s="365"/>
      <c r="M55" s="364"/>
      <c r="N55" s="365"/>
      <c r="O55" s="448" t="s">
        <v>154</v>
      </c>
      <c r="P55" s="448"/>
      <c r="Q55" s="448"/>
      <c r="R55" s="53"/>
      <c r="U55" s="344"/>
      <c r="V55" s="344"/>
      <c r="W55" s="344"/>
      <c r="X55" s="95" t="s">
        <v>105</v>
      </c>
      <c r="Y55" s="95" t="s">
        <v>106</v>
      </c>
      <c r="Z55" s="95" t="s">
        <v>107</v>
      </c>
      <c r="AA55" s="95" t="s">
        <v>195</v>
      </c>
      <c r="AP55" s="465"/>
      <c r="AQ55" s="465"/>
      <c r="AS55" s="465"/>
      <c r="AT55" s="110" t="s">
        <v>291</v>
      </c>
      <c r="AU55" s="111" t="s">
        <v>285</v>
      </c>
      <c r="AV55" s="110">
        <v>14</v>
      </c>
    </row>
    <row r="56" spans="2:50" ht="19.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110" t="s">
        <v>291</v>
      </c>
      <c r="AU56" s="111" t="s">
        <v>287</v>
      </c>
      <c r="AV56" s="110">
        <v>10</v>
      </c>
    </row>
    <row r="57" spans="2:50" ht="19.5" customHeight="1" x14ac:dyDescent="0.25">
      <c r="B57" s="449" t="str">
        <f>IF(AP42&gt;0,AP42,"-")</f>
        <v>Sulfato de zinco</v>
      </c>
      <c r="C57" s="449"/>
      <c r="D57" s="87" t="str">
        <f>IF(AV42&gt;0,AV42,"-")</f>
        <v>-</v>
      </c>
      <c r="E57" s="365" t="str">
        <f t="shared" ref="E57:E59" si="13">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302</v>
      </c>
      <c r="AR57" s="463"/>
      <c r="AS57" s="25"/>
      <c r="AT57" s="110" t="s">
        <v>291</v>
      </c>
      <c r="AU57" s="111" t="s">
        <v>288</v>
      </c>
      <c r="AV57" s="110">
        <v>14</v>
      </c>
    </row>
    <row r="58" spans="2:50" ht="19.5" customHeight="1" x14ac:dyDescent="0.25">
      <c r="B58" s="449" t="str">
        <f>IF(AP43&gt;0,AP43,"-")</f>
        <v>Sulfato de manganês</v>
      </c>
      <c r="C58" s="449"/>
      <c r="D58" s="87" t="str">
        <f>IF(AV43&gt;0,AV43,"-")</f>
        <v>-</v>
      </c>
      <c r="E58" s="365" t="str">
        <f t="shared" si="13"/>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f>IFERROR(VLOOKUP($O$42,AU51:AV59,2,0),0)</f>
        <v>12</v>
      </c>
      <c r="AR58" s="463"/>
      <c r="AS58" s="25"/>
      <c r="AT58" s="110" t="s">
        <v>291</v>
      </c>
      <c r="AU58" s="111" t="s">
        <v>289</v>
      </c>
      <c r="AV58" s="110">
        <v>15</v>
      </c>
    </row>
    <row r="59" spans="2:50" ht="19.5" customHeight="1" x14ac:dyDescent="0.25">
      <c r="B59" s="449" t="str">
        <f>IF(AP44&gt;0,AP44,"-")</f>
        <v>-</v>
      </c>
      <c r="C59" s="449"/>
      <c r="D59" s="87" t="str">
        <f>IF(AV44&gt;0,AV44,"-")</f>
        <v>-</v>
      </c>
      <c r="E59" s="365" t="str">
        <f t="shared" si="13"/>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S59" s="25"/>
      <c r="AT59" s="110" t="s">
        <v>291</v>
      </c>
      <c r="AU59" s="111" t="s">
        <v>290</v>
      </c>
      <c r="AV59" s="110">
        <v>6</v>
      </c>
    </row>
    <row r="60" spans="2:50" ht="19.5" customHeight="1" x14ac:dyDescent="0.25">
      <c r="B60" s="521" t="s">
        <v>536</v>
      </c>
      <c r="C60" s="521"/>
      <c r="D60" s="521"/>
      <c r="E60" s="521"/>
      <c r="F60" s="521"/>
      <c r="G60" s="521"/>
      <c r="H60" s="521"/>
      <c r="I60" s="521"/>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25"/>
      <c r="AU60" s="25"/>
      <c r="AV60" s="25"/>
      <c r="AW60" s="25"/>
      <c r="AX60" s="25"/>
    </row>
    <row r="61" spans="2:50" ht="19.5" customHeight="1" x14ac:dyDescent="0.25">
      <c r="B61" s="521"/>
      <c r="C61" s="521"/>
      <c r="D61" s="521"/>
      <c r="E61" s="521"/>
      <c r="F61" s="521"/>
      <c r="G61" s="521"/>
      <c r="H61" s="521"/>
      <c r="I61" s="521"/>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25"/>
      <c r="AU61" s="25"/>
      <c r="AV61" s="25"/>
      <c r="AW61" s="25"/>
      <c r="AX61" s="25"/>
    </row>
    <row r="62" spans="2:50" ht="19.5" customHeight="1" x14ac:dyDescent="0.25">
      <c r="B62" s="521"/>
      <c r="C62" s="521"/>
      <c r="D62" s="521"/>
      <c r="E62" s="521"/>
      <c r="F62" s="521"/>
      <c r="G62" s="521"/>
      <c r="H62" s="521"/>
      <c r="I62" s="521"/>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S62" s="25"/>
      <c r="AT62" s="25"/>
      <c r="AU62" s="25"/>
      <c r="AV62" s="25"/>
      <c r="AW62" s="25"/>
      <c r="AX62" s="25"/>
    </row>
    <row r="63" spans="2:50" ht="19.5" customHeight="1" thickBot="1" x14ac:dyDescent="0.3">
      <c r="B63" s="522"/>
      <c r="C63" s="522"/>
      <c r="D63" s="522"/>
      <c r="E63" s="522"/>
      <c r="F63" s="522"/>
      <c r="G63" s="522"/>
      <c r="H63" s="522"/>
      <c r="I63" s="522"/>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S63" s="25"/>
      <c r="AT63" s="25"/>
      <c r="AU63" s="25"/>
      <c r="AV63" s="25"/>
      <c r="AW63" s="25"/>
      <c r="AX63" s="25"/>
    </row>
    <row r="64" spans="2:50" ht="19.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S64" s="25"/>
      <c r="AT64" s="25"/>
      <c r="AU64" s="25"/>
      <c r="AV64" s="25"/>
      <c r="AW64" s="25"/>
      <c r="AX64" s="25"/>
    </row>
    <row r="65" spans="2:50" ht="19.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S65" s="25"/>
      <c r="AT65" s="25"/>
      <c r="AU65" s="25"/>
      <c r="AV65" s="25"/>
      <c r="AW65" s="25"/>
      <c r="AX65" s="25"/>
    </row>
    <row r="66" spans="2:50" ht="19.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S66" s="25"/>
      <c r="AT66" s="25"/>
      <c r="AU66" s="25"/>
      <c r="AV66" s="25"/>
      <c r="AW66" s="25"/>
      <c r="AX66" s="25"/>
    </row>
    <row r="67" spans="2:50" ht="19.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S67" s="25"/>
      <c r="AT67" s="25"/>
      <c r="AU67" s="25"/>
      <c r="AV67" s="25"/>
      <c r="AW67" s="25"/>
      <c r="AX67" s="25"/>
    </row>
    <row r="68" spans="2:50" ht="19.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S68" s="25"/>
      <c r="AT68" s="25"/>
      <c r="AU68" s="25"/>
      <c r="AV68" s="25"/>
      <c r="AW68" s="25"/>
      <c r="AX68" s="25"/>
    </row>
    <row r="69" spans="2:50" ht="19.5" customHeight="1" thickBot="1" x14ac:dyDescent="0.3">
      <c r="M69" s="69"/>
      <c r="N69" s="70"/>
      <c r="O69" s="70"/>
      <c r="P69" s="70"/>
      <c r="Q69" s="70"/>
      <c r="R69" s="71"/>
      <c r="AS69" s="25"/>
      <c r="AT69" s="25"/>
      <c r="AU69" s="25"/>
      <c r="AV69" s="25"/>
      <c r="AW69" s="25"/>
      <c r="AX69" s="25"/>
    </row>
    <row r="70" spans="2:50" ht="19.5" customHeight="1" thickBot="1" x14ac:dyDescent="0.3">
      <c r="AS70" s="25"/>
      <c r="AT70" s="25"/>
      <c r="AU70" s="25"/>
      <c r="AV70" s="25"/>
      <c r="AW70" s="25"/>
      <c r="AX70" s="25"/>
    </row>
    <row r="71" spans="2:50" ht="19.5" customHeight="1" x14ac:dyDescent="0.25">
      <c r="M71" s="48"/>
      <c r="N71" s="49"/>
      <c r="O71" s="49"/>
      <c r="P71" s="49"/>
      <c r="Q71" s="49"/>
      <c r="R71" s="50"/>
      <c r="U71" s="347" t="s">
        <v>136</v>
      </c>
      <c r="V71" s="347" t="s">
        <v>76</v>
      </c>
      <c r="W71" s="347" t="s">
        <v>77</v>
      </c>
      <c r="X71" s="347" t="s">
        <v>284</v>
      </c>
      <c r="Y71" s="347"/>
      <c r="Z71" s="347"/>
      <c r="AS71" s="25"/>
      <c r="AT71" s="25"/>
      <c r="AU71" s="25"/>
      <c r="AV71" s="25"/>
      <c r="AW71" s="25"/>
      <c r="AX71" s="25"/>
    </row>
    <row r="72" spans="2:50" ht="19.5" customHeight="1" x14ac:dyDescent="0.25">
      <c r="M72" s="364" t="s">
        <v>215</v>
      </c>
      <c r="N72" s="365"/>
      <c r="O72" s="450" t="s">
        <v>252</v>
      </c>
      <c r="P72" s="451"/>
      <c r="Q72" s="452"/>
      <c r="R72" s="53"/>
      <c r="U72" s="347"/>
      <c r="V72" s="347"/>
      <c r="W72" s="347"/>
      <c r="X72" s="13" t="s">
        <v>81</v>
      </c>
      <c r="Y72" s="13" t="s">
        <v>82</v>
      </c>
      <c r="Z72" s="13" t="s">
        <v>83</v>
      </c>
      <c r="AS72" s="25"/>
      <c r="AT72" s="25"/>
      <c r="AU72" s="25"/>
      <c r="AV72" s="25"/>
      <c r="AW72" s="25"/>
      <c r="AX72" s="25"/>
    </row>
    <row r="73" spans="2:50" ht="19.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S73" s="25"/>
      <c r="AT73" s="25"/>
      <c r="AU73" s="25"/>
      <c r="AV73" s="25"/>
      <c r="AW73" s="25"/>
      <c r="AX73" s="25"/>
    </row>
    <row r="74" spans="2:50" ht="19.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S74" s="25"/>
      <c r="AT74" s="25"/>
      <c r="AU74" s="25"/>
      <c r="AV74" s="25"/>
      <c r="AW74" s="25"/>
      <c r="AX74" s="25"/>
    </row>
    <row r="75" spans="2:50" ht="19.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S75" s="25"/>
      <c r="AT75" s="25"/>
      <c r="AU75" s="25"/>
      <c r="AV75" s="25"/>
      <c r="AW75" s="25"/>
      <c r="AX75" s="25"/>
    </row>
    <row r="76" spans="2:50" ht="19.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S76" s="25"/>
      <c r="AT76" s="25"/>
      <c r="AU76" s="25"/>
      <c r="AV76" s="25"/>
      <c r="AW76" s="25"/>
      <c r="AX76" s="25"/>
    </row>
    <row r="77" spans="2:50" ht="19.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S77" s="25"/>
      <c r="AT77" s="25"/>
      <c r="AU77" s="25"/>
      <c r="AV77" s="25"/>
      <c r="AW77" s="25"/>
      <c r="AX77" s="25"/>
    </row>
    <row r="78" spans="2:50" ht="19.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S78" s="25"/>
      <c r="AT78" s="25"/>
      <c r="AU78" s="25"/>
      <c r="AV78" s="25"/>
      <c r="AW78" s="25"/>
      <c r="AX78" s="25"/>
    </row>
    <row r="79" spans="2:50" ht="19.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S79" s="25"/>
      <c r="AT79" s="25"/>
      <c r="AU79" s="25"/>
      <c r="AV79" s="25"/>
      <c r="AW79" s="25"/>
      <c r="AX79" s="25"/>
    </row>
    <row r="80" spans="2:50" ht="19.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S80" s="25"/>
      <c r="AT80" s="25"/>
      <c r="AU80" s="25"/>
      <c r="AV80" s="25"/>
      <c r="AW80" s="25"/>
      <c r="AX80" s="25"/>
    </row>
    <row r="81" spans="13:50" ht="19.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S81" s="25"/>
      <c r="AT81" s="25"/>
      <c r="AU81" s="25"/>
      <c r="AV81" s="25"/>
      <c r="AW81" s="25"/>
      <c r="AX81" s="25"/>
    </row>
    <row r="82" spans="13:50" ht="19.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S82" s="25"/>
      <c r="AT82" s="25"/>
      <c r="AU82" s="25"/>
      <c r="AV82" s="25"/>
      <c r="AW82" s="25"/>
      <c r="AX82" s="25"/>
    </row>
    <row r="83" spans="13:50" ht="19.5" customHeight="1" x14ac:dyDescent="0.25">
      <c r="M83" s="364"/>
      <c r="N83" s="365"/>
      <c r="O83" s="448" t="s">
        <v>116</v>
      </c>
      <c r="P83" s="448"/>
      <c r="Q83" s="92">
        <v>0.5</v>
      </c>
      <c r="R83" s="53"/>
      <c r="AS83" s="25"/>
      <c r="AT83" s="25"/>
      <c r="AU83" s="25"/>
      <c r="AV83" s="25"/>
      <c r="AW83" s="25"/>
      <c r="AX83" s="25"/>
    </row>
    <row r="84" spans="13:50" ht="19.5" customHeight="1" x14ac:dyDescent="0.25">
      <c r="M84" s="364"/>
      <c r="N84" s="365"/>
      <c r="O84" s="448"/>
      <c r="P84" s="448"/>
      <c r="Q84" s="92"/>
      <c r="R84" s="53"/>
      <c r="AS84" s="25"/>
      <c r="AT84" s="25"/>
      <c r="AU84" s="25"/>
      <c r="AV84" s="25"/>
      <c r="AW84" s="25"/>
      <c r="AX84" s="25"/>
    </row>
    <row r="85" spans="13:50" ht="19.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S85" s="25"/>
      <c r="AT85" s="25"/>
      <c r="AU85" s="25"/>
      <c r="AV85" s="25"/>
      <c r="AW85" s="25"/>
      <c r="AX85" s="25"/>
    </row>
    <row r="86" spans="13:50" ht="19.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S86" s="25"/>
      <c r="AT86" s="25"/>
      <c r="AU86" s="25"/>
      <c r="AV86" s="25"/>
      <c r="AW86" s="25"/>
      <c r="AX86" s="25"/>
    </row>
    <row r="87" spans="13:50" ht="19.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4">Y160</f>
        <v>8.7999999999999995E-2</v>
      </c>
      <c r="Z87" s="99">
        <f t="shared" si="14"/>
        <v>0.2</v>
      </c>
      <c r="AA87" s="99">
        <f t="shared" si="14"/>
        <v>2.83</v>
      </c>
      <c r="AB87" s="99">
        <f t="shared" si="14"/>
        <v>3.4</v>
      </c>
      <c r="AC87" s="100">
        <f>AC160*0.602</f>
        <v>1.5155244755244754</v>
      </c>
      <c r="AD87" s="100">
        <f>AD160*0.715</f>
        <v>5.4634551495016606</v>
      </c>
      <c r="AE87" s="100">
        <f t="shared" ref="AE87:AE95" si="15">AB87+AC87+AD87</f>
        <v>10.378979625026137</v>
      </c>
      <c r="AS87" s="25"/>
      <c r="AT87" s="25"/>
      <c r="AU87" s="25"/>
      <c r="AV87" s="25"/>
      <c r="AW87" s="25"/>
      <c r="AX87" s="25"/>
    </row>
    <row r="88" spans="13:50" ht="19.5" customHeight="1" x14ac:dyDescent="0.25">
      <c r="M88" s="364"/>
      <c r="N88" s="365"/>
      <c r="O88" s="450" t="s">
        <v>254</v>
      </c>
      <c r="P88" s="451"/>
      <c r="Q88" s="452"/>
      <c r="R88" s="53"/>
      <c r="U88" s="466"/>
      <c r="V88" s="99" t="str">
        <f t="shared" ref="V88:W95" si="16">V161</f>
        <v>Kamafugito</v>
      </c>
      <c r="W88" s="99">
        <f t="shared" si="16"/>
        <v>0</v>
      </c>
      <c r="X88" s="99">
        <f t="shared" ref="X88:X95" si="17">AL161</f>
        <v>0</v>
      </c>
      <c r="Y88" s="99">
        <f t="shared" si="14"/>
        <v>1.5069999999999999</v>
      </c>
      <c r="Z88" s="99">
        <f t="shared" si="14"/>
        <v>3.5</v>
      </c>
      <c r="AA88" s="99">
        <f t="shared" si="14"/>
        <v>3.3250000000000002</v>
      </c>
      <c r="AB88" s="99">
        <f t="shared" si="14"/>
        <v>4</v>
      </c>
      <c r="AC88" s="100">
        <f t="shared" ref="AC88:AC95" si="18">AC161*0.602</f>
        <v>1.7217199999999999</v>
      </c>
      <c r="AD88" s="100">
        <f t="shared" ref="AD88:AD95" si="19">AD161*0.715</f>
        <v>0</v>
      </c>
      <c r="AE88" s="100">
        <f t="shared" si="15"/>
        <v>5.7217199999999995</v>
      </c>
      <c r="AS88" s="25"/>
      <c r="AT88" s="25"/>
      <c r="AU88" s="25"/>
      <c r="AV88" s="25"/>
      <c r="AW88" s="25"/>
      <c r="AX88" s="25"/>
    </row>
    <row r="89" spans="13:50" ht="19.5" customHeight="1" x14ac:dyDescent="0.25">
      <c r="M89" s="364"/>
      <c r="N89" s="365"/>
      <c r="O89" s="450" t="s">
        <v>251</v>
      </c>
      <c r="P89" s="451"/>
      <c r="Q89" s="452"/>
      <c r="R89" s="53"/>
      <c r="U89" s="466"/>
      <c r="V89" s="99" t="str">
        <f t="shared" si="16"/>
        <v>Micaxisto (61) 3233-9368</v>
      </c>
      <c r="W89" s="99">
        <f t="shared" si="16"/>
        <v>0</v>
      </c>
      <c r="X89" s="99">
        <f t="shared" si="17"/>
        <v>0</v>
      </c>
      <c r="Y89" s="99">
        <f t="shared" si="14"/>
        <v>4.4999999999999998E-2</v>
      </c>
      <c r="Z89" s="99">
        <f t="shared" si="14"/>
        <v>0.1</v>
      </c>
      <c r="AA89" s="99">
        <f t="shared" si="14"/>
        <v>4.32</v>
      </c>
      <c r="AB89" s="99">
        <f t="shared" si="14"/>
        <v>5.2</v>
      </c>
      <c r="AC89" s="100">
        <f t="shared" si="18"/>
        <v>0.75776223776223772</v>
      </c>
      <c r="AD89" s="100">
        <f t="shared" si="19"/>
        <v>0.83139534883720934</v>
      </c>
      <c r="AE89" s="100">
        <f t="shared" si="15"/>
        <v>6.7891575865994476</v>
      </c>
      <c r="AS89" s="25"/>
      <c r="AT89" s="25"/>
      <c r="AU89" s="25"/>
      <c r="AV89" s="25"/>
      <c r="AW89" s="25"/>
      <c r="AX89" s="25"/>
    </row>
    <row r="90" spans="13:50" ht="19.5" customHeight="1" x14ac:dyDescent="0.25">
      <c r="M90" s="364"/>
      <c r="N90" s="365"/>
      <c r="O90" s="448" t="s">
        <v>93</v>
      </c>
      <c r="P90" s="448"/>
      <c r="Q90" s="92">
        <v>1</v>
      </c>
      <c r="R90" s="53"/>
      <c r="U90" s="466"/>
      <c r="V90" s="99" t="str">
        <f t="shared" si="16"/>
        <v xml:space="preserve">Pó de brita Fmx (62) 3924 8565 </v>
      </c>
      <c r="W90" s="99">
        <f t="shared" si="16"/>
        <v>0</v>
      </c>
      <c r="X90" s="99">
        <f t="shared" si="17"/>
        <v>0</v>
      </c>
      <c r="Y90" s="99">
        <f t="shared" si="14"/>
        <v>0</v>
      </c>
      <c r="Z90" s="99">
        <f t="shared" si="14"/>
        <v>0</v>
      </c>
      <c r="AA90" s="99">
        <f t="shared" si="14"/>
        <v>4.99</v>
      </c>
      <c r="AB90" s="99">
        <f t="shared" si="14"/>
        <v>6</v>
      </c>
      <c r="AC90" s="100">
        <f t="shared" si="18"/>
        <v>2.5258741258741257</v>
      </c>
      <c r="AD90" s="100">
        <f t="shared" si="19"/>
        <v>0.59385382059800662</v>
      </c>
      <c r="AE90" s="100">
        <f t="shared" si="15"/>
        <v>9.1197279464721319</v>
      </c>
      <c r="AS90" s="25"/>
      <c r="AT90" s="25"/>
      <c r="AU90" s="25"/>
      <c r="AV90" s="25"/>
      <c r="AW90" s="25"/>
      <c r="AX90" s="25"/>
    </row>
    <row r="91" spans="13:50" ht="19.5" customHeight="1" x14ac:dyDescent="0.25">
      <c r="M91" s="364"/>
      <c r="N91" s="365"/>
      <c r="O91" s="448"/>
      <c r="P91" s="448"/>
      <c r="Q91" s="92"/>
      <c r="R91" s="53"/>
      <c r="U91" s="466"/>
      <c r="V91" s="99" t="str">
        <f t="shared" si="16"/>
        <v>Remax Mistel (61) 99414-1975</v>
      </c>
      <c r="W91" s="99">
        <f t="shared" si="16"/>
        <v>0</v>
      </c>
      <c r="X91" s="99">
        <f t="shared" si="17"/>
        <v>43.8</v>
      </c>
      <c r="Y91" s="99">
        <f t="shared" si="14"/>
        <v>4.4999999999999998E-2</v>
      </c>
      <c r="Z91" s="99">
        <f t="shared" si="14"/>
        <v>0.1</v>
      </c>
      <c r="AA91" s="99">
        <f t="shared" si="14"/>
        <v>2.1949999999999998</v>
      </c>
      <c r="AB91" s="99">
        <f t="shared" si="14"/>
        <v>2.6</v>
      </c>
      <c r="AC91" s="100">
        <f t="shared" si="18"/>
        <v>11.282237762237763</v>
      </c>
      <c r="AD91" s="100">
        <f t="shared" si="19"/>
        <v>8.8959302325581397</v>
      </c>
      <c r="AE91" s="100">
        <f t="shared" si="15"/>
        <v>22.778167994795901</v>
      </c>
      <c r="AS91" s="25"/>
      <c r="AT91" s="25"/>
      <c r="AU91" s="25"/>
      <c r="AV91" s="25"/>
      <c r="AW91" s="25"/>
      <c r="AX91" s="25"/>
    </row>
    <row r="92" spans="13:50" ht="19.5" customHeight="1" x14ac:dyDescent="0.25">
      <c r="M92" s="364"/>
      <c r="N92" s="365"/>
      <c r="O92" s="448"/>
      <c r="P92" s="448"/>
      <c r="Q92" s="92"/>
      <c r="R92" s="53"/>
      <c r="U92" s="466"/>
      <c r="V92" s="99">
        <f t="shared" si="16"/>
        <v>0</v>
      </c>
      <c r="W92" s="99">
        <f t="shared" si="16"/>
        <v>0</v>
      </c>
      <c r="X92" s="99">
        <f t="shared" si="17"/>
        <v>0</v>
      </c>
      <c r="Y92" s="99">
        <f t="shared" si="14"/>
        <v>0</v>
      </c>
      <c r="Z92" s="99">
        <f t="shared" si="14"/>
        <v>0</v>
      </c>
      <c r="AA92" s="99">
        <f t="shared" si="14"/>
        <v>0</v>
      </c>
      <c r="AB92" s="99">
        <f t="shared" si="14"/>
        <v>0</v>
      </c>
      <c r="AC92" s="100">
        <f t="shared" si="18"/>
        <v>0</v>
      </c>
      <c r="AD92" s="100">
        <f t="shared" si="19"/>
        <v>0</v>
      </c>
      <c r="AE92" s="100">
        <f t="shared" si="15"/>
        <v>0</v>
      </c>
      <c r="AS92" s="25"/>
      <c r="AT92" s="25"/>
      <c r="AU92" s="25"/>
      <c r="AV92" s="25"/>
      <c r="AW92" s="25"/>
      <c r="AX92" s="25"/>
    </row>
    <row r="93" spans="13:50" ht="19.5" customHeight="1" x14ac:dyDescent="0.25">
      <c r="M93" s="101"/>
      <c r="N93" s="25"/>
      <c r="O93" s="25"/>
      <c r="P93" s="25"/>
      <c r="Q93" s="25"/>
      <c r="R93" s="53"/>
      <c r="U93" s="466"/>
      <c r="V93" s="99">
        <f t="shared" si="16"/>
        <v>0</v>
      </c>
      <c r="W93" s="99">
        <f t="shared" si="16"/>
        <v>0</v>
      </c>
      <c r="X93" s="99">
        <f t="shared" si="17"/>
        <v>0</v>
      </c>
      <c r="Y93" s="99">
        <f t="shared" si="14"/>
        <v>0</v>
      </c>
      <c r="Z93" s="99">
        <f t="shared" si="14"/>
        <v>0</v>
      </c>
      <c r="AA93" s="99">
        <f t="shared" si="14"/>
        <v>0</v>
      </c>
      <c r="AB93" s="99">
        <f t="shared" si="14"/>
        <v>0</v>
      </c>
      <c r="AC93" s="100">
        <f t="shared" si="18"/>
        <v>0</v>
      </c>
      <c r="AD93" s="100">
        <f t="shared" si="19"/>
        <v>0</v>
      </c>
      <c r="AE93" s="100">
        <f t="shared" si="15"/>
        <v>0</v>
      </c>
      <c r="AS93" s="25"/>
      <c r="AT93" s="25"/>
      <c r="AU93" s="25"/>
      <c r="AV93" s="25"/>
      <c r="AW93" s="25"/>
      <c r="AX93" s="25"/>
    </row>
    <row r="94" spans="13:50" ht="19.5" customHeight="1" x14ac:dyDescent="0.25">
      <c r="M94" s="101"/>
      <c r="N94" s="25"/>
      <c r="O94" s="365" t="s">
        <v>264</v>
      </c>
      <c r="P94" s="365"/>
      <c r="Q94" s="365"/>
      <c r="R94" s="53"/>
      <c r="U94" s="466"/>
      <c r="V94" s="99">
        <f t="shared" si="16"/>
        <v>0</v>
      </c>
      <c r="W94" s="99">
        <f t="shared" si="16"/>
        <v>0</v>
      </c>
      <c r="X94" s="99">
        <f t="shared" si="17"/>
        <v>0</v>
      </c>
      <c r="Y94" s="99">
        <f t="shared" si="14"/>
        <v>0</v>
      </c>
      <c r="Z94" s="99">
        <f t="shared" si="14"/>
        <v>0</v>
      </c>
      <c r="AA94" s="99">
        <f t="shared" si="14"/>
        <v>0</v>
      </c>
      <c r="AB94" s="99">
        <f t="shared" si="14"/>
        <v>0</v>
      </c>
      <c r="AC94" s="100">
        <f t="shared" si="18"/>
        <v>0</v>
      </c>
      <c r="AD94" s="100">
        <f t="shared" si="19"/>
        <v>0</v>
      </c>
      <c r="AE94" s="100">
        <f t="shared" si="15"/>
        <v>0</v>
      </c>
      <c r="AS94" s="25"/>
      <c r="AT94" s="25"/>
      <c r="AU94" s="25"/>
      <c r="AV94" s="25"/>
      <c r="AW94" s="25"/>
      <c r="AX94" s="25"/>
    </row>
    <row r="95" spans="13:50" ht="19.5" customHeight="1" thickBot="1" x14ac:dyDescent="0.3">
      <c r="M95" s="69"/>
      <c r="N95" s="70"/>
      <c r="O95" s="70"/>
      <c r="P95" s="70"/>
      <c r="Q95" s="70"/>
      <c r="R95" s="71"/>
      <c r="U95" s="466"/>
      <c r="V95" s="99">
        <f t="shared" si="16"/>
        <v>0</v>
      </c>
      <c r="W95" s="99">
        <f t="shared" si="16"/>
        <v>0</v>
      </c>
      <c r="X95" s="99">
        <f t="shared" si="17"/>
        <v>0</v>
      </c>
      <c r="Y95" s="99">
        <f t="shared" si="14"/>
        <v>0</v>
      </c>
      <c r="Z95" s="99">
        <f t="shared" si="14"/>
        <v>0</v>
      </c>
      <c r="AA95" s="99">
        <f t="shared" si="14"/>
        <v>0</v>
      </c>
      <c r="AB95" s="99">
        <f t="shared" si="14"/>
        <v>0</v>
      </c>
      <c r="AC95" s="100">
        <f t="shared" si="18"/>
        <v>0</v>
      </c>
      <c r="AD95" s="100">
        <f t="shared" si="19"/>
        <v>0</v>
      </c>
      <c r="AE95" s="100">
        <f t="shared" si="15"/>
        <v>0</v>
      </c>
      <c r="AS95" s="25"/>
      <c r="AT95" s="25"/>
      <c r="AU95" s="25"/>
      <c r="AV95" s="25"/>
      <c r="AW95" s="25"/>
      <c r="AX95" s="25"/>
    </row>
    <row r="96" spans="13:50" ht="19.5" customHeight="1" thickBot="1" x14ac:dyDescent="0.3">
      <c r="AS96" s="25"/>
      <c r="AT96" s="25"/>
      <c r="AU96" s="25"/>
      <c r="AV96" s="25"/>
      <c r="AW96" s="25"/>
      <c r="AX96" s="25"/>
    </row>
    <row r="97" spans="1:50" ht="19.5" customHeight="1" x14ac:dyDescent="0.25">
      <c r="A97" s="26"/>
      <c r="M97" s="48"/>
      <c r="N97" s="49"/>
      <c r="O97" s="49"/>
      <c r="P97" s="49"/>
      <c r="Q97" s="49"/>
      <c r="R97" s="50"/>
      <c r="AS97" s="25"/>
      <c r="AT97" s="25"/>
      <c r="AU97" s="25"/>
      <c r="AV97" s="25"/>
      <c r="AW97" s="25"/>
      <c r="AX97" s="25"/>
    </row>
    <row r="98" spans="1:50" ht="19.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c r="AS98" s="25"/>
      <c r="AT98" s="25"/>
      <c r="AU98" s="25"/>
      <c r="AV98" s="25"/>
      <c r="AW98" s="25"/>
      <c r="AX98" s="25"/>
    </row>
    <row r="99" spans="1:50" ht="19.5" customHeight="1" x14ac:dyDescent="0.25">
      <c r="A99" s="94"/>
      <c r="M99" s="364" t="s">
        <v>262</v>
      </c>
      <c r="N99" s="453"/>
      <c r="O99" s="103">
        <f>$AC$30</f>
        <v>288</v>
      </c>
      <c r="P99" s="103">
        <f>$AC$31</f>
        <v>72</v>
      </c>
      <c r="Q99" s="103">
        <f>$AC$32</f>
        <v>240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c r="AS99" s="25"/>
      <c r="AT99" s="25"/>
      <c r="AU99" s="25"/>
      <c r="AV99" s="25"/>
      <c r="AW99" s="25"/>
      <c r="AX99" s="25"/>
    </row>
    <row r="100" spans="1:50" ht="19.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c r="AS100" s="25"/>
      <c r="AT100" s="25"/>
      <c r="AU100" s="25"/>
      <c r="AV100" s="25"/>
      <c r="AW100" s="25"/>
      <c r="AX100" s="25"/>
    </row>
    <row r="101" spans="1:50" ht="19.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c r="AS101" s="25"/>
      <c r="AT101" s="25"/>
      <c r="AU101" s="25"/>
      <c r="AV101" s="25"/>
      <c r="AW101" s="25"/>
      <c r="AX101" s="25"/>
    </row>
    <row r="102" spans="1:50" ht="19.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c r="AS102" s="25"/>
      <c r="AT102" s="25"/>
      <c r="AU102" s="25"/>
      <c r="AV102" s="25"/>
      <c r="AW102" s="25"/>
      <c r="AX102" s="25"/>
    </row>
    <row r="103" spans="1:50" ht="19.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c r="AS103" s="25"/>
      <c r="AT103" s="25"/>
      <c r="AU103" s="25"/>
      <c r="AV103" s="25"/>
      <c r="AW103" s="25"/>
      <c r="AX103" s="25"/>
    </row>
    <row r="104" spans="1:50" ht="19.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c r="AS104" s="25"/>
      <c r="AT104" s="25"/>
      <c r="AU104" s="25"/>
      <c r="AV104" s="25"/>
      <c r="AW104" s="25"/>
      <c r="AX104" s="25"/>
    </row>
    <row r="105" spans="1:50" ht="19.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c r="AS105" s="25"/>
      <c r="AT105" s="25"/>
      <c r="AU105" s="25"/>
      <c r="AV105" s="25"/>
      <c r="AW105" s="25"/>
      <c r="AX105" s="25"/>
    </row>
    <row r="106" spans="1:50" ht="19.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50" ht="19.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50" ht="19.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50" ht="19.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50" ht="19.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50" ht="19.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50" ht="19.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19.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19.5" customHeight="1" x14ac:dyDescent="0.25">
      <c r="M114" s="101" t="s">
        <v>262</v>
      </c>
      <c r="N114" s="103">
        <f>AS26</f>
        <v>4.8</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19.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19.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19.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19.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19.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19.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19.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19.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19.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19.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19.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19.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19.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19.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19.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19.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19.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19.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19.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19.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19.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19.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19.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19.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19.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19.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19.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19.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19.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19.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19.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19.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19.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19.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19.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19.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19.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19.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19.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19.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19.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19.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19.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19.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19.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19.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19.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19.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19.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19.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19.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19.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19.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19.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19.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19.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19.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19.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19.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19.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19.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19.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19.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19.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19.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0">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dataValidations count="5">
    <dataValidation type="list" allowBlank="1" showInputMessage="1" showErrorMessage="1" sqref="O42:Q42">
      <formula1>$AK$29:$AK$38</formula1>
    </dataValidation>
    <dataValidation type="list" allowBlank="1" showInputMessage="1" showErrorMessage="1" sqref="Q82:Q84 Q90:Q92 Q74:Q76 Q47 Q50">
      <formula1>$AI$29:$AI$40</formula1>
    </dataValidation>
    <dataValidation type="list" allowBlank="1" showInputMessage="1" showErrorMessage="1" sqref="P39:Q39">
      <formula1>$AE$31:$AE$35</formula1>
    </dataValidation>
    <dataValidation type="list" allowBlank="1" showInputMessage="1" showErrorMessage="1" sqref="O68 O176 N159 O174">
      <formula1>$AG$29:$AG$30</formula1>
    </dataValidation>
    <dataValidation type="list" allowBlank="1" showInputMessage="1" showErrorMessage="1" sqref="O105:Q109">
      <formula1>$V$170:$V$179</formula1>
    </dataValidation>
  </dataValidations>
  <hyperlinks>
    <hyperlink ref="M4" location="Apresentação!A1" display="Voltar"/>
    <hyperlink ref="M4:N4" location="Painel!A1" display="Voltar"/>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corretivos'!$C$3:$C$62</xm:f>
          </x14:formula1>
          <xm:sqref>O74:P76 O82:P84 O90:P92</xm:sqref>
        </x14:dataValidation>
      </x14:dataValidations>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sqref="A1:XFD1048576"/>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18.7109375" style="11" customWidth="1"/>
    <col min="17" max="17" width="49.28515625" style="11" customWidth="1"/>
    <col min="18" max="18" width="8.7109375" style="11" customWidth="1"/>
    <col min="19" max="19" width="11.42578125" style="11" bestFit="1" customWidth="1"/>
    <col min="20" max="20" width="30.140625" style="11" hidden="1" customWidth="1" outlineLevel="1"/>
    <col min="21" max="21" width="43.5703125" style="11" hidden="1" customWidth="1" outlineLevel="1"/>
    <col min="22" max="22" width="65.42578125" style="11" hidden="1" customWidth="1" outlineLevel="1"/>
    <col min="23" max="23" width="19.85546875" style="11" hidden="1" customWidth="1" outlineLevel="1"/>
    <col min="24" max="24" width="12" style="11" hidden="1" customWidth="1" outlineLevel="1"/>
    <col min="25" max="25" width="21.85546875" style="11" hidden="1" customWidth="1" outlineLevel="1"/>
    <col min="26" max="26" width="14.140625" style="11" hidden="1" customWidth="1" outlineLevel="1"/>
    <col min="27" max="27" width="31.5703125" style="11" hidden="1" customWidth="1" outlineLevel="1"/>
    <col min="28" max="28" width="21.42578125" style="11" hidden="1" customWidth="1" outlineLevel="1"/>
    <col min="29" max="29" width="27" style="11" hidden="1" customWidth="1" outlineLevel="1"/>
    <col min="30" max="30" width="24.85546875" style="11" hidden="1" customWidth="1" outlineLevel="1"/>
    <col min="31" max="31" width="26.28515625" style="11" hidden="1" customWidth="1" outlineLevel="1"/>
    <col min="32" max="32" width="15.5703125" style="11" hidden="1" customWidth="1" outlineLevel="1"/>
    <col min="33" max="33" width="21.42578125" style="11" hidden="1" customWidth="1" outlineLevel="1"/>
    <col min="34" max="34" width="28.5703125" style="11" hidden="1" customWidth="1" outlineLevel="1"/>
    <col min="35" max="35" width="23" style="11" hidden="1" customWidth="1" outlineLevel="1"/>
    <col min="36" max="36" width="14" style="11" hidden="1" customWidth="1" outlineLevel="1"/>
    <col min="37" max="37" width="19.85546875" style="11" hidden="1" customWidth="1" outlineLevel="1"/>
    <col min="38" max="38" width="11.42578125" style="11" hidden="1" customWidth="1" outlineLevel="1"/>
    <col min="39" max="39" width="34.85546875" style="11" hidden="1" customWidth="1" outlineLevel="1"/>
    <col min="40" max="40" width="23.7109375" style="11" hidden="1" customWidth="1" outlineLevel="1"/>
    <col min="41" max="41" width="23.42578125" style="11" hidden="1" customWidth="1" outlineLevel="1"/>
    <col min="42" max="42" width="9.42578125" style="11" hidden="1" customWidth="1" outlineLevel="1"/>
    <col min="43" max="43" width="16.7109375" style="11" hidden="1" customWidth="1" outlineLevel="1"/>
    <col min="44" max="44" width="6.7109375" style="11" hidden="1" customWidth="1" outlineLevel="1"/>
    <col min="45" max="45" width="8.28515625" style="11" hidden="1" customWidth="1" outlineLevel="1"/>
    <col min="46" max="46" width="8.42578125" style="11" hidden="1" customWidth="1" outlineLevel="1"/>
    <col min="47" max="47" width="31.5703125" style="11" hidden="1" customWidth="1" outlineLevel="1"/>
    <col min="48" max="48" width="35.5703125" style="11" hidden="1" customWidth="1" outlineLevel="1"/>
    <col min="49" max="52" width="6.7109375"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94"/>
      <c r="V3" s="94"/>
      <c r="W3" s="94"/>
      <c r="X3" s="94"/>
      <c r="Y3" s="25"/>
      <c r="Z3" s="25"/>
      <c r="AA3" s="25"/>
      <c r="AB3" s="25"/>
      <c r="AC3" s="25"/>
      <c r="AD3" s="25"/>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94"/>
      <c r="V4" s="94"/>
      <c r="W4" s="94"/>
      <c r="X4" s="94"/>
      <c r="Y4" s="51" t="s">
        <v>63</v>
      </c>
      <c r="AB4" s="25"/>
      <c r="AC4" s="25"/>
      <c r="AD4" s="25"/>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94"/>
      <c r="V5" s="94"/>
      <c r="W5" s="94"/>
      <c r="X5" s="94"/>
      <c r="Y5" s="51" t="s">
        <v>189</v>
      </c>
      <c r="Z5" s="25"/>
      <c r="AA5" s="25"/>
      <c r="AB5" s="25"/>
      <c r="AC5" s="25"/>
      <c r="AD5" s="25"/>
      <c r="AO5" s="47"/>
      <c r="AP5" s="447"/>
      <c r="AQ5" s="447"/>
      <c r="AR5" s="447"/>
      <c r="AS5" s="55">
        <f>$V$26</f>
        <v>24</v>
      </c>
      <c r="AT5" s="55">
        <f>$V$27</f>
        <v>0</v>
      </c>
      <c r="AU5" s="55">
        <f>$V$28</f>
        <v>36</v>
      </c>
      <c r="AV5" s="509"/>
      <c r="AW5" s="47"/>
      <c r="AX5" s="47"/>
      <c r="AY5" s="47"/>
      <c r="AZ5" s="47"/>
      <c r="BA5" s="47"/>
      <c r="BB5" s="47"/>
    </row>
    <row r="6" spans="1:54" ht="20.25" customHeight="1" x14ac:dyDescent="0.25">
      <c r="M6" s="364"/>
      <c r="N6" s="453"/>
      <c r="O6" s="51" t="s">
        <v>3</v>
      </c>
      <c r="P6" s="56">
        <v>2</v>
      </c>
      <c r="Q6" s="51" t="s">
        <v>55</v>
      </c>
      <c r="R6" s="53"/>
      <c r="U6" s="591" t="s">
        <v>56</v>
      </c>
      <c r="V6" s="592"/>
      <c r="W6" s="510" t="s">
        <v>58</v>
      </c>
      <c r="X6" s="25"/>
      <c r="Y6" s="51" t="s">
        <v>190</v>
      </c>
      <c r="Z6" s="25"/>
      <c r="AA6" s="25"/>
      <c r="AB6" s="25"/>
      <c r="AC6" s="25"/>
      <c r="AD6" s="25"/>
      <c r="AO6" s="47"/>
      <c r="AP6" s="54">
        <v>1</v>
      </c>
      <c r="AQ6" s="517" t="str">
        <f>O74</f>
        <v>Termofosfato YOORIN</v>
      </c>
      <c r="AR6" s="518"/>
      <c r="AS6" s="55">
        <f>IFERROR((VLOOKUP(AQ6,$V$100:$AB$179,3,0)*0.01)*AV6,0)</f>
        <v>0</v>
      </c>
      <c r="AT6" s="55">
        <f>IFERROR((VLOOKUP(AQ6,$V$100:$AB$179,5,0)*0.01)*AV6,0)</f>
        <v>0</v>
      </c>
      <c r="AU6" s="55">
        <f>IFERROR((VLOOKUP(AQ6,$V$100:$AB$179,7,0)*0.01)*AV6,0)</f>
        <v>0</v>
      </c>
      <c r="AV6" s="55">
        <f>IFERROR($AT$5*Q74/(VLOOKUP(AQ6,$V$100:$AB$179,5,0)/100),0)</f>
        <v>0</v>
      </c>
      <c r="AW6" s="47"/>
      <c r="AX6" s="47"/>
      <c r="AY6" s="47"/>
      <c r="AZ6" s="47"/>
      <c r="BA6" s="47"/>
      <c r="BB6" s="47"/>
    </row>
    <row r="7" spans="1:54" ht="20.25" customHeight="1" x14ac:dyDescent="0.25">
      <c r="M7" s="364"/>
      <c r="N7" s="453"/>
      <c r="O7" s="51" t="s">
        <v>4</v>
      </c>
      <c r="P7" s="32">
        <v>1</v>
      </c>
      <c r="Q7" s="51" t="s">
        <v>55</v>
      </c>
      <c r="R7" s="53"/>
      <c r="U7" s="593"/>
      <c r="V7" s="594"/>
      <c r="W7" s="370"/>
      <c r="X7" s="25"/>
      <c r="Y7" s="79" t="e">
        <f>10000/((($O$32/2)+($P$32/2))*$Q$32)</f>
        <v>#DIV/0!</v>
      </c>
      <c r="Z7" s="25"/>
      <c r="AA7" s="76" t="s">
        <v>63</v>
      </c>
      <c r="AB7" s="25"/>
      <c r="AC7" s="25"/>
      <c r="AD7" s="25"/>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0</v>
      </c>
      <c r="AU7" s="55">
        <f>IFERROR((VLOOKUP(AQ7,$V$100:$AB$179,7,0)*0.01)*AV7,0)</f>
        <v>0</v>
      </c>
      <c r="AV7" s="55">
        <f>IFERROR($AT$5*Q75/(VLOOKUP(AQ7,$V$100:$AB$179,5,0)/100),0)</f>
        <v>0</v>
      </c>
      <c r="AW7" s="47"/>
      <c r="AX7" s="47"/>
      <c r="AY7" s="47"/>
      <c r="AZ7" s="47"/>
      <c r="BA7" s="47"/>
      <c r="BB7" s="47"/>
    </row>
    <row r="8" spans="1:54" ht="20.25" customHeight="1" thickBot="1" x14ac:dyDescent="0.3">
      <c r="M8" s="364"/>
      <c r="N8" s="453"/>
      <c r="O8" s="51" t="s">
        <v>5</v>
      </c>
      <c r="P8" s="56">
        <v>0.01</v>
      </c>
      <c r="Q8" s="57" t="s">
        <v>55</v>
      </c>
      <c r="R8" s="53"/>
      <c r="U8" s="114"/>
      <c r="V8" s="114"/>
      <c r="W8" s="463" t="str">
        <f>IF(V9="baixo","baixo",IF(V10="médio","médio",IF(V11="adequado","adequado",0)))</f>
        <v>adequado</v>
      </c>
      <c r="X8" s="25"/>
      <c r="Y8" s="25"/>
      <c r="Z8" s="25"/>
      <c r="AA8" s="51" t="s">
        <v>286</v>
      </c>
      <c r="AB8" s="25"/>
      <c r="AD8" s="25"/>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114" t="s">
        <v>501</v>
      </c>
      <c r="V9" s="51" t="str">
        <f>IF($P$13&lt;=7,"baixo","erro")</f>
        <v>erro</v>
      </c>
      <c r="W9" s="463"/>
      <c r="X9" s="25"/>
      <c r="Y9" s="76" t="s">
        <v>63</v>
      </c>
      <c r="Z9" s="25"/>
      <c r="AA9" s="51" t="s">
        <v>293</v>
      </c>
      <c r="AB9" s="25"/>
      <c r="AD9" s="25"/>
      <c r="AF9" s="511" t="s">
        <v>246</v>
      </c>
      <c r="AG9" s="58" t="s">
        <v>25</v>
      </c>
      <c r="AH9" s="58" t="s">
        <v>242</v>
      </c>
      <c r="AI9" s="51" t="str">
        <f>IF($P$14&lt;=0.2,"baixo","erro")</f>
        <v>baixo</v>
      </c>
      <c r="AJ9" s="457" t="str">
        <f>IF($AI$9="baixo","baixo",IF($AI$10="medio","medio",IF($AI$11="adequado","adequado",0)))</f>
        <v>baixo</v>
      </c>
      <c r="AK9" s="457">
        <f>IF(AJ9="Baixo",AL9,0)</f>
        <v>1.2</v>
      </c>
      <c r="AL9" s="457">
        <f>(AM9*1000)/$E$18</f>
        <v>1.2</v>
      </c>
      <c r="AM9" s="456">
        <v>2</v>
      </c>
      <c r="AO9" s="47"/>
      <c r="AP9" s="47"/>
      <c r="AQ9" s="47"/>
      <c r="AR9" s="47"/>
      <c r="AS9" s="59">
        <f>AS5-(SUM(AS6:AS8))</f>
        <v>24</v>
      </c>
      <c r="AT9" s="59">
        <f>AT5-(SUM(AT6:AT8))</f>
        <v>0</v>
      </c>
      <c r="AU9" s="59">
        <f>AU5-(SUM(AU6:AU8))</f>
        <v>36</v>
      </c>
      <c r="AV9" s="59"/>
      <c r="AW9" s="47"/>
      <c r="AX9" s="47"/>
      <c r="AY9" s="47"/>
      <c r="AZ9" s="47"/>
      <c r="BA9" s="47"/>
      <c r="BB9" s="47"/>
    </row>
    <row r="10" spans="1:54" ht="20.25" customHeight="1" x14ac:dyDescent="0.25">
      <c r="M10" s="364"/>
      <c r="N10" s="453"/>
      <c r="O10" s="51" t="s">
        <v>7</v>
      </c>
      <c r="P10" s="56">
        <v>0.1</v>
      </c>
      <c r="Q10" s="51" t="s">
        <v>55</v>
      </c>
      <c r="R10" s="53"/>
      <c r="U10" s="51" t="s">
        <v>502</v>
      </c>
      <c r="V10" s="51" t="str">
        <f>IF(AND($P$13&gt;=8,$P$13&lt;=20),"médio","erro")</f>
        <v>erro</v>
      </c>
      <c r="W10" s="463"/>
      <c r="X10" s="25"/>
      <c r="Y10" s="76"/>
      <c r="Z10" s="25"/>
      <c r="AA10" s="51" t="s">
        <v>158</v>
      </c>
      <c r="AB10" s="25"/>
      <c r="AD10" s="25"/>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U11" s="51" t="s">
        <v>61</v>
      </c>
      <c r="V11" s="51" t="str">
        <f>IF($P$13&gt;20,"adequado","erro")</f>
        <v>adequado</v>
      </c>
      <c r="W11" s="463"/>
      <c r="X11" s="25"/>
      <c r="Y11" s="76">
        <v>0</v>
      </c>
      <c r="Z11" s="25"/>
      <c r="AA11" s="51" t="s">
        <v>292</v>
      </c>
      <c r="AB11" s="25"/>
      <c r="AD11" s="25"/>
      <c r="AF11" s="511"/>
      <c r="AG11" s="58" t="s">
        <v>234</v>
      </c>
      <c r="AH11" s="58" t="s">
        <v>233</v>
      </c>
      <c r="AI11" s="51" t="str">
        <f>IF($P$14&gt;0.5,"adequado","erro")</f>
        <v>erro</v>
      </c>
      <c r="AJ11" s="457"/>
      <c r="AK11" s="457"/>
      <c r="AL11" s="457"/>
      <c r="AM11" s="456"/>
      <c r="AO11" s="47"/>
      <c r="AP11" s="447"/>
      <c r="AQ11" s="447"/>
      <c r="AR11" s="447"/>
      <c r="AS11" s="55">
        <f>AS9</f>
        <v>24</v>
      </c>
      <c r="AT11" s="55">
        <f t="shared" ref="AT11:AU11" si="0">AT9</f>
        <v>0</v>
      </c>
      <c r="AU11" s="55">
        <f t="shared" si="0"/>
        <v>36</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X12" s="25"/>
      <c r="Y12" s="76">
        <v>0.1</v>
      </c>
      <c r="Z12" s="25"/>
      <c r="AA12" s="51" t="s">
        <v>292</v>
      </c>
      <c r="AB12" s="25"/>
      <c r="AC12" s="25"/>
      <c r="AD12" s="25"/>
      <c r="AF12" s="511" t="s">
        <v>245</v>
      </c>
      <c r="AG12" s="58" t="s">
        <v>25</v>
      </c>
      <c r="AH12" s="58" t="s">
        <v>241</v>
      </c>
      <c r="AI12" s="51" t="str">
        <f>IF($P$16&lt;=0.4,"baixo","erro")</f>
        <v>erro</v>
      </c>
      <c r="AJ12" s="457" t="str">
        <f>IF($AI$12="baixo","baixo",IF($AI$13="medio","medio",IF($AI$14="adequado","adequado",0)))</f>
        <v>adequado</v>
      </c>
      <c r="AK12" s="457">
        <f>IF(AJ12="Baixo",AL12,0)</f>
        <v>0</v>
      </c>
      <c r="AL12" s="457">
        <f>(AM12*1000)/$E$18</f>
        <v>1.2</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18</v>
      </c>
      <c r="AV12" s="55">
        <f>IFERROR($AU$11*Q82/(VLOOKUP(AQ12,$V$100:$AB$179,7,0)/100),0)</f>
        <v>30</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21</v>
      </c>
      <c r="Q13" s="51" t="s">
        <v>12</v>
      </c>
      <c r="R13" s="53"/>
      <c r="U13" s="457" t="s">
        <v>500</v>
      </c>
      <c r="V13" s="457"/>
      <c r="W13" s="457"/>
      <c r="X13" s="25"/>
      <c r="Y13" s="76">
        <v>0.2</v>
      </c>
      <c r="Z13" s="25"/>
      <c r="AA13" s="51" t="s">
        <v>292</v>
      </c>
      <c r="AB13" s="25"/>
      <c r="AC13" s="25"/>
      <c r="AD13" s="25"/>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18</v>
      </c>
      <c r="AV13" s="55">
        <f>IFERROR($AU$11*Q83/(VLOOKUP(AQ13,$V$100:$AB$179,7,0)/100),0)</f>
        <v>225</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U14" s="457"/>
      <c r="V14" s="457"/>
      <c r="W14" s="457"/>
      <c r="X14" s="25"/>
      <c r="Y14" s="76">
        <v>0.3</v>
      </c>
      <c r="Z14" s="25"/>
      <c r="AA14" s="51" t="s">
        <v>288</v>
      </c>
      <c r="AB14" s="25"/>
      <c r="AC14" s="25"/>
      <c r="AD14" s="25"/>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U15" s="51" t="s">
        <v>495</v>
      </c>
      <c r="V15" s="51" t="str">
        <f>IF($P$8&lt;=0.07,"muito baixo","erro")</f>
        <v>muito baixo</v>
      </c>
      <c r="W15" s="457" t="s">
        <v>58</v>
      </c>
      <c r="X15" s="25"/>
      <c r="Y15" s="76">
        <v>0.4</v>
      </c>
      <c r="Z15" s="25"/>
      <c r="AA15" s="51" t="s">
        <v>289</v>
      </c>
      <c r="AB15" s="25"/>
      <c r="AC15" s="25"/>
      <c r="AD15" s="25"/>
      <c r="AF15" s="511" t="s">
        <v>244</v>
      </c>
      <c r="AG15" s="58" t="s">
        <v>25</v>
      </c>
      <c r="AH15" s="58" t="s">
        <v>240</v>
      </c>
      <c r="AI15" s="51" t="str">
        <f>IF($P$18&lt;=1.9,"baixo","erro")</f>
        <v>erro</v>
      </c>
      <c r="AJ15" s="457" t="str">
        <f>IF($AI$15="baixo","baixo",IF($AI$16="medio","medio",IF($AI$17="adequado","adequado",0)))</f>
        <v>adequado</v>
      </c>
      <c r="AK15" s="457">
        <f>IF(AJ15="Baixo",AL15,0)</f>
        <v>0</v>
      </c>
      <c r="AL15" s="457">
        <f>(AM15*1000)/$E$18</f>
        <v>3.5999999999999996</v>
      </c>
      <c r="AM15" s="456">
        <v>6</v>
      </c>
      <c r="AO15" s="47"/>
      <c r="AP15" s="47"/>
      <c r="AQ15" s="47"/>
      <c r="AR15" s="47"/>
      <c r="AS15" s="59">
        <f>AS11-(SUM(AS12:AS14))</f>
        <v>24</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U16" s="51" t="s">
        <v>496</v>
      </c>
      <c r="V16" s="51" t="str">
        <f>IF(AND($P$8&gt;=0.08,$P$8&lt;=0.15),"baixo","erro")</f>
        <v>erro</v>
      </c>
      <c r="W16" s="457"/>
      <c r="X16" s="25"/>
      <c r="Y16" s="76">
        <v>0.5</v>
      </c>
      <c r="AA16" s="51" t="s">
        <v>290</v>
      </c>
      <c r="AB16" s="25"/>
      <c r="AC16" s="25"/>
      <c r="AD16" s="25"/>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 t="s">
        <v>497</v>
      </c>
      <c r="V17" s="51" t="str">
        <f>IF(AND($P$8&gt;=0.16,$P$8&lt;=0.3),"médio","erro")</f>
        <v>erro</v>
      </c>
      <c r="W17" s="457"/>
      <c r="X17" s="94"/>
      <c r="Y17" s="76">
        <v>0.6</v>
      </c>
      <c r="AA17" s="51"/>
      <c r="AB17" s="25"/>
      <c r="AC17" s="25"/>
      <c r="AD17" s="25"/>
      <c r="AF17" s="511"/>
      <c r="AG17" s="58" t="s">
        <v>234</v>
      </c>
      <c r="AH17" s="58" t="s">
        <v>231</v>
      </c>
      <c r="AI17" s="51" t="str">
        <f>IF($P$18&gt;5,"adequado","erro")</f>
        <v>adequado</v>
      </c>
      <c r="AJ17" s="457"/>
      <c r="AK17" s="457"/>
      <c r="AL17" s="457"/>
      <c r="AM17" s="456"/>
      <c r="AO17" s="47"/>
      <c r="AP17" s="447"/>
      <c r="AQ17" s="447"/>
      <c r="AR17" s="447"/>
      <c r="AS17" s="55">
        <f>AS15</f>
        <v>24</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1666.6666666666667</v>
      </c>
      <c r="F18" s="457" t="s">
        <v>125</v>
      </c>
      <c r="G18" s="457"/>
      <c r="H18" s="457"/>
      <c r="I18" s="51">
        <f>O34</f>
        <v>1</v>
      </c>
      <c r="M18" s="364"/>
      <c r="N18" s="453"/>
      <c r="O18" s="51" t="s">
        <v>17</v>
      </c>
      <c r="P18" s="56">
        <v>43.1</v>
      </c>
      <c r="Q18" s="51" t="s">
        <v>12</v>
      </c>
      <c r="R18" s="53"/>
      <c r="U18" s="51" t="s">
        <v>498</v>
      </c>
      <c r="V18" s="51" t="str">
        <f>IF(AND($P$8&gt;=0.31,$P$8&lt;=0.5),"adequado","erro")</f>
        <v>erro</v>
      </c>
      <c r="W18" s="595" t="str">
        <f>IF(V15="muito baixo","muito baixo",IF(V16="baixo","baixo",IF(V17="médio","médio",IF(V18="adequado","adequado",IF(V19="muito alto","muito alto",0)))))</f>
        <v>muito baixo</v>
      </c>
      <c r="X18" s="94"/>
      <c r="Y18" s="76">
        <v>0.7</v>
      </c>
      <c r="AB18" s="25"/>
      <c r="AC18" s="25"/>
      <c r="AD18" s="25"/>
      <c r="AF18" s="511" t="s">
        <v>243</v>
      </c>
      <c r="AG18" s="58" t="s">
        <v>25</v>
      </c>
      <c r="AH18" s="58" t="s">
        <v>239</v>
      </c>
      <c r="AI18" s="51" t="str">
        <f>IF($P$19&lt;=1,"baixo","erro")</f>
        <v>erro</v>
      </c>
      <c r="AJ18" s="457" t="str">
        <f>IF($AI$18="baixo","baixo",IF($AI$19="medio","medio",IF($AI$20="adequado","adequado",0)))</f>
        <v>adequado</v>
      </c>
      <c r="AK18" s="457">
        <f>IF(AJ18="Baixo",AL18,0)</f>
        <v>0</v>
      </c>
      <c r="AL18" s="457">
        <f>(AM18*1000)/$E$18</f>
        <v>3.5999999999999996</v>
      </c>
      <c r="AM18" s="456">
        <v>6</v>
      </c>
      <c r="AO18" s="47"/>
      <c r="AP18" s="54">
        <v>13</v>
      </c>
      <c r="AQ18" s="447" t="str">
        <f>O90</f>
        <v>Nitrato de Amônio</v>
      </c>
      <c r="AR18" s="447"/>
      <c r="AS18" s="55">
        <f>IFERROR((VLOOKUP(AQ18,$V$100:$AB$179,3,0)*0.01)*AV18,0)</f>
        <v>24</v>
      </c>
      <c r="AT18" s="55">
        <f>IFERROR((VLOOKUP(AQ18,$V$100:$AB$179,5,0)*0.01)*AV18,0)</f>
        <v>0</v>
      </c>
      <c r="AU18" s="55">
        <f>IFERROR((VLOOKUP(AQ18,$V$100:$AB$179,7,0)*0.01)*AV18,0)</f>
        <v>0</v>
      </c>
      <c r="AV18" s="55">
        <f>IFERROR($AS$17*Q90/(VLOOKUP(AQ18,$V$100:$AB$179,3,0)/100),0)</f>
        <v>82.758620689655174</v>
      </c>
      <c r="AW18" s="47"/>
      <c r="AX18" s="47"/>
      <c r="AY18" s="47"/>
      <c r="AZ18" s="47"/>
      <c r="BA18" s="47"/>
      <c r="BB18" s="47"/>
    </row>
    <row r="19" spans="2:54" ht="20.25" customHeight="1" x14ac:dyDescent="0.25">
      <c r="M19" s="364"/>
      <c r="N19" s="453"/>
      <c r="O19" s="51" t="s">
        <v>18</v>
      </c>
      <c r="P19" s="32">
        <v>20.100000000000001</v>
      </c>
      <c r="Q19" s="51" t="s">
        <v>12</v>
      </c>
      <c r="R19" s="53"/>
      <c r="S19" s="61"/>
      <c r="U19" s="51" t="s">
        <v>499</v>
      </c>
      <c r="V19" s="51" t="str">
        <f>IF(AND($P$8&gt;0.5),"muito alto","erro")</f>
        <v>erro</v>
      </c>
      <c r="W19" s="596"/>
      <c r="X19" s="94"/>
      <c r="Y19" s="76">
        <v>0.8</v>
      </c>
      <c r="AB19" s="25"/>
      <c r="AC19" s="25"/>
      <c r="AD19" s="25"/>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56.097560975609753</v>
      </c>
      <c r="H20" s="63" t="s">
        <v>52</v>
      </c>
      <c r="I20" s="60">
        <f>P21</f>
        <v>47.5</v>
      </c>
      <c r="M20" s="364"/>
      <c r="N20" s="453"/>
      <c r="O20" s="51" t="s">
        <v>19</v>
      </c>
      <c r="P20" s="56">
        <v>27.5</v>
      </c>
      <c r="Q20" s="57" t="s">
        <v>23</v>
      </c>
      <c r="R20" s="53"/>
      <c r="U20" s="25"/>
      <c r="V20" s="25"/>
      <c r="W20" s="25"/>
      <c r="X20" s="25"/>
      <c r="Y20" s="76">
        <v>0.9</v>
      </c>
      <c r="AB20" s="25"/>
      <c r="AC20" s="25"/>
      <c r="AD20" s="25"/>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25"/>
      <c r="V21" s="25"/>
      <c r="W21" s="25"/>
      <c r="X21" s="25"/>
      <c r="Y21" s="76">
        <v>1</v>
      </c>
      <c r="AB21" s="25"/>
      <c r="AC21" s="25"/>
      <c r="AD21" s="25"/>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2</v>
      </c>
      <c r="D22" s="63" t="s">
        <v>79</v>
      </c>
      <c r="E22" s="63">
        <f>P13</f>
        <v>21</v>
      </c>
      <c r="F22" s="63" t="s">
        <v>84</v>
      </c>
      <c r="G22" s="63">
        <f>P14</f>
        <v>0.04</v>
      </c>
      <c r="H22" s="63" t="s">
        <v>86</v>
      </c>
      <c r="I22" s="63">
        <f>P19</f>
        <v>20.100000000000001</v>
      </c>
      <c r="M22" s="364"/>
      <c r="N22" s="453"/>
      <c r="O22" s="51" t="s">
        <v>20</v>
      </c>
      <c r="P22" s="56">
        <v>25</v>
      </c>
      <c r="Q22" s="57" t="s">
        <v>23</v>
      </c>
      <c r="R22" s="53"/>
      <c r="X22" s="25"/>
      <c r="Y22" s="25"/>
      <c r="Z22" s="25"/>
      <c r="AA22" s="25"/>
      <c r="AB22" s="25"/>
      <c r="AC22" s="25"/>
      <c r="AD22" s="25"/>
      <c r="AO22" s="47"/>
      <c r="AP22" s="47"/>
      <c r="AQ22" s="47"/>
      <c r="AR22" s="47"/>
      <c r="AS22" s="47"/>
      <c r="AT22" s="47"/>
      <c r="AU22" s="47"/>
      <c r="AV22" s="47"/>
      <c r="AW22" s="47"/>
      <c r="AX22" s="47"/>
      <c r="AY22" s="47"/>
      <c r="AZ22" s="47"/>
      <c r="BA22" s="47"/>
      <c r="BB22" s="47"/>
    </row>
    <row r="23" spans="2:54" ht="20.25" customHeight="1" x14ac:dyDescent="0.25">
      <c r="B23" s="64" t="s">
        <v>82</v>
      </c>
      <c r="C23" s="65">
        <f>P7</f>
        <v>1</v>
      </c>
      <c r="D23" s="63" t="s">
        <v>129</v>
      </c>
      <c r="E23" s="63">
        <f>P11</f>
        <v>2.7</v>
      </c>
      <c r="F23" s="63" t="s">
        <v>87</v>
      </c>
      <c r="G23" s="63">
        <f>P16</f>
        <v>4</v>
      </c>
      <c r="H23" s="63" t="s">
        <v>83</v>
      </c>
      <c r="I23" s="63">
        <f>P15</f>
        <v>20</v>
      </c>
      <c r="J23" s="66"/>
      <c r="M23" s="364"/>
      <c r="N23" s="453"/>
      <c r="O23" s="51" t="s">
        <v>21</v>
      </c>
      <c r="P23" s="32">
        <v>47.6</v>
      </c>
      <c r="Q23" s="51" t="s">
        <v>10</v>
      </c>
      <c r="R23" s="53"/>
      <c r="U23" s="25"/>
      <c r="V23" s="25"/>
      <c r="W23" s="25"/>
      <c r="X23" s="25"/>
      <c r="Y23" s="25"/>
      <c r="Z23" s="25"/>
      <c r="AA23" s="25"/>
      <c r="AB23" s="25"/>
      <c r="AC23" s="25"/>
      <c r="AD23" s="25"/>
      <c r="AO23" s="47"/>
      <c r="AP23" s="47"/>
      <c r="AQ23" s="47"/>
      <c r="AR23" s="47"/>
      <c r="AS23" s="47"/>
      <c r="AT23" s="47"/>
      <c r="AU23" s="47"/>
      <c r="AV23" s="47"/>
      <c r="AW23" s="47"/>
      <c r="AX23" s="47"/>
      <c r="AY23" s="47"/>
      <c r="AZ23" s="47"/>
      <c r="BA23" s="47"/>
      <c r="BB23" s="47"/>
    </row>
    <row r="24" spans="2:54" ht="20.25" customHeight="1" x14ac:dyDescent="0.25">
      <c r="B24" s="64" t="s">
        <v>80</v>
      </c>
      <c r="C24" s="65">
        <f>P8</f>
        <v>0.01</v>
      </c>
      <c r="D24" s="63" t="s">
        <v>130</v>
      </c>
      <c r="E24" s="63">
        <f>P10</f>
        <v>0.1</v>
      </c>
      <c r="F24" s="63" t="s">
        <v>89</v>
      </c>
      <c r="G24" s="63">
        <f>P17</f>
        <v>58.4</v>
      </c>
      <c r="H24" s="63" t="s">
        <v>131</v>
      </c>
      <c r="I24" s="63">
        <f>P25</f>
        <v>6.15</v>
      </c>
      <c r="J24" s="66"/>
      <c r="M24" s="364"/>
      <c r="N24" s="453"/>
      <c r="O24" s="51" t="s">
        <v>22</v>
      </c>
      <c r="P24" s="63">
        <f>100*(P6+P7+P8+P9)/P25</f>
        <v>56.097560975609753</v>
      </c>
      <c r="Q24" s="51" t="s">
        <v>23</v>
      </c>
      <c r="R24" s="53"/>
      <c r="AO24" s="47"/>
      <c r="AP24" s="47"/>
      <c r="AQ24" s="47"/>
      <c r="AR24" s="47"/>
      <c r="AS24" s="59">
        <f>AS26-(SUM(AS27:AS36))</f>
        <v>1.1999462068965516</v>
      </c>
      <c r="AT24" s="59">
        <f t="shared" ref="AT24:AV24" si="3">AT26-(SUM(AT27:AT36))</f>
        <v>-5.3793103448275856E-5</v>
      </c>
      <c r="AU24" s="59">
        <f t="shared" si="3"/>
        <v>-1.0344827586206898E-4</v>
      </c>
      <c r="AV24" s="59">
        <f t="shared" si="3"/>
        <v>-1.1586206896551726E-5</v>
      </c>
      <c r="AW24" s="47"/>
      <c r="AX24" s="47"/>
      <c r="AY24" s="47"/>
      <c r="AZ24" s="47"/>
      <c r="BA24" s="47"/>
      <c r="BB24" s="47"/>
    </row>
    <row r="25" spans="2:54" ht="20.25" customHeight="1" thickBot="1" x14ac:dyDescent="0.3">
      <c r="J25" s="66"/>
      <c r="M25" s="364"/>
      <c r="N25" s="453"/>
      <c r="O25" s="51" t="s">
        <v>24</v>
      </c>
      <c r="P25" s="67">
        <f>(P6+P7+P8+P9+P11)</f>
        <v>6.15</v>
      </c>
      <c r="Q25" s="51" t="s">
        <v>55</v>
      </c>
      <c r="R25" s="53"/>
      <c r="U25" s="458" t="s">
        <v>65</v>
      </c>
      <c r="V25" s="458"/>
      <c r="X25" s="457" t="s">
        <v>507</v>
      </c>
      <c r="Y25" s="457"/>
      <c r="AA25" s="457" t="s">
        <v>508</v>
      </c>
      <c r="AB25" s="457"/>
      <c r="AC25" s="457"/>
      <c r="AD25" s="457"/>
      <c r="AF25" s="457" t="s">
        <v>509</v>
      </c>
      <c r="AG25" s="457"/>
      <c r="AH25" s="457"/>
      <c r="AI25" s="457"/>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78" t="s">
        <v>33</v>
      </c>
      <c r="V26" s="78">
        <f>VLOOKUP($P$39,$X$27:$Y$31,2,0)/$E$18</f>
        <v>24</v>
      </c>
      <c r="W26" s="25"/>
      <c r="X26" s="51" t="s">
        <v>32</v>
      </c>
      <c r="Y26" s="51" t="s">
        <v>512</v>
      </c>
      <c r="AA26" s="51" t="s">
        <v>32</v>
      </c>
      <c r="AB26" s="51" t="s">
        <v>75</v>
      </c>
      <c r="AC26" s="51" t="s">
        <v>71</v>
      </c>
      <c r="AD26" s="51" t="s">
        <v>513</v>
      </c>
      <c r="AF26" s="51" t="s">
        <v>32</v>
      </c>
      <c r="AG26" s="51" t="s">
        <v>75</v>
      </c>
      <c r="AH26" s="51" t="s">
        <v>71</v>
      </c>
      <c r="AI26" s="51" t="s">
        <v>514</v>
      </c>
      <c r="AO26" s="47"/>
      <c r="AP26" s="461"/>
      <c r="AQ26" s="461"/>
      <c r="AR26" s="461"/>
      <c r="AS26" s="72">
        <f>AK9</f>
        <v>1.2</v>
      </c>
      <c r="AT26" s="72">
        <f>AK12</f>
        <v>0</v>
      </c>
      <c r="AU26" s="72">
        <f>AK15</f>
        <v>0</v>
      </c>
      <c r="AV26" s="72">
        <f>AK18</f>
        <v>0</v>
      </c>
      <c r="AW26" s="47"/>
      <c r="AX26" s="47"/>
      <c r="AY26" s="47"/>
      <c r="AZ26" s="47"/>
      <c r="BA26" s="47"/>
      <c r="BB26" s="47"/>
    </row>
    <row r="27" spans="2:54" ht="20.25" customHeight="1" thickBot="1" x14ac:dyDescent="0.3">
      <c r="B27" s="488" t="str">
        <f>IF($O$47&gt;0,$O$47,"-")</f>
        <v>BRICCAL Calcítico</v>
      </c>
      <c r="C27" s="488"/>
      <c r="D27" s="73">
        <f>IF(J27&gt;0,J27,"-")</f>
        <v>0.53277666999003015</v>
      </c>
      <c r="E27" s="365" t="str">
        <f>IF(J27&gt;0,"toneladas por hectare ou,","-")</f>
        <v>toneladas por hectare ou,</v>
      </c>
      <c r="F27" s="365"/>
      <c r="G27" s="365"/>
      <c r="H27" s="365"/>
      <c r="I27" s="365"/>
      <c r="J27" s="74">
        <f>V51</f>
        <v>0.53277666999003015</v>
      </c>
      <c r="U27" s="78" t="s">
        <v>66</v>
      </c>
      <c r="V27" s="78">
        <f>VLOOKUP(U32,AC27:AD41,2,0)/$E$18</f>
        <v>0</v>
      </c>
      <c r="W27" s="25"/>
      <c r="X27" s="75" t="s">
        <v>503</v>
      </c>
      <c r="Y27" s="75">
        <v>150000</v>
      </c>
      <c r="AA27" s="75" t="s">
        <v>503</v>
      </c>
      <c r="AB27" s="75" t="s">
        <v>68</v>
      </c>
      <c r="AC27" s="75" t="str">
        <f>CONCATENATE(AA27," - ",AB27)</f>
        <v>Plantio - baixo</v>
      </c>
      <c r="AD27" s="75">
        <v>120000</v>
      </c>
      <c r="AF27" s="75" t="s">
        <v>503</v>
      </c>
      <c r="AG27" s="75" t="s">
        <v>504</v>
      </c>
      <c r="AH27" s="75" t="str">
        <f>CONCATENATE(AF27," - ",AG27)</f>
        <v>Plantio - muito baixo</v>
      </c>
      <c r="AI27" s="75">
        <v>20000</v>
      </c>
      <c r="AO27" s="47"/>
      <c r="AP27" s="447" t="s">
        <v>261</v>
      </c>
      <c r="AQ27" s="447" t="str">
        <f>B29</f>
        <v>Remax Mistel (61) 99414-1975</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20.25" customHeight="1" x14ac:dyDescent="0.25">
      <c r="B28" s="488"/>
      <c r="C28" s="488"/>
      <c r="D28" s="73">
        <f>IF(J28&gt;0,J28,"-")</f>
        <v>5.3277666999003014E-2</v>
      </c>
      <c r="E28" s="365" t="str">
        <f>IF(J28&gt;0,"quilos por metro quadrado","-")</f>
        <v>quilos por metro quadrado</v>
      </c>
      <c r="F28" s="365"/>
      <c r="G28" s="365"/>
      <c r="H28" s="365"/>
      <c r="I28" s="365"/>
      <c r="J28" s="74">
        <f>J27/10</f>
        <v>5.3277666999003014E-2</v>
      </c>
      <c r="M28" s="115"/>
      <c r="N28" s="116"/>
      <c r="O28" s="116"/>
      <c r="P28" s="116"/>
      <c r="Q28" s="116"/>
      <c r="R28" s="117"/>
      <c r="U28" s="78" t="s">
        <v>67</v>
      </c>
      <c r="V28" s="78">
        <f>VLOOKUP($U$35,AH27:AI51,2,0)/$E$18</f>
        <v>36</v>
      </c>
      <c r="W28" s="25"/>
      <c r="X28" s="75">
        <v>30</v>
      </c>
      <c r="Y28" s="75">
        <v>10000</v>
      </c>
      <c r="AA28" s="75" t="s">
        <v>503</v>
      </c>
      <c r="AB28" s="75" t="s">
        <v>332</v>
      </c>
      <c r="AC28" s="75" t="str">
        <f>CONCATENATE(AA28," - ",AB28)</f>
        <v>Plantio - médio</v>
      </c>
      <c r="AD28" s="75">
        <v>80000</v>
      </c>
      <c r="AF28" s="75" t="s">
        <v>503</v>
      </c>
      <c r="AG28" s="75" t="s">
        <v>68</v>
      </c>
      <c r="AH28" s="75" t="str">
        <f>CONCATENATE(AF28," - ",AG28)</f>
        <v>Plantio - baixo</v>
      </c>
      <c r="AI28" s="75">
        <v>0</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20.25" customHeight="1" x14ac:dyDescent="0.25">
      <c r="B29" s="488" t="str">
        <f>IF($O$50&gt;0,$O$50,"-")</f>
        <v>Remax Mistel (61) 99414-1975</v>
      </c>
      <c r="C29" s="488"/>
      <c r="D29" s="73">
        <f>IF(J29&gt;0,J29,"-")</f>
        <v>1.0291509609077047</v>
      </c>
      <c r="E29" s="365" t="str">
        <f>IF(J29&gt;0,"toneladas por hectare ou,","-")</f>
        <v>toneladas por hectare ou,</v>
      </c>
      <c r="F29" s="365"/>
      <c r="G29" s="365"/>
      <c r="H29" s="365"/>
      <c r="I29" s="365"/>
      <c r="J29" s="74">
        <f>Z49</f>
        <v>1.0291509609077047</v>
      </c>
      <c r="M29" s="600" t="s">
        <v>211</v>
      </c>
      <c r="N29" s="601"/>
      <c r="O29" s="599" t="s">
        <v>197</v>
      </c>
      <c r="P29" s="599"/>
      <c r="Q29" s="599"/>
      <c r="R29" s="118"/>
      <c r="W29" s="25"/>
      <c r="X29" s="75">
        <v>60</v>
      </c>
      <c r="Y29" s="75">
        <v>20000</v>
      </c>
      <c r="AA29" s="75" t="s">
        <v>503</v>
      </c>
      <c r="AB29" s="75" t="s">
        <v>70</v>
      </c>
      <c r="AC29" s="75" t="str">
        <f>CONCATENATE(AA29," - ",AB29)</f>
        <v>Plantio - adequado</v>
      </c>
      <c r="AD29" s="75">
        <v>0</v>
      </c>
      <c r="AF29" s="75" t="s">
        <v>503</v>
      </c>
      <c r="AG29" s="75" t="s">
        <v>332</v>
      </c>
      <c r="AH29" s="75" t="str">
        <f>CONCATENATE(AF29," - ",AG29)</f>
        <v>Plantio - médio</v>
      </c>
      <c r="AI29" s="75">
        <v>0</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20.25" customHeight="1" x14ac:dyDescent="0.25">
      <c r="B30" s="488"/>
      <c r="C30" s="488"/>
      <c r="D30" s="73">
        <f>IF(J30&gt;0,J30,"-")</f>
        <v>0.10291509609077047</v>
      </c>
      <c r="E30" s="365" t="str">
        <f>IF(J30&gt;0,"quilos por metro quadrado","-")</f>
        <v>quilos por metro quadrado</v>
      </c>
      <c r="F30" s="365"/>
      <c r="G30" s="365"/>
      <c r="H30" s="365"/>
      <c r="I30" s="365"/>
      <c r="J30" s="74">
        <f>J29/10</f>
        <v>0.10291509609077047</v>
      </c>
      <c r="M30" s="600"/>
      <c r="N30" s="601"/>
      <c r="O30" s="121">
        <v>2</v>
      </c>
      <c r="P30" s="119" t="s">
        <v>200</v>
      </c>
      <c r="Q30" s="121">
        <v>3</v>
      </c>
      <c r="R30" s="118"/>
      <c r="W30" s="25"/>
      <c r="X30" s="75">
        <v>90</v>
      </c>
      <c r="Y30" s="75">
        <v>30000</v>
      </c>
      <c r="AA30" s="75">
        <v>30</v>
      </c>
      <c r="AB30" s="75" t="s">
        <v>68</v>
      </c>
      <c r="AC30" s="75" t="str">
        <f t="shared" ref="AC30:AC41" si="9">CONCATENATE(AA30," - ",AB30)</f>
        <v>30 - baixo</v>
      </c>
      <c r="AD30" s="75">
        <v>0</v>
      </c>
      <c r="AF30" s="75" t="s">
        <v>503</v>
      </c>
      <c r="AG30" s="75" t="s">
        <v>70</v>
      </c>
      <c r="AH30" s="75" t="str">
        <f>CONCATENATE(AF30," - ",AG30)</f>
        <v>Plantio - adequado</v>
      </c>
      <c r="AI30" s="75">
        <v>0</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20.25" customHeight="1" x14ac:dyDescent="0.25">
      <c r="B31" s="514" t="s">
        <v>533</v>
      </c>
      <c r="C31" s="514"/>
      <c r="D31" s="514"/>
      <c r="E31" s="514"/>
      <c r="F31" s="514"/>
      <c r="G31" s="514"/>
      <c r="H31" s="514"/>
      <c r="I31" s="514"/>
      <c r="J31" s="74"/>
      <c r="M31" s="600"/>
      <c r="N31" s="602"/>
      <c r="O31" s="87"/>
      <c r="P31" s="87"/>
      <c r="Q31" s="87"/>
      <c r="R31" s="118"/>
      <c r="U31" s="457" t="s">
        <v>72</v>
      </c>
      <c r="V31" s="457"/>
      <c r="W31" s="25"/>
      <c r="X31" s="75" t="s">
        <v>506</v>
      </c>
      <c r="Y31" s="75">
        <v>40000</v>
      </c>
      <c r="AA31" s="75">
        <v>30</v>
      </c>
      <c r="AB31" s="75" t="s">
        <v>332</v>
      </c>
      <c r="AC31" s="75" t="str">
        <f>CONCATENATE(AA31," - ",AB31)</f>
        <v>30 - médio</v>
      </c>
      <c r="AD31" s="75">
        <v>0</v>
      </c>
      <c r="AF31" s="75" t="s">
        <v>503</v>
      </c>
      <c r="AG31" s="75" t="s">
        <v>505</v>
      </c>
      <c r="AH31" s="75" t="str">
        <f>CONCATENATE(AF31," - ",AG31)</f>
        <v>Plantio - muito alto</v>
      </c>
      <c r="AI31" s="75">
        <v>0</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20.25" customHeight="1" x14ac:dyDescent="0.25">
      <c r="B32" s="514"/>
      <c r="C32" s="514"/>
      <c r="D32" s="514"/>
      <c r="E32" s="514"/>
      <c r="F32" s="514"/>
      <c r="G32" s="514"/>
      <c r="H32" s="514"/>
      <c r="I32" s="514"/>
      <c r="J32" s="74"/>
      <c r="M32" s="600"/>
      <c r="N32" s="602"/>
      <c r="O32" s="120"/>
      <c r="P32" s="120"/>
      <c r="Q32" s="120"/>
      <c r="R32" s="118"/>
      <c r="U32" s="457" t="str">
        <f>CONCATENATE($P$39," - ",$W$8)</f>
        <v>120-180 - adequado</v>
      </c>
      <c r="V32" s="457"/>
      <c r="W32" s="25"/>
      <c r="AA32" s="75">
        <v>30</v>
      </c>
      <c r="AB32" s="75" t="s">
        <v>70</v>
      </c>
      <c r="AC32" s="75" t="str">
        <f t="shared" si="9"/>
        <v>30 - adequado</v>
      </c>
      <c r="AD32" s="75">
        <v>0</v>
      </c>
      <c r="AF32" s="75">
        <v>30</v>
      </c>
      <c r="AG32" s="75" t="s">
        <v>504</v>
      </c>
      <c r="AH32" s="75" t="str">
        <f t="shared" ref="AH32:AH51" si="10">CONCATENATE(AF32," - ",AG32)</f>
        <v>30 - muito baixo</v>
      </c>
      <c r="AI32" s="75">
        <v>10000</v>
      </c>
      <c r="AO32" s="47"/>
      <c r="AP32" s="447"/>
      <c r="AQ32" s="447" t="str">
        <f t="shared" si="8"/>
        <v>EkoSil</v>
      </c>
      <c r="AR32" s="447"/>
      <c r="AS32" s="55">
        <f t="shared" si="4"/>
        <v>5.3793103448275856E-5</v>
      </c>
      <c r="AT32" s="55">
        <f t="shared" si="5"/>
        <v>5.3793103448275856E-5</v>
      </c>
      <c r="AU32" s="55">
        <f t="shared" si="6"/>
        <v>1.0344827586206898E-4</v>
      </c>
      <c r="AV32" s="55">
        <f t="shared" si="7"/>
        <v>1.1586206896551726E-5</v>
      </c>
      <c r="AW32" s="47"/>
      <c r="AX32" s="47"/>
      <c r="AY32" s="47"/>
      <c r="AZ32" s="47"/>
      <c r="BA32" s="47"/>
      <c r="BB32" s="47"/>
    </row>
    <row r="33" spans="2:57" ht="20.25" customHeight="1" thickBot="1" x14ac:dyDescent="0.3">
      <c r="B33" s="515"/>
      <c r="C33" s="515"/>
      <c r="D33" s="515"/>
      <c r="E33" s="515"/>
      <c r="F33" s="515"/>
      <c r="G33" s="515"/>
      <c r="H33" s="515"/>
      <c r="I33" s="515"/>
      <c r="J33" s="74"/>
      <c r="M33" s="600"/>
      <c r="N33" s="601"/>
      <c r="O33" s="599" t="s">
        <v>282</v>
      </c>
      <c r="P33" s="599"/>
      <c r="Q33" s="599"/>
      <c r="R33" s="118"/>
      <c r="W33" s="25"/>
      <c r="AA33" s="75">
        <v>60</v>
      </c>
      <c r="AB33" s="75" t="s">
        <v>68</v>
      </c>
      <c r="AC33" s="75" t="str">
        <f t="shared" si="9"/>
        <v>60 - baixo</v>
      </c>
      <c r="AD33" s="75">
        <v>0</v>
      </c>
      <c r="AF33" s="75">
        <v>30</v>
      </c>
      <c r="AG33" s="75" t="s">
        <v>68</v>
      </c>
      <c r="AH33" s="75" t="str">
        <f t="shared" si="10"/>
        <v>30 - baixo</v>
      </c>
      <c r="AI33" s="75">
        <v>10000</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600"/>
      <c r="N34" s="601"/>
      <c r="O34" s="598">
        <v>1</v>
      </c>
      <c r="P34" s="598"/>
      <c r="Q34" s="598"/>
      <c r="R34" s="118"/>
      <c r="U34" s="457" t="s">
        <v>73</v>
      </c>
      <c r="V34" s="457"/>
      <c r="W34" s="25"/>
      <c r="AA34" s="75">
        <v>60</v>
      </c>
      <c r="AB34" s="75" t="s">
        <v>332</v>
      </c>
      <c r="AC34" s="75" t="str">
        <f t="shared" si="9"/>
        <v>60 - médio</v>
      </c>
      <c r="AD34" s="75">
        <v>0</v>
      </c>
      <c r="AF34" s="75">
        <v>30</v>
      </c>
      <c r="AG34" s="75" t="s">
        <v>332</v>
      </c>
      <c r="AH34" s="75" t="str">
        <f t="shared" si="10"/>
        <v>30 - médio</v>
      </c>
      <c r="AI34" s="75">
        <v>0</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20.25" customHeight="1" thickBot="1" x14ac:dyDescent="0.3">
      <c r="B35" s="488" t="str">
        <f>IF($O$55&gt;0,$O$55,"-")</f>
        <v>Gesso Agronelli</v>
      </c>
      <c r="C35" s="488"/>
      <c r="D35" s="73">
        <f>IF(J34&gt;0,J34,"-")</f>
        <v>356.25</v>
      </c>
      <c r="E35" s="365" t="str">
        <f>IF(J34&gt;0,"quilos por hectare ou,","-")</f>
        <v>quilos por hectare ou,</v>
      </c>
      <c r="F35" s="365"/>
      <c r="G35" s="365"/>
      <c r="H35" s="365"/>
      <c r="I35" s="365"/>
      <c r="J35" s="81">
        <f>J34/10</f>
        <v>35.625</v>
      </c>
      <c r="M35" s="122"/>
      <c r="N35" s="123"/>
      <c r="O35" s="123"/>
      <c r="P35" s="83">
        <f>10000/($O$30*$Q$30)</f>
        <v>1666.6666666666667</v>
      </c>
      <c r="Q35" s="83" t="e">
        <f>10000/((($O$32/2)+($P$32/2))*$Q$32)</f>
        <v>#DIV/0!</v>
      </c>
      <c r="R35" s="124"/>
      <c r="U35" s="457" t="str">
        <f>CONCATENATE($P$39," - ",$W$18)</f>
        <v>120-180 - muito baixo</v>
      </c>
      <c r="V35" s="457"/>
      <c r="W35" s="25"/>
      <c r="AA35" s="75">
        <v>60</v>
      </c>
      <c r="AB35" s="75" t="s">
        <v>70</v>
      </c>
      <c r="AC35" s="75" t="str">
        <f t="shared" si="9"/>
        <v>60 - adequado</v>
      </c>
      <c r="AD35" s="75">
        <v>0</v>
      </c>
      <c r="AF35" s="75">
        <v>30</v>
      </c>
      <c r="AG35" s="75" t="s">
        <v>70</v>
      </c>
      <c r="AH35" s="75" t="str">
        <f t="shared" si="10"/>
        <v>30 - adequado</v>
      </c>
      <c r="AI35" s="75">
        <v>0</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25"/>
      <c r="V36" s="25"/>
      <c r="W36" s="25"/>
      <c r="AA36" s="75">
        <v>90</v>
      </c>
      <c r="AB36" s="75" t="s">
        <v>68</v>
      </c>
      <c r="AC36" s="75" t="str">
        <f t="shared" si="9"/>
        <v>90 - baixo</v>
      </c>
      <c r="AD36" s="75">
        <v>0</v>
      </c>
      <c r="AF36" s="75">
        <v>30</v>
      </c>
      <c r="AG36" s="75" t="s">
        <v>505</v>
      </c>
      <c r="AH36" s="75" t="str">
        <f t="shared" si="10"/>
        <v>30 - muito alto</v>
      </c>
      <c r="AI36" s="75">
        <v>0</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AA37" s="75">
        <v>90</v>
      </c>
      <c r="AB37" s="75" t="s">
        <v>332</v>
      </c>
      <c r="AC37" s="75" t="str">
        <f t="shared" si="9"/>
        <v>90 - médio</v>
      </c>
      <c r="AD37" s="75">
        <v>0</v>
      </c>
      <c r="AF37" s="75">
        <v>60</v>
      </c>
      <c r="AG37" s="75" t="s">
        <v>504</v>
      </c>
      <c r="AH37" s="75" t="str">
        <f t="shared" si="10"/>
        <v>60 - muito baixo</v>
      </c>
      <c r="AI37" s="75">
        <v>20000</v>
      </c>
      <c r="AO37" s="85"/>
      <c r="AP37" s="85"/>
      <c r="AQ37" s="85"/>
      <c r="AR37" s="85"/>
      <c r="AS37" s="59">
        <f>IF(AS24&gt;0,AS24,0)</f>
        <v>1.1999462068965516</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198</v>
      </c>
      <c r="P38" s="489"/>
      <c r="Q38" s="489"/>
      <c r="R38" s="53"/>
      <c r="U38" s="51" t="s">
        <v>63</v>
      </c>
      <c r="AA38" s="75">
        <v>90</v>
      </c>
      <c r="AB38" s="75" t="s">
        <v>70</v>
      </c>
      <c r="AC38" s="75" t="str">
        <f t="shared" si="9"/>
        <v>90 - adequado</v>
      </c>
      <c r="AD38" s="75">
        <v>0</v>
      </c>
      <c r="AF38" s="75">
        <v>60</v>
      </c>
      <c r="AG38" s="75" t="s">
        <v>68</v>
      </c>
      <c r="AH38" s="75" t="str">
        <f t="shared" si="10"/>
        <v>60 - baixo</v>
      </c>
      <c r="AI38" s="75">
        <v>20000</v>
      </c>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0</v>
      </c>
      <c r="M39" s="364"/>
      <c r="N39" s="365"/>
      <c r="O39" s="110" t="s">
        <v>330</v>
      </c>
      <c r="P39" s="448" t="s">
        <v>506</v>
      </c>
      <c r="Q39" s="448"/>
      <c r="R39" s="53"/>
      <c r="U39" s="51" t="s">
        <v>32</v>
      </c>
      <c r="AA39" s="75" t="s">
        <v>506</v>
      </c>
      <c r="AB39" s="75" t="s">
        <v>68</v>
      </c>
      <c r="AC39" s="75" t="str">
        <f t="shared" si="9"/>
        <v>120-180 - baixo</v>
      </c>
      <c r="AD39" s="75">
        <v>0</v>
      </c>
      <c r="AF39" s="75">
        <v>60</v>
      </c>
      <c r="AG39" s="75" t="s">
        <v>332</v>
      </c>
      <c r="AH39" s="75" t="str">
        <f t="shared" si="10"/>
        <v>60 - médio</v>
      </c>
      <c r="AI39" s="75">
        <v>10000</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t="str">
        <f>IF(AQ59&gt;0,AQ59,"-")</f>
        <v>-</v>
      </c>
      <c r="E40" s="362" t="str">
        <f>IF(AQ59&gt;0,"quilos por cova ou planta","-")</f>
        <v>-</v>
      </c>
      <c r="F40" s="362"/>
      <c r="G40" s="362"/>
      <c r="H40" s="362"/>
      <c r="I40" s="362"/>
      <c r="J40" s="81">
        <f>AV7</f>
        <v>0</v>
      </c>
      <c r="M40" s="364"/>
      <c r="N40" s="365"/>
      <c r="O40" s="25"/>
      <c r="P40" s="25"/>
      <c r="Q40" s="25"/>
      <c r="R40" s="53"/>
      <c r="U40" s="51" t="s">
        <v>34</v>
      </c>
      <c r="AA40" s="75" t="s">
        <v>506</v>
      </c>
      <c r="AB40" s="75" t="s">
        <v>332</v>
      </c>
      <c r="AC40" s="75" t="str">
        <f t="shared" si="9"/>
        <v>120-180 - médio</v>
      </c>
      <c r="AD40" s="75">
        <v>0</v>
      </c>
      <c r="AF40" s="75">
        <v>60</v>
      </c>
      <c r="AG40" s="75" t="s">
        <v>70</v>
      </c>
      <c r="AH40" s="75" t="str">
        <f t="shared" si="10"/>
        <v>60 - adequado</v>
      </c>
      <c r="AI40" s="75">
        <v>0</v>
      </c>
      <c r="AO40" s="47"/>
      <c r="AP40" s="447" t="str">
        <f>O105</f>
        <v>Ácido Bórico</v>
      </c>
      <c r="AQ40" s="447"/>
      <c r="AR40" s="55">
        <f>IFERROR($AS$37/((VLOOKUP(AP40,$V$100:$AO$179,11,0)*0.01)),0)</f>
        <v>6.8568354679802948</v>
      </c>
      <c r="AS40" s="55">
        <f>IFERROR($AT$37/((VLOOKUP(AP40,$V$100:$AO$179,14,0)*0.01)),0)</f>
        <v>0</v>
      </c>
      <c r="AT40" s="55">
        <f>IFERROR($AU$37/((VLOOKUP(AP40,$V$100:$AO$179,12,0)*0.01)),0)</f>
        <v>0</v>
      </c>
      <c r="AU40" s="55">
        <f>IFERROR($AV$37/((VLOOKUP(AP40,$V$100:$AO$179,13,0)*0.01)),0)</f>
        <v>0</v>
      </c>
      <c r="AV40" s="55">
        <f>MAX(AR40:AU40)</f>
        <v>6.8568354679802948</v>
      </c>
      <c r="AW40" s="55">
        <f>IFERROR(AV40*(VLOOKUP(AP40,$V$100:$AO$179,11,0)*0.01),0)</f>
        <v>1.1999462068965516</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t="str">
        <f t="shared" ref="D41:D49" si="11">IF(J39&gt;0,J39,"-")</f>
        <v>-</v>
      </c>
      <c r="E41" s="365" t="str">
        <f t="shared" ref="E41:E49" si="12">IF(J39&gt;0,"gramas por planta","-")</f>
        <v>-</v>
      </c>
      <c r="F41" s="365"/>
      <c r="G41" s="365"/>
      <c r="H41" s="365"/>
      <c r="I41" s="365"/>
      <c r="J41" s="81">
        <f>AV8</f>
        <v>0</v>
      </c>
      <c r="M41" s="364"/>
      <c r="N41" s="365"/>
      <c r="O41" s="489" t="s">
        <v>308</v>
      </c>
      <c r="P41" s="489"/>
      <c r="Q41" s="489"/>
      <c r="R41" s="53"/>
      <c r="U41" s="51">
        <v>30</v>
      </c>
      <c r="AA41" s="75" t="s">
        <v>506</v>
      </c>
      <c r="AB41" s="75" t="s">
        <v>70</v>
      </c>
      <c r="AC41" s="75" t="str">
        <f t="shared" si="9"/>
        <v>120-180 - adequado</v>
      </c>
      <c r="AD41" s="75">
        <v>0</v>
      </c>
      <c r="AF41" s="75">
        <v>60</v>
      </c>
      <c r="AG41" s="75" t="s">
        <v>505</v>
      </c>
      <c r="AH41" s="75" t="str">
        <f t="shared" si="10"/>
        <v>60 - muito alto</v>
      </c>
      <c r="AI41" s="75">
        <v>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3">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t="str">
        <f t="shared" si="11"/>
        <v>-</v>
      </c>
      <c r="E42" s="365" t="str">
        <f t="shared" si="12"/>
        <v>-</v>
      </c>
      <c r="F42" s="365"/>
      <c r="G42" s="365"/>
      <c r="H42" s="365"/>
      <c r="I42" s="365"/>
      <c r="J42" s="81">
        <f>AV12</f>
        <v>30</v>
      </c>
      <c r="M42" s="364"/>
      <c r="N42" s="365"/>
      <c r="O42" s="483" t="s">
        <v>292</v>
      </c>
      <c r="P42" s="513"/>
      <c r="Q42" s="484"/>
      <c r="R42" s="53"/>
      <c r="U42" s="51">
        <v>60</v>
      </c>
      <c r="AF42" s="75">
        <v>90</v>
      </c>
      <c r="AG42" s="75" t="s">
        <v>504</v>
      </c>
      <c r="AH42" s="75" t="str">
        <f t="shared" si="10"/>
        <v>90 - muito baixo</v>
      </c>
      <c r="AI42" s="75">
        <v>40000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3"/>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1"/>
        <v>-</v>
      </c>
      <c r="E43" s="365" t="str">
        <f t="shared" si="12"/>
        <v>-</v>
      </c>
      <c r="F43" s="365"/>
      <c r="G43" s="365"/>
      <c r="H43" s="365"/>
      <c r="I43" s="365"/>
      <c r="J43" s="81">
        <f>AV13</f>
        <v>225</v>
      </c>
      <c r="M43" s="69"/>
      <c r="N43" s="70"/>
      <c r="O43" s="70"/>
      <c r="P43" s="70"/>
      <c r="Q43" s="70"/>
      <c r="R43" s="71"/>
      <c r="U43" s="51">
        <v>120</v>
      </c>
      <c r="AF43" s="75">
        <v>90</v>
      </c>
      <c r="AG43" s="75" t="s">
        <v>68</v>
      </c>
      <c r="AH43" s="75" t="str">
        <f t="shared" si="10"/>
        <v>90 - baixo</v>
      </c>
      <c r="AI43" s="75">
        <v>30000</v>
      </c>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3"/>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1"/>
        <v>30</v>
      </c>
      <c r="E44" s="365" t="str">
        <f t="shared" si="12"/>
        <v>gramas por planta</v>
      </c>
      <c r="F44" s="365"/>
      <c r="G44" s="365"/>
      <c r="H44" s="365"/>
      <c r="I44" s="365"/>
      <c r="J44" s="81">
        <f>AV14</f>
        <v>0</v>
      </c>
      <c r="M44" s="362"/>
      <c r="N44" s="362"/>
      <c r="O44" s="362"/>
      <c r="P44" s="362"/>
      <c r="Q44" s="362"/>
      <c r="R44" s="362"/>
      <c r="AF44" s="75">
        <v>90</v>
      </c>
      <c r="AG44" s="75" t="s">
        <v>332</v>
      </c>
      <c r="AH44" s="75" t="str">
        <f t="shared" si="10"/>
        <v>90 - médio</v>
      </c>
      <c r="AI44" s="75">
        <v>20000</v>
      </c>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1"/>
        <v>225</v>
      </c>
      <c r="E45" s="365" t="str">
        <f t="shared" si="12"/>
        <v>gramas por planta</v>
      </c>
      <c r="F45" s="365"/>
      <c r="G45" s="365"/>
      <c r="H45" s="365"/>
      <c r="I45" s="365"/>
      <c r="J45" s="81">
        <f>AV18</f>
        <v>82.758620689655174</v>
      </c>
      <c r="M45" s="48"/>
      <c r="N45" s="49"/>
      <c r="O45" s="499" t="s">
        <v>305</v>
      </c>
      <c r="P45" s="500"/>
      <c r="Q45" s="501"/>
      <c r="R45" s="50"/>
      <c r="U45" s="459" t="s">
        <v>108</v>
      </c>
      <c r="V45" s="460"/>
      <c r="X45" s="457" t="s">
        <v>202</v>
      </c>
      <c r="Y45" s="457"/>
      <c r="Z45" s="457"/>
      <c r="AF45" s="75">
        <v>90</v>
      </c>
      <c r="AG45" s="75" t="s">
        <v>70</v>
      </c>
      <c r="AH45" s="75" t="str">
        <f t="shared" si="10"/>
        <v>90 - adequado</v>
      </c>
      <c r="AI45" s="75">
        <v>10000</v>
      </c>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1"/>
        <v>-</v>
      </c>
      <c r="E46" s="365" t="str">
        <f t="shared" si="12"/>
        <v>-</v>
      </c>
      <c r="F46" s="365"/>
      <c r="G46" s="365"/>
      <c r="H46" s="365"/>
      <c r="I46" s="365"/>
      <c r="J46" s="81">
        <f>AV19</f>
        <v>0</v>
      </c>
      <c r="M46" s="364" t="s">
        <v>213</v>
      </c>
      <c r="N46" s="365"/>
      <c r="O46" s="502"/>
      <c r="P46" s="503"/>
      <c r="Q46" s="504"/>
      <c r="R46" s="53"/>
      <c r="U46" s="75" t="s">
        <v>109</v>
      </c>
      <c r="V46" s="89">
        <v>70</v>
      </c>
      <c r="X46" s="455" t="s">
        <v>268</v>
      </c>
      <c r="Y46" s="455"/>
      <c r="Z46" s="63">
        <f>IFERROR(VLOOKUP(O50,$V$87:$AE$95,10,0),0)</f>
        <v>22.778167994795901</v>
      </c>
      <c r="AF46" s="75">
        <v>90</v>
      </c>
      <c r="AG46" s="75" t="s">
        <v>505</v>
      </c>
      <c r="AH46" s="75" t="str">
        <f t="shared" si="10"/>
        <v>90 - muito alto</v>
      </c>
      <c r="AI46" s="75">
        <v>0</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1"/>
        <v>82.758620689655174</v>
      </c>
      <c r="E47" s="365" t="str">
        <f t="shared" si="12"/>
        <v>gramas por planta</v>
      </c>
      <c r="F47" s="365"/>
      <c r="G47" s="365"/>
      <c r="H47" s="365"/>
      <c r="I47" s="365"/>
      <c r="J47" s="81">
        <f>AV20</f>
        <v>0</v>
      </c>
      <c r="M47" s="364"/>
      <c r="N47" s="365"/>
      <c r="O47" s="481" t="s">
        <v>139</v>
      </c>
      <c r="P47" s="482"/>
      <c r="Q47" s="90">
        <v>0.5</v>
      </c>
      <c r="R47" s="53"/>
      <c r="U47" s="51" t="s">
        <v>111</v>
      </c>
      <c r="V47" s="63">
        <f>IFERROR((((V46-P24)*P25)/V49),0)</f>
        <v>1.0655533399800603</v>
      </c>
      <c r="X47" s="455" t="s">
        <v>203</v>
      </c>
      <c r="Y47" s="455"/>
      <c r="Z47" s="63">
        <f>IFERROR((($V$50/$Z$46)*$V$47),0)</f>
        <v>2.0583019218154095</v>
      </c>
      <c r="AF47" s="75" t="s">
        <v>506</v>
      </c>
      <c r="AG47" s="75" t="s">
        <v>504</v>
      </c>
      <c r="AH47" s="75" t="str">
        <f t="shared" si="10"/>
        <v>120-180 - muito baixo</v>
      </c>
      <c r="AI47" s="75">
        <v>60000</v>
      </c>
      <c r="AO47" s="47"/>
      <c r="BA47" s="47"/>
      <c r="BB47" s="47"/>
    </row>
    <row r="48" spans="2:57" ht="20.25" customHeight="1" x14ac:dyDescent="0.25">
      <c r="B48" s="449" t="str">
        <f>IF(AQ19&gt;0,AQ19,"-")</f>
        <v>-</v>
      </c>
      <c r="C48" s="449"/>
      <c r="D48" s="87" t="str">
        <f t="shared" si="11"/>
        <v>-</v>
      </c>
      <c r="E48" s="365" t="str">
        <f t="shared" si="12"/>
        <v>-</v>
      </c>
      <c r="F48" s="365"/>
      <c r="G48" s="365"/>
      <c r="H48" s="365"/>
      <c r="I48" s="365"/>
      <c r="J48" s="91"/>
      <c r="M48" s="364"/>
      <c r="N48" s="365"/>
      <c r="O48" s="505" t="s">
        <v>306</v>
      </c>
      <c r="P48" s="506"/>
      <c r="Q48" s="507"/>
      <c r="R48" s="53"/>
      <c r="U48" s="51" t="s">
        <v>201</v>
      </c>
      <c r="V48" s="63">
        <f>IF(V47&lt;0,(0),IF(V47&gt;=0,(V47)))</f>
        <v>1.0655533399800603</v>
      </c>
      <c r="X48" s="455" t="s">
        <v>201</v>
      </c>
      <c r="Y48" s="455"/>
      <c r="Z48" s="63">
        <f>IFERROR(IF(Z47&lt;0,(0),IF(Z47&gt;=0,(Z47))),0)</f>
        <v>2.0583019218154095</v>
      </c>
      <c r="AF48" s="75" t="s">
        <v>506</v>
      </c>
      <c r="AG48" s="75" t="s">
        <v>68</v>
      </c>
      <c r="AH48" s="75" t="str">
        <f t="shared" si="10"/>
        <v>120-180 - baixo</v>
      </c>
      <c r="AI48" s="75">
        <v>40000</v>
      </c>
    </row>
    <row r="49" spans="2:50" ht="20.25" customHeight="1" x14ac:dyDescent="0.25">
      <c r="B49" s="449" t="str">
        <f>IF(AQ20&gt;0,AQ20,"-")</f>
        <v>-</v>
      </c>
      <c r="C49" s="449"/>
      <c r="D49" s="87" t="str">
        <f t="shared" si="11"/>
        <v>-</v>
      </c>
      <c r="E49" s="365" t="str">
        <f t="shared" si="12"/>
        <v>-</v>
      </c>
      <c r="F49" s="365"/>
      <c r="G49" s="365"/>
      <c r="H49" s="365"/>
      <c r="I49" s="365"/>
      <c r="M49" s="364"/>
      <c r="N49" s="365"/>
      <c r="O49" s="502"/>
      <c r="P49" s="503"/>
      <c r="Q49" s="504"/>
      <c r="R49" s="53"/>
      <c r="U49" s="51" t="s">
        <v>110</v>
      </c>
      <c r="V49" s="63">
        <f>IFERROR(VLOOKUP($O$47,$V$56:$AA$68,5,0),0)</f>
        <v>80.239999999999995</v>
      </c>
      <c r="X49" s="455" t="s">
        <v>273</v>
      </c>
      <c r="Y49" s="455"/>
      <c r="Z49" s="63">
        <f>Z48*$Q$50</f>
        <v>1.0291509609077047</v>
      </c>
      <c r="AF49" s="75" t="s">
        <v>506</v>
      </c>
      <c r="AG49" s="75" t="s">
        <v>332</v>
      </c>
      <c r="AH49" s="75" t="str">
        <f t="shared" si="10"/>
        <v>120-180 - médio</v>
      </c>
      <c r="AI49" s="75">
        <v>30000</v>
      </c>
    </row>
    <row r="50" spans="2:50" ht="20.25" customHeight="1" x14ac:dyDescent="0.25">
      <c r="B50" s="476" t="s">
        <v>535</v>
      </c>
      <c r="C50" s="476"/>
      <c r="D50" s="476"/>
      <c r="E50" s="476"/>
      <c r="F50" s="476"/>
      <c r="G50" s="476"/>
      <c r="H50" s="476"/>
      <c r="I50" s="476"/>
      <c r="M50" s="364"/>
      <c r="N50" s="365"/>
      <c r="O50" s="483" t="s">
        <v>493</v>
      </c>
      <c r="P50" s="484"/>
      <c r="Q50" s="92">
        <v>0.5</v>
      </c>
      <c r="R50" s="53"/>
      <c r="U50" s="51" t="s">
        <v>193</v>
      </c>
      <c r="V50" s="63">
        <f>IFERROR(VLOOKUP($O$47,$V$56:$AA$68,6,0),0)</f>
        <v>44</v>
      </c>
      <c r="AF50" s="75" t="s">
        <v>506</v>
      </c>
      <c r="AG50" s="75" t="s">
        <v>70</v>
      </c>
      <c r="AH50" s="75" t="str">
        <f t="shared" si="10"/>
        <v>120-180 - adequado</v>
      </c>
      <c r="AI50" s="75">
        <v>20000</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0.53277666999003015</v>
      </c>
      <c r="AF51" s="75" t="s">
        <v>506</v>
      </c>
      <c r="AG51" s="75" t="s">
        <v>505</v>
      </c>
      <c r="AH51" s="75" t="str">
        <f t="shared" si="10"/>
        <v>120-180 - muito alto</v>
      </c>
      <c r="AI51" s="75">
        <v>0</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4">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4"/>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4"/>
        <v>3 - Composto de lixo (COL)</v>
      </c>
      <c r="AW54" s="51">
        <v>15</v>
      </c>
    </row>
    <row r="55" spans="2:50" ht="20.25" customHeight="1" x14ac:dyDescent="0.25">
      <c r="B55" s="449" t="str">
        <f>IF(AP40&gt;0,AP40,"-")</f>
        <v>Ácido Bórico</v>
      </c>
      <c r="C55" s="449"/>
      <c r="D55" s="87">
        <f>IF(AV40&gt;0,AV40,"-")</f>
        <v>6.8568354679802948</v>
      </c>
      <c r="E55" s="365" t="str">
        <f>IF(AV40&gt;0,"gramas por planta","-")</f>
        <v>gramas por planta</v>
      </c>
      <c r="F55" s="365"/>
      <c r="G55" s="365"/>
      <c r="H55" s="365"/>
      <c r="I55" s="365"/>
      <c r="M55" s="364"/>
      <c r="N55" s="365"/>
      <c r="O55" s="448" t="s">
        <v>188</v>
      </c>
      <c r="P55" s="448"/>
      <c r="Q55" s="448"/>
      <c r="R55" s="53"/>
      <c r="U55" s="344"/>
      <c r="V55" s="344"/>
      <c r="W55" s="344"/>
      <c r="X55" s="95" t="s">
        <v>105</v>
      </c>
      <c r="Y55" s="95" t="s">
        <v>106</v>
      </c>
      <c r="Z55" s="95" t="s">
        <v>107</v>
      </c>
      <c r="AA55" s="95" t="s">
        <v>195</v>
      </c>
      <c r="AP55" s="465"/>
      <c r="AQ55" s="465"/>
      <c r="AS55" s="465"/>
      <c r="AT55" s="51">
        <v>4</v>
      </c>
      <c r="AU55" s="93" t="s">
        <v>286</v>
      </c>
      <c r="AV55" s="93" t="str">
        <f t="shared" si="14"/>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4"/>
        <v>0 - Cama de frango corte</v>
      </c>
      <c r="AW56" s="75">
        <v>4</v>
      </c>
      <c r="AX56" s="25"/>
    </row>
    <row r="57" spans="2:50" ht="20.25" customHeight="1" x14ac:dyDescent="0.25">
      <c r="B57" s="449" t="str">
        <f>IF(AP42&gt;0,AP42,"-")</f>
        <v>Sulfato de zinco</v>
      </c>
      <c r="C57" s="449"/>
      <c r="D57" s="87" t="str">
        <f>IF(AV42&gt;0,AV42,"-")</f>
        <v>-</v>
      </c>
      <c r="E57" s="365" t="str">
        <f t="shared" ref="E57:E59" si="15">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4"/>
        <v>1 - Cama de frango corte</v>
      </c>
      <c r="AW57" s="75">
        <v>1</v>
      </c>
    </row>
    <row r="58" spans="2:50" ht="20.25" customHeight="1" x14ac:dyDescent="0.25">
      <c r="B58" s="449" t="str">
        <f>IF(AP43&gt;0,AP43,"-")</f>
        <v>Sulfato de manganês</v>
      </c>
      <c r="C58" s="449"/>
      <c r="D58" s="87" t="str">
        <f>IF(AV43&gt;0,AV43,"-")</f>
        <v>-</v>
      </c>
      <c r="E58" s="365" t="str">
        <f t="shared" si="15"/>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120-180 - Esterco Bovino curtido</v>
      </c>
      <c r="AR58" s="463"/>
      <c r="AS58" s="25"/>
      <c r="AT58" s="75">
        <v>2</v>
      </c>
      <c r="AU58" s="97" t="s">
        <v>293</v>
      </c>
      <c r="AV58" s="97" t="str">
        <f t="shared" si="14"/>
        <v>2 - Cama de frango corte</v>
      </c>
      <c r="AW58" s="75">
        <v>3</v>
      </c>
    </row>
    <row r="59" spans="2:50" ht="20.25" customHeight="1" x14ac:dyDescent="0.25">
      <c r="B59" s="449" t="str">
        <f>IF(AP44&gt;0,AP44,"-")</f>
        <v>-</v>
      </c>
      <c r="C59" s="449"/>
      <c r="D59" s="87" t="str">
        <f>IF(AV44&gt;0,AV44,"-")</f>
        <v>-</v>
      </c>
      <c r="E59" s="365" t="str">
        <f t="shared" si="15"/>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0</v>
      </c>
      <c r="AR59" s="456"/>
      <c r="AS59" s="25"/>
      <c r="AT59" s="75">
        <v>3</v>
      </c>
      <c r="AU59" s="97" t="s">
        <v>293</v>
      </c>
      <c r="AV59" s="97" t="str">
        <f t="shared" si="14"/>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4"/>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4"/>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4"/>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4"/>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4"/>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4"/>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4"/>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4"/>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4"/>
        <v>2 - Esterco Bovino curtido</v>
      </c>
      <c r="AW68" s="75">
        <v>7</v>
      </c>
    </row>
    <row r="69" spans="2:49" ht="20.25" customHeight="1" thickBot="1" x14ac:dyDescent="0.3">
      <c r="M69" s="69"/>
      <c r="N69" s="70"/>
      <c r="O69" s="70"/>
      <c r="P69" s="70"/>
      <c r="Q69" s="70"/>
      <c r="R69" s="71"/>
      <c r="AT69" s="75">
        <v>3</v>
      </c>
      <c r="AU69" s="97" t="s">
        <v>292</v>
      </c>
      <c r="AV69" s="97" t="str">
        <f t="shared" si="14"/>
        <v>3 - Esterco Bovino curtido</v>
      </c>
      <c r="AW69" s="75">
        <v>12</v>
      </c>
    </row>
    <row r="70" spans="2:49" ht="20.25" customHeight="1" thickBot="1" x14ac:dyDescent="0.3">
      <c r="AT70" s="75">
        <v>4</v>
      </c>
      <c r="AU70" s="97" t="s">
        <v>292</v>
      </c>
      <c r="AV70" s="97" t="str">
        <f t="shared" si="14"/>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4"/>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4"/>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4"/>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4"/>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4"/>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4"/>
        <v>0 - Esterco de suínos</v>
      </c>
      <c r="AW76" s="75">
        <v>10</v>
      </c>
    </row>
    <row r="77" spans="2:49" ht="20.2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4"/>
        <v>1 - Esterco de suínos</v>
      </c>
      <c r="AW77" s="75">
        <v>4</v>
      </c>
    </row>
    <row r="78" spans="2:49" ht="20.2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4"/>
        <v>2 - Esterco de suínos</v>
      </c>
      <c r="AW78" s="75">
        <v>6</v>
      </c>
    </row>
    <row r="79" spans="2:49" ht="20.2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4"/>
        <v>3 - Esterco de suínos</v>
      </c>
      <c r="AW79" s="75">
        <v>10</v>
      </c>
    </row>
    <row r="80" spans="2:49" ht="20.2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4"/>
        <v>4 - Esterco de suínos</v>
      </c>
      <c r="AW80" s="75">
        <v>4</v>
      </c>
    </row>
    <row r="81" spans="13:49" ht="20.2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4"/>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4"/>
        <v>1 - Esterco de ovinos</v>
      </c>
      <c r="AW82" s="51">
        <v>4</v>
      </c>
    </row>
    <row r="83" spans="13:49" ht="20.25" customHeight="1" x14ac:dyDescent="0.25">
      <c r="M83" s="364"/>
      <c r="N83" s="365"/>
      <c r="O83" s="448" t="s">
        <v>116</v>
      </c>
      <c r="P83" s="448"/>
      <c r="Q83" s="92">
        <v>0.5</v>
      </c>
      <c r="R83" s="53"/>
      <c r="AT83" s="51">
        <v>2</v>
      </c>
      <c r="AU83" s="93" t="s">
        <v>288</v>
      </c>
      <c r="AV83" s="93" t="str">
        <f t="shared" si="14"/>
        <v>2 - Esterco de ovinos</v>
      </c>
      <c r="AW83" s="51">
        <v>6</v>
      </c>
    </row>
    <row r="84" spans="13:49" ht="20.25" customHeight="1" x14ac:dyDescent="0.25">
      <c r="M84" s="364"/>
      <c r="N84" s="365"/>
      <c r="O84" s="448"/>
      <c r="P84" s="448"/>
      <c r="Q84" s="92"/>
      <c r="R84" s="53"/>
      <c r="AT84" s="51">
        <v>3</v>
      </c>
      <c r="AU84" s="93" t="s">
        <v>288</v>
      </c>
      <c r="AV84" s="93" t="str">
        <f t="shared" si="14"/>
        <v>3 - Esterco de ovinos</v>
      </c>
      <c r="AW84" s="51">
        <v>10</v>
      </c>
    </row>
    <row r="85" spans="13:49" ht="20.2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T85" s="51">
        <v>4</v>
      </c>
      <c r="AU85" s="93" t="s">
        <v>288</v>
      </c>
      <c r="AV85" s="93" t="str">
        <f t="shared" si="14"/>
        <v>4 - Esterco de ovinos</v>
      </c>
      <c r="AW85" s="51">
        <v>4</v>
      </c>
    </row>
    <row r="86" spans="13:49" ht="20.2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4"/>
        <v>0 - Lodo de esgosto</v>
      </c>
      <c r="AW86" s="75">
        <v>15</v>
      </c>
    </row>
    <row r="87" spans="13:49" ht="20.2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6">Y160</f>
        <v>8.7999999999999995E-2</v>
      </c>
      <c r="Z87" s="99">
        <f t="shared" si="16"/>
        <v>0.2</v>
      </c>
      <c r="AA87" s="99">
        <f t="shared" si="16"/>
        <v>2.83</v>
      </c>
      <c r="AB87" s="99">
        <f t="shared" si="16"/>
        <v>3.4</v>
      </c>
      <c r="AC87" s="100">
        <f>AC160*0.602</f>
        <v>1.5155244755244754</v>
      </c>
      <c r="AD87" s="100">
        <f>AD160*0.715</f>
        <v>5.4634551495016606</v>
      </c>
      <c r="AE87" s="100">
        <f t="shared" ref="AE87:AE95" si="17">AB87+AC87+AD87</f>
        <v>10.378979625026137</v>
      </c>
      <c r="AT87" s="75">
        <v>1</v>
      </c>
      <c r="AU87" s="97" t="s">
        <v>289</v>
      </c>
      <c r="AV87" s="97" t="str">
        <f t="shared" si="14"/>
        <v>1 - Lodo de esgosto</v>
      </c>
      <c r="AW87" s="75">
        <v>10</v>
      </c>
    </row>
    <row r="88" spans="13:49" ht="20.25" customHeight="1" x14ac:dyDescent="0.25">
      <c r="M88" s="364"/>
      <c r="N88" s="365"/>
      <c r="O88" s="450" t="s">
        <v>254</v>
      </c>
      <c r="P88" s="451"/>
      <c r="Q88" s="452"/>
      <c r="R88" s="53"/>
      <c r="U88" s="466"/>
      <c r="V88" s="99" t="str">
        <f t="shared" ref="V88:W95" si="18">V161</f>
        <v>Kamafugito</v>
      </c>
      <c r="W88" s="99">
        <f t="shared" si="18"/>
        <v>0</v>
      </c>
      <c r="X88" s="99">
        <f t="shared" ref="X88:X95" si="19">AL161</f>
        <v>0</v>
      </c>
      <c r="Y88" s="99">
        <f t="shared" si="16"/>
        <v>1.5069999999999999</v>
      </c>
      <c r="Z88" s="99">
        <f t="shared" si="16"/>
        <v>3.5</v>
      </c>
      <c r="AA88" s="99">
        <f t="shared" si="16"/>
        <v>3.3250000000000002</v>
      </c>
      <c r="AB88" s="99">
        <f t="shared" si="16"/>
        <v>4</v>
      </c>
      <c r="AC88" s="100">
        <f t="shared" ref="AC88:AC95" si="20">AC161*0.602</f>
        <v>1.7217199999999999</v>
      </c>
      <c r="AD88" s="100">
        <f t="shared" ref="AD88:AD95" si="21">AD161*0.715</f>
        <v>0</v>
      </c>
      <c r="AE88" s="100">
        <f t="shared" si="17"/>
        <v>5.7217199999999995</v>
      </c>
      <c r="AT88" s="75">
        <v>2</v>
      </c>
      <c r="AU88" s="97" t="s">
        <v>289</v>
      </c>
      <c r="AV88" s="97" t="str">
        <f t="shared" si="14"/>
        <v>2 - Lodo de esgosto</v>
      </c>
      <c r="AW88" s="75">
        <v>5</v>
      </c>
    </row>
    <row r="89" spans="13:49" ht="20.25" customHeight="1" x14ac:dyDescent="0.25">
      <c r="M89" s="364"/>
      <c r="N89" s="365"/>
      <c r="O89" s="450" t="s">
        <v>251</v>
      </c>
      <c r="P89" s="451"/>
      <c r="Q89" s="452"/>
      <c r="R89" s="53"/>
      <c r="U89" s="466"/>
      <c r="V89" s="99" t="str">
        <f t="shared" si="18"/>
        <v>Micaxisto (61) 3233-9368</v>
      </c>
      <c r="W89" s="99">
        <f t="shared" si="18"/>
        <v>0</v>
      </c>
      <c r="X89" s="99">
        <f t="shared" si="19"/>
        <v>0</v>
      </c>
      <c r="Y89" s="99">
        <f t="shared" si="16"/>
        <v>4.4999999999999998E-2</v>
      </c>
      <c r="Z89" s="99">
        <f t="shared" si="16"/>
        <v>0.1</v>
      </c>
      <c r="AA89" s="99">
        <f t="shared" si="16"/>
        <v>4.32</v>
      </c>
      <c r="AB89" s="99">
        <f t="shared" si="16"/>
        <v>5.2</v>
      </c>
      <c r="AC89" s="100">
        <f t="shared" si="20"/>
        <v>0.75776223776223772</v>
      </c>
      <c r="AD89" s="100">
        <f t="shared" si="21"/>
        <v>0.83139534883720934</v>
      </c>
      <c r="AE89" s="100">
        <f t="shared" si="17"/>
        <v>6.7891575865994476</v>
      </c>
      <c r="AT89" s="75">
        <v>3</v>
      </c>
      <c r="AU89" s="97" t="s">
        <v>289</v>
      </c>
      <c r="AV89" s="97" t="str">
        <f t="shared" si="14"/>
        <v>3 - Lodo de esgosto</v>
      </c>
      <c r="AW89" s="75">
        <v>15</v>
      </c>
    </row>
    <row r="90" spans="13:49" ht="20.25" customHeight="1" x14ac:dyDescent="0.25">
      <c r="M90" s="364"/>
      <c r="N90" s="365"/>
      <c r="O90" s="448" t="s">
        <v>93</v>
      </c>
      <c r="P90" s="448"/>
      <c r="Q90" s="92">
        <v>1</v>
      </c>
      <c r="R90" s="53"/>
      <c r="U90" s="466"/>
      <c r="V90" s="99" t="str">
        <f t="shared" si="18"/>
        <v xml:space="preserve">Pó de brita Fmx (62) 3924 8565 </v>
      </c>
      <c r="W90" s="99">
        <f t="shared" si="18"/>
        <v>0</v>
      </c>
      <c r="X90" s="99">
        <f t="shared" si="19"/>
        <v>0</v>
      </c>
      <c r="Y90" s="99">
        <f t="shared" si="16"/>
        <v>0</v>
      </c>
      <c r="Z90" s="99">
        <f t="shared" si="16"/>
        <v>0</v>
      </c>
      <c r="AA90" s="99">
        <f t="shared" si="16"/>
        <v>4.99</v>
      </c>
      <c r="AB90" s="99">
        <f t="shared" si="16"/>
        <v>6</v>
      </c>
      <c r="AC90" s="100">
        <f t="shared" si="20"/>
        <v>2.5258741258741257</v>
      </c>
      <c r="AD90" s="100">
        <f t="shared" si="21"/>
        <v>0.59385382059800662</v>
      </c>
      <c r="AE90" s="100">
        <f t="shared" si="17"/>
        <v>9.1197279464721319</v>
      </c>
      <c r="AT90" s="75">
        <v>4</v>
      </c>
      <c r="AU90" s="97" t="s">
        <v>289</v>
      </c>
      <c r="AV90" s="97" t="str">
        <f t="shared" si="14"/>
        <v>4 - Lodo de esgosto</v>
      </c>
      <c r="AW90" s="75">
        <v>10</v>
      </c>
    </row>
    <row r="91" spans="13:49" ht="20.25" customHeight="1" x14ac:dyDescent="0.25">
      <c r="M91" s="364"/>
      <c r="N91" s="365"/>
      <c r="O91" s="448"/>
      <c r="P91" s="448"/>
      <c r="Q91" s="92"/>
      <c r="R91" s="53"/>
      <c r="U91" s="466"/>
      <c r="V91" s="99" t="str">
        <f t="shared" si="18"/>
        <v>Remax Mistel (61) 99414-1975</v>
      </c>
      <c r="W91" s="99">
        <f t="shared" si="18"/>
        <v>0</v>
      </c>
      <c r="X91" s="99">
        <f t="shared" si="19"/>
        <v>43.8</v>
      </c>
      <c r="Y91" s="99">
        <f t="shared" si="16"/>
        <v>4.4999999999999998E-2</v>
      </c>
      <c r="Z91" s="99">
        <f t="shared" si="16"/>
        <v>0.1</v>
      </c>
      <c r="AA91" s="99">
        <f t="shared" si="16"/>
        <v>2.1949999999999998</v>
      </c>
      <c r="AB91" s="99">
        <f t="shared" si="16"/>
        <v>2.6</v>
      </c>
      <c r="AC91" s="100">
        <f t="shared" si="20"/>
        <v>11.282237762237763</v>
      </c>
      <c r="AD91" s="100">
        <f t="shared" si="21"/>
        <v>8.8959302325581397</v>
      </c>
      <c r="AE91" s="100">
        <f t="shared" si="17"/>
        <v>22.778167994795901</v>
      </c>
      <c r="AT91" s="51">
        <v>0</v>
      </c>
      <c r="AU91" s="93" t="s">
        <v>290</v>
      </c>
      <c r="AV91" s="93" t="str">
        <f t="shared" si="14"/>
        <v>0 - Compostos orgânicos</v>
      </c>
      <c r="AW91" s="51">
        <v>6</v>
      </c>
    </row>
    <row r="92" spans="13:49" ht="20.25" customHeight="1" x14ac:dyDescent="0.25">
      <c r="M92" s="364"/>
      <c r="N92" s="365"/>
      <c r="O92" s="448"/>
      <c r="P92" s="448"/>
      <c r="Q92" s="92"/>
      <c r="R92" s="53"/>
      <c r="U92" s="466"/>
      <c r="V92" s="99">
        <f t="shared" si="18"/>
        <v>0</v>
      </c>
      <c r="W92" s="99">
        <f t="shared" si="18"/>
        <v>0</v>
      </c>
      <c r="X92" s="99">
        <f t="shared" si="19"/>
        <v>0</v>
      </c>
      <c r="Y92" s="99">
        <f t="shared" si="16"/>
        <v>0</v>
      </c>
      <c r="Z92" s="99">
        <f t="shared" si="16"/>
        <v>0</v>
      </c>
      <c r="AA92" s="99">
        <f t="shared" si="16"/>
        <v>0</v>
      </c>
      <c r="AB92" s="99">
        <f t="shared" si="16"/>
        <v>0</v>
      </c>
      <c r="AC92" s="100">
        <f t="shared" si="20"/>
        <v>0</v>
      </c>
      <c r="AD92" s="100">
        <f t="shared" si="21"/>
        <v>0</v>
      </c>
      <c r="AE92" s="100">
        <f t="shared" si="17"/>
        <v>0</v>
      </c>
      <c r="AT92" s="51">
        <v>1</v>
      </c>
      <c r="AU92" s="93" t="s">
        <v>290</v>
      </c>
      <c r="AV92" s="93" t="str">
        <f t="shared" si="14"/>
        <v>1 - Compostos orgânicos</v>
      </c>
      <c r="AW92" s="51">
        <v>2</v>
      </c>
    </row>
    <row r="93" spans="13:49" ht="20.25" customHeight="1" x14ac:dyDescent="0.25">
      <c r="M93" s="101"/>
      <c r="N93" s="25"/>
      <c r="O93" s="25"/>
      <c r="P93" s="25"/>
      <c r="Q93" s="25"/>
      <c r="R93" s="53"/>
      <c r="U93" s="466"/>
      <c r="V93" s="99">
        <f t="shared" si="18"/>
        <v>0</v>
      </c>
      <c r="W93" s="99">
        <f t="shared" si="18"/>
        <v>0</v>
      </c>
      <c r="X93" s="99">
        <f t="shared" si="19"/>
        <v>0</v>
      </c>
      <c r="Y93" s="99">
        <f t="shared" si="16"/>
        <v>0</v>
      </c>
      <c r="Z93" s="99">
        <f t="shared" si="16"/>
        <v>0</v>
      </c>
      <c r="AA93" s="99">
        <f t="shared" si="16"/>
        <v>0</v>
      </c>
      <c r="AB93" s="99">
        <f t="shared" si="16"/>
        <v>0</v>
      </c>
      <c r="AC93" s="100">
        <f t="shared" si="20"/>
        <v>0</v>
      </c>
      <c r="AD93" s="100">
        <f t="shared" si="21"/>
        <v>0</v>
      </c>
      <c r="AE93" s="100">
        <f t="shared" si="17"/>
        <v>0</v>
      </c>
      <c r="AT93" s="51">
        <v>2</v>
      </c>
      <c r="AU93" s="93" t="s">
        <v>290</v>
      </c>
      <c r="AV93" s="93" t="str">
        <f t="shared" si="14"/>
        <v>2 - Compostos orgânicos</v>
      </c>
      <c r="AW93" s="51">
        <v>4</v>
      </c>
    </row>
    <row r="94" spans="13:49" ht="20.25" customHeight="1" x14ac:dyDescent="0.25">
      <c r="M94" s="101"/>
      <c r="N94" s="25"/>
      <c r="O94" s="365" t="s">
        <v>264</v>
      </c>
      <c r="P94" s="365"/>
      <c r="Q94" s="365"/>
      <c r="R94" s="53"/>
      <c r="U94" s="466"/>
      <c r="V94" s="99">
        <f t="shared" si="18"/>
        <v>0</v>
      </c>
      <c r="W94" s="99">
        <f t="shared" si="18"/>
        <v>0</v>
      </c>
      <c r="X94" s="99">
        <f t="shared" si="19"/>
        <v>0</v>
      </c>
      <c r="Y94" s="99">
        <f t="shared" si="16"/>
        <v>0</v>
      </c>
      <c r="Z94" s="99">
        <f t="shared" si="16"/>
        <v>0</v>
      </c>
      <c r="AA94" s="99">
        <f t="shared" si="16"/>
        <v>0</v>
      </c>
      <c r="AB94" s="99">
        <f t="shared" si="16"/>
        <v>0</v>
      </c>
      <c r="AC94" s="100">
        <f t="shared" si="20"/>
        <v>0</v>
      </c>
      <c r="AD94" s="100">
        <f t="shared" si="21"/>
        <v>0</v>
      </c>
      <c r="AE94" s="100">
        <f t="shared" si="17"/>
        <v>0</v>
      </c>
      <c r="AT94" s="51">
        <v>3</v>
      </c>
      <c r="AU94" s="93" t="s">
        <v>290</v>
      </c>
      <c r="AV94" s="93" t="str">
        <f t="shared" si="14"/>
        <v>3 - Compostos orgânicos</v>
      </c>
      <c r="AW94" s="51">
        <v>6</v>
      </c>
    </row>
    <row r="95" spans="13:49" ht="20.25" customHeight="1" thickBot="1" x14ac:dyDescent="0.3">
      <c r="M95" s="69"/>
      <c r="N95" s="70"/>
      <c r="O95" s="70"/>
      <c r="P95" s="70"/>
      <c r="Q95" s="70"/>
      <c r="R95" s="71"/>
      <c r="U95" s="466"/>
      <c r="V95" s="99">
        <f t="shared" si="18"/>
        <v>0</v>
      </c>
      <c r="W95" s="99">
        <f t="shared" si="18"/>
        <v>0</v>
      </c>
      <c r="X95" s="99">
        <f t="shared" si="19"/>
        <v>0</v>
      </c>
      <c r="Y95" s="99">
        <f t="shared" si="16"/>
        <v>0</v>
      </c>
      <c r="Z95" s="99">
        <f t="shared" si="16"/>
        <v>0</v>
      </c>
      <c r="AA95" s="99">
        <f t="shared" si="16"/>
        <v>0</v>
      </c>
      <c r="AB95" s="99">
        <f t="shared" si="16"/>
        <v>0</v>
      </c>
      <c r="AC95" s="100">
        <f t="shared" si="20"/>
        <v>0</v>
      </c>
      <c r="AD95" s="100">
        <f t="shared" si="21"/>
        <v>0</v>
      </c>
      <c r="AE95" s="100">
        <f t="shared" si="17"/>
        <v>0</v>
      </c>
      <c r="AT95" s="51">
        <v>4</v>
      </c>
      <c r="AU95" s="93" t="s">
        <v>290</v>
      </c>
      <c r="AV95" s="93" t="str">
        <f t="shared" si="14"/>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$V$26</f>
        <v>24</v>
      </c>
      <c r="P99" s="103">
        <f>$V$27</f>
        <v>0</v>
      </c>
      <c r="Q99" s="103">
        <f>$V$28</f>
        <v>36</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1.2</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29">
    <mergeCell ref="AQ4:AR5"/>
    <mergeCell ref="AV4:AV5"/>
    <mergeCell ref="M5:N25"/>
    <mergeCell ref="AQ6:AR6"/>
    <mergeCell ref="AF7:AM7"/>
    <mergeCell ref="AQ7:AR7"/>
    <mergeCell ref="W8:W11"/>
    <mergeCell ref="AG8:AH8"/>
    <mergeCell ref="M2:R2"/>
    <mergeCell ref="M4:N4"/>
    <mergeCell ref="O4:P4"/>
    <mergeCell ref="AP4:AP5"/>
    <mergeCell ref="AQ8:AR8"/>
    <mergeCell ref="AP25:AP26"/>
    <mergeCell ref="AQ25:AR26"/>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V16:AV17"/>
    <mergeCell ref="AQ13:AR13"/>
    <mergeCell ref="C14:G14"/>
    <mergeCell ref="AQ14:AR14"/>
    <mergeCell ref="AF15:AF17"/>
    <mergeCell ref="AJ15:AJ17"/>
    <mergeCell ref="AK15:AK17"/>
    <mergeCell ref="AL15:AL17"/>
    <mergeCell ref="AM15:AM17"/>
    <mergeCell ref="B16:I16"/>
    <mergeCell ref="AP16:AP17"/>
    <mergeCell ref="B26:I26"/>
    <mergeCell ref="AM18:AM20"/>
    <mergeCell ref="AQ18:AR18"/>
    <mergeCell ref="AQ19:AR19"/>
    <mergeCell ref="B20:E20"/>
    <mergeCell ref="AQ20:AR20"/>
    <mergeCell ref="AQ16:AR17"/>
    <mergeCell ref="AQ29:AR29"/>
    <mergeCell ref="E30:I30"/>
    <mergeCell ref="AQ30:AR30"/>
    <mergeCell ref="B18:D18"/>
    <mergeCell ref="F18:H18"/>
    <mergeCell ref="AF18:AF20"/>
    <mergeCell ref="AJ18:AJ20"/>
    <mergeCell ref="AK18:AK20"/>
    <mergeCell ref="AL18:AL20"/>
    <mergeCell ref="B31:I33"/>
    <mergeCell ref="AQ31:AR31"/>
    <mergeCell ref="AQ32:AR32"/>
    <mergeCell ref="O33:Q33"/>
    <mergeCell ref="AQ33:AR33"/>
    <mergeCell ref="B27:C28"/>
    <mergeCell ref="E27:I27"/>
    <mergeCell ref="AP27:AP36"/>
    <mergeCell ref="AQ27:AR27"/>
    <mergeCell ref="E28:I28"/>
    <mergeCell ref="AQ28:AR28"/>
    <mergeCell ref="B29:C30"/>
    <mergeCell ref="E29:I29"/>
    <mergeCell ref="M29:N34"/>
    <mergeCell ref="O29:Q29"/>
    <mergeCell ref="AQ36:AR36"/>
    <mergeCell ref="B37:I38"/>
    <mergeCell ref="M38:N42"/>
    <mergeCell ref="O38:Q38"/>
    <mergeCell ref="U34:V34"/>
    <mergeCell ref="B39:I39"/>
    <mergeCell ref="P39:Q39"/>
    <mergeCell ref="U35:V35"/>
    <mergeCell ref="AP39:AQ39"/>
    <mergeCell ref="B40:C40"/>
    <mergeCell ref="B34:I34"/>
    <mergeCell ref="O34:Q34"/>
    <mergeCell ref="AQ34:AR34"/>
    <mergeCell ref="B35:C36"/>
    <mergeCell ref="E35:I35"/>
    <mergeCell ref="AQ35:AR35"/>
    <mergeCell ref="E36:I36"/>
    <mergeCell ref="M36:R36"/>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AQ59:AR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N158:P158"/>
    <mergeCell ref="N159:P159"/>
    <mergeCell ref="U160:U169"/>
    <mergeCell ref="M100:N100"/>
    <mergeCell ref="U100:U114"/>
    <mergeCell ref="M104:N109"/>
    <mergeCell ref="O104:Q104"/>
    <mergeCell ref="O105:Q105"/>
    <mergeCell ref="O106:Q106"/>
    <mergeCell ref="O107:Q107"/>
    <mergeCell ref="O108:Q108"/>
    <mergeCell ref="O109:Q109"/>
    <mergeCell ref="U170:U179"/>
    <mergeCell ref="X25:Y25"/>
    <mergeCell ref="AA25:AD25"/>
    <mergeCell ref="AF25:AI25"/>
    <mergeCell ref="U6:V7"/>
    <mergeCell ref="W6:W7"/>
    <mergeCell ref="U13:W14"/>
    <mergeCell ref="W15:W17"/>
    <mergeCell ref="U115:U130"/>
    <mergeCell ref="U131:U150"/>
    <mergeCell ref="U151:U159"/>
    <mergeCell ref="X48:Y48"/>
    <mergeCell ref="U31:V31"/>
    <mergeCell ref="U32:V32"/>
    <mergeCell ref="U25:V25"/>
    <mergeCell ref="W18:W19"/>
    <mergeCell ref="AI8:AJ8"/>
  </mergeCells>
  <dataValidations count="5">
    <dataValidation type="list" allowBlank="1" showInputMessage="1" showErrorMessage="1" sqref="O105:Q109">
      <formula1>$V$170:$V$179</formula1>
    </dataValidation>
    <dataValidation type="list" allowBlank="1" showInputMessage="1" showErrorMessage="1" sqref="O68 O174 N159 O176">
      <formula1>$Y$5:$Y$6</formula1>
    </dataValidation>
    <dataValidation type="list" allowBlank="1" showInputMessage="1" showErrorMessage="1" sqref="Q82:Q84 Q90:Q92 Q74:Q76 Q47 Q50">
      <formula1>$Y$10:$Y$21</formula1>
    </dataValidation>
    <dataValidation type="list" allowBlank="1" showInputMessage="1" showErrorMessage="1" sqref="O42:Q42">
      <formula1>$AA$8:$AA$17</formula1>
    </dataValidation>
    <dataValidation type="list" allowBlank="1" showInputMessage="1" showErrorMessage="1" sqref="P39:Q39">
      <formula1>$X$27:$X$31</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corretivos'!$C$3:$C$62</xm:f>
          </x14:formula1>
          <xm:sqref>O74:P76 O82:P84 O90:P92</xm:sqref>
        </x14:dataValidation>
      </x14:dataValidations>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B39" sqref="B39:I39"/>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18.7109375" style="11" customWidth="1"/>
    <col min="17" max="17" width="49.28515625" style="11" customWidth="1"/>
    <col min="18" max="18" width="8.7109375" style="11" customWidth="1"/>
    <col min="19" max="19" width="11.42578125" style="11" bestFit="1" customWidth="1"/>
    <col min="20" max="20" width="30.140625" style="11" hidden="1" customWidth="1" outlineLevel="1"/>
    <col min="21" max="21" width="43.5703125" style="11" hidden="1" customWidth="1" outlineLevel="1"/>
    <col min="22" max="22" width="65.42578125" style="11" hidden="1" customWidth="1" outlineLevel="1"/>
    <col min="23" max="23" width="19.85546875" style="11" hidden="1" customWidth="1" outlineLevel="1"/>
    <col min="24" max="24" width="12" style="11" hidden="1" customWidth="1" outlineLevel="1"/>
    <col min="25" max="25" width="21.85546875" style="11" hidden="1" customWidth="1" outlineLevel="1"/>
    <col min="26" max="26" width="14.140625" style="11" hidden="1" customWidth="1" outlineLevel="1"/>
    <col min="27" max="27" width="31.5703125" style="11" hidden="1" customWidth="1" outlineLevel="1"/>
    <col min="28" max="28" width="21.42578125" style="11" hidden="1" customWidth="1" outlineLevel="1"/>
    <col min="29" max="29" width="27" style="11" hidden="1" customWidth="1" outlineLevel="1"/>
    <col min="30" max="30" width="24.85546875" style="11" hidden="1" customWidth="1" outlineLevel="1"/>
    <col min="31" max="31" width="26.28515625" style="11" hidden="1" customWidth="1" outlineLevel="1"/>
    <col min="32" max="32" width="15.5703125" style="11" hidden="1" customWidth="1" outlineLevel="1"/>
    <col min="33" max="33" width="21.42578125" style="11" hidden="1" customWidth="1" outlineLevel="1"/>
    <col min="34" max="34" width="28.5703125" style="11" hidden="1" customWidth="1" outlineLevel="1"/>
    <col min="35" max="35" width="23" style="11" hidden="1" customWidth="1" outlineLevel="1"/>
    <col min="36" max="36" width="14" style="11" hidden="1" customWidth="1" outlineLevel="1"/>
    <col min="37" max="37" width="19.85546875" style="11" hidden="1" customWidth="1" outlineLevel="1"/>
    <col min="38" max="38" width="11.42578125" style="11" hidden="1" customWidth="1" outlineLevel="1"/>
    <col min="39" max="39" width="34.85546875" style="11" hidden="1" customWidth="1" outlineLevel="1"/>
    <col min="40" max="40" width="23.7109375" style="11" hidden="1" customWidth="1" outlineLevel="1"/>
    <col min="41" max="41" width="23.42578125" style="11" hidden="1" customWidth="1" outlineLevel="1"/>
    <col min="42" max="42" width="9.42578125" style="11" hidden="1" customWidth="1" outlineLevel="1"/>
    <col min="43" max="43" width="16.7109375" style="11" hidden="1" customWidth="1" outlineLevel="1"/>
    <col min="44" max="44" width="6.7109375" style="11" hidden="1" customWidth="1" outlineLevel="1"/>
    <col min="45" max="45" width="8.28515625" style="11" hidden="1" customWidth="1" outlineLevel="1"/>
    <col min="46" max="46" width="8.42578125" style="11" hidden="1" customWidth="1" outlineLevel="1"/>
    <col min="47" max="47" width="31.5703125" style="11" hidden="1" customWidth="1" outlineLevel="1"/>
    <col min="48" max="48" width="35.5703125" style="11" hidden="1" customWidth="1" outlineLevel="1"/>
    <col min="49" max="52" width="6.7109375"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94"/>
      <c r="V3" s="94"/>
      <c r="W3" s="94"/>
      <c r="X3" s="94"/>
      <c r="Y3" s="25"/>
      <c r="Z3" s="25"/>
      <c r="AA3" s="25"/>
      <c r="AB3" s="25"/>
      <c r="AC3" s="25"/>
      <c r="AD3" s="25"/>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94"/>
      <c r="V4" s="94"/>
      <c r="W4" s="94"/>
      <c r="X4" s="94"/>
      <c r="Y4" s="51" t="s">
        <v>63</v>
      </c>
      <c r="AB4" s="25"/>
      <c r="AC4" s="25"/>
      <c r="AD4" s="25"/>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94"/>
      <c r="V5" s="94"/>
      <c r="W5" s="94"/>
      <c r="X5" s="94"/>
      <c r="Y5" s="51" t="s">
        <v>189</v>
      </c>
      <c r="Z5" s="25"/>
      <c r="AA5" s="25"/>
      <c r="AB5" s="25"/>
      <c r="AC5" s="25"/>
      <c r="AD5" s="25"/>
      <c r="AO5" s="47"/>
      <c r="AP5" s="447"/>
      <c r="AQ5" s="447"/>
      <c r="AR5" s="447"/>
      <c r="AS5" s="55">
        <f>$V$26</f>
        <v>72</v>
      </c>
      <c r="AT5" s="55">
        <f>$V$27</f>
        <v>36</v>
      </c>
      <c r="AU5" s="55">
        <f>$V$28</f>
        <v>150</v>
      </c>
      <c r="AV5" s="509"/>
      <c r="AW5" s="47"/>
      <c r="AX5" s="47"/>
      <c r="AY5" s="47"/>
      <c r="AZ5" s="47"/>
      <c r="BA5" s="47"/>
      <c r="BB5" s="47"/>
    </row>
    <row r="6" spans="1:54" ht="20.25" customHeight="1" x14ac:dyDescent="0.25">
      <c r="M6" s="364"/>
      <c r="N6" s="453"/>
      <c r="O6" s="51" t="s">
        <v>3</v>
      </c>
      <c r="P6" s="56">
        <v>2</v>
      </c>
      <c r="Q6" s="51" t="s">
        <v>55</v>
      </c>
      <c r="R6" s="53"/>
      <c r="U6" s="591" t="s">
        <v>56</v>
      </c>
      <c r="V6" s="592"/>
      <c r="W6" s="510" t="s">
        <v>58</v>
      </c>
      <c r="X6" s="25"/>
      <c r="Y6" s="51" t="s">
        <v>190</v>
      </c>
      <c r="Z6" s="25"/>
      <c r="AA6" s="25"/>
      <c r="AB6" s="25"/>
      <c r="AC6" s="25"/>
      <c r="AD6" s="25"/>
      <c r="AO6" s="47"/>
      <c r="AP6" s="54">
        <v>1</v>
      </c>
      <c r="AQ6" s="517" t="str">
        <f>O74</f>
        <v>Termofosfato YOORIN</v>
      </c>
      <c r="AR6" s="518"/>
      <c r="AS6" s="55">
        <f>IFERROR((VLOOKUP(AQ6,$V$100:$AB$179,3,0)*0.01)*AV6,0)</f>
        <v>0</v>
      </c>
      <c r="AT6" s="55">
        <f>IFERROR((VLOOKUP(AQ6,$V$100:$AB$179,5,0)*0.01)*AV6,0)</f>
        <v>18.000000000000004</v>
      </c>
      <c r="AU6" s="55">
        <f>IFERROR((VLOOKUP(AQ6,$V$100:$AB$179,7,0)*0.01)*AV6,0)</f>
        <v>0</v>
      </c>
      <c r="AV6" s="55">
        <f>IFERROR($AT$5*Q74/(VLOOKUP(AQ6,$V$100:$AB$179,5,0)/100),0)</f>
        <v>102.85714285714286</v>
      </c>
      <c r="AW6" s="47"/>
      <c r="AX6" s="47"/>
      <c r="AY6" s="47"/>
      <c r="AZ6" s="47"/>
      <c r="BA6" s="47"/>
      <c r="BB6" s="47"/>
    </row>
    <row r="7" spans="1:54" ht="20.25" customHeight="1" x14ac:dyDescent="0.25">
      <c r="M7" s="364"/>
      <c r="N7" s="453"/>
      <c r="O7" s="51" t="s">
        <v>4</v>
      </c>
      <c r="P7" s="32">
        <v>1</v>
      </c>
      <c r="Q7" s="51" t="s">
        <v>55</v>
      </c>
      <c r="R7" s="53"/>
      <c r="U7" s="593"/>
      <c r="V7" s="594"/>
      <c r="W7" s="370"/>
      <c r="X7" s="25"/>
      <c r="Y7" s="79" t="e">
        <f>10000/((($O$32/2)+($P$32/2))*$Q$32)</f>
        <v>#DIV/0!</v>
      </c>
      <c r="Z7" s="25"/>
      <c r="AA7" s="76" t="s">
        <v>63</v>
      </c>
      <c r="AB7" s="25"/>
      <c r="AC7" s="25"/>
      <c r="AD7" s="25"/>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18</v>
      </c>
      <c r="AU7" s="55">
        <f>IFERROR((VLOOKUP(AQ7,$V$100:$AB$179,7,0)*0.01)*AV7,0)</f>
        <v>0</v>
      </c>
      <c r="AV7" s="55">
        <f>IFERROR($AT$5*Q75/(VLOOKUP(AQ7,$V$100:$AB$179,5,0)/100),0)</f>
        <v>100</v>
      </c>
      <c r="AW7" s="47"/>
      <c r="AX7" s="47"/>
      <c r="AY7" s="47"/>
      <c r="AZ7" s="47"/>
      <c r="BA7" s="47"/>
      <c r="BB7" s="47"/>
    </row>
    <row r="8" spans="1:54" ht="20.25" customHeight="1" thickBot="1" x14ac:dyDescent="0.3">
      <c r="M8" s="364"/>
      <c r="N8" s="453"/>
      <c r="O8" s="51" t="s">
        <v>5</v>
      </c>
      <c r="P8" s="56">
        <v>0.01</v>
      </c>
      <c r="Q8" s="57" t="s">
        <v>55</v>
      </c>
      <c r="R8" s="53"/>
      <c r="U8" s="114"/>
      <c r="V8" s="114"/>
      <c r="W8" s="463" t="str">
        <f>IF(V9="baixo","baixo",IF(V10="médio","médio",IF(V11="adequado","adequado",0)))</f>
        <v>adequado</v>
      </c>
      <c r="X8" s="25"/>
      <c r="Y8" s="25"/>
      <c r="Z8" s="25"/>
      <c r="AA8" s="51" t="s">
        <v>286</v>
      </c>
      <c r="AB8" s="25"/>
      <c r="AD8" s="25"/>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114" t="s">
        <v>501</v>
      </c>
      <c r="V9" s="51" t="str">
        <f>IF($P$13&lt;=7,"baixo","erro")</f>
        <v>erro</v>
      </c>
      <c r="W9" s="463"/>
      <c r="X9" s="25"/>
      <c r="Y9" s="76" t="s">
        <v>63</v>
      </c>
      <c r="Z9" s="25"/>
      <c r="AA9" s="51" t="s">
        <v>293</v>
      </c>
      <c r="AB9" s="25"/>
      <c r="AD9" s="25"/>
      <c r="AF9" s="511" t="s">
        <v>246</v>
      </c>
      <c r="AG9" s="58" t="s">
        <v>25</v>
      </c>
      <c r="AH9" s="58" t="s">
        <v>242</v>
      </c>
      <c r="AI9" s="51" t="str">
        <f>IF($P$14&lt;=0.2,"baixo","erro")</f>
        <v>baixo</v>
      </c>
      <c r="AJ9" s="457" t="str">
        <f>IF($AI$9="baixo","baixo",IF($AI$10="medio","medio",IF($AI$11="adequado","adequado",0)))</f>
        <v>baixo</v>
      </c>
      <c r="AK9" s="457">
        <f>IF(AJ9="Baixo",AL9,0)</f>
        <v>1.2</v>
      </c>
      <c r="AL9" s="457">
        <f>(AM9*1000)/$E$18</f>
        <v>1.2</v>
      </c>
      <c r="AM9" s="456">
        <v>2</v>
      </c>
      <c r="AO9" s="47"/>
      <c r="AP9" s="47"/>
      <c r="AQ9" s="47"/>
      <c r="AR9" s="47"/>
      <c r="AS9" s="59">
        <f>AS5-(SUM(AS6:AS8))</f>
        <v>72</v>
      </c>
      <c r="AT9" s="59">
        <f>AT5-(SUM(AT6:AT8))</f>
        <v>0</v>
      </c>
      <c r="AU9" s="59">
        <f>AU5-(SUM(AU6:AU8))</f>
        <v>150</v>
      </c>
      <c r="AV9" s="59"/>
      <c r="AW9" s="47"/>
      <c r="AX9" s="47"/>
      <c r="AY9" s="47"/>
      <c r="AZ9" s="47"/>
      <c r="BA9" s="47"/>
      <c r="BB9" s="47"/>
    </row>
    <row r="10" spans="1:54" ht="20.25" customHeight="1" x14ac:dyDescent="0.25">
      <c r="M10" s="364"/>
      <c r="N10" s="453"/>
      <c r="O10" s="51" t="s">
        <v>7</v>
      </c>
      <c r="P10" s="56">
        <v>0.1</v>
      </c>
      <c r="Q10" s="51" t="s">
        <v>55</v>
      </c>
      <c r="R10" s="53"/>
      <c r="U10" s="51" t="s">
        <v>502</v>
      </c>
      <c r="V10" s="51" t="str">
        <f>IF(AND($P$13&gt;=8,$P$13&lt;=20),"médio","erro")</f>
        <v>erro</v>
      </c>
      <c r="W10" s="463"/>
      <c r="X10" s="25"/>
      <c r="Y10" s="76"/>
      <c r="Z10" s="25"/>
      <c r="AA10" s="51" t="s">
        <v>158</v>
      </c>
      <c r="AB10" s="25"/>
      <c r="AD10" s="25"/>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U11" s="51" t="s">
        <v>61</v>
      </c>
      <c r="V11" s="51" t="str">
        <f>IF($P$13&gt;20,"adequado","erro")</f>
        <v>adequado</v>
      </c>
      <c r="W11" s="463"/>
      <c r="X11" s="25"/>
      <c r="Y11" s="76">
        <v>0</v>
      </c>
      <c r="Z11" s="25"/>
      <c r="AA11" s="51" t="s">
        <v>292</v>
      </c>
      <c r="AB11" s="25"/>
      <c r="AD11" s="25"/>
      <c r="AF11" s="511"/>
      <c r="AG11" s="58" t="s">
        <v>234</v>
      </c>
      <c r="AH11" s="58" t="s">
        <v>233</v>
      </c>
      <c r="AI11" s="51" t="str">
        <f>IF($P$14&gt;0.5,"adequado","erro")</f>
        <v>erro</v>
      </c>
      <c r="AJ11" s="457"/>
      <c r="AK11" s="457"/>
      <c r="AL11" s="457"/>
      <c r="AM11" s="456"/>
      <c r="AO11" s="47"/>
      <c r="AP11" s="447"/>
      <c r="AQ11" s="447"/>
      <c r="AR11" s="447"/>
      <c r="AS11" s="55">
        <f>AS9</f>
        <v>72</v>
      </c>
      <c r="AT11" s="55">
        <f t="shared" ref="AT11:AU11" si="0">AT9</f>
        <v>0</v>
      </c>
      <c r="AU11" s="55">
        <f t="shared" si="0"/>
        <v>150</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X12" s="25"/>
      <c r="Y12" s="76">
        <v>0.1</v>
      </c>
      <c r="Z12" s="25"/>
      <c r="AA12" s="51" t="s">
        <v>292</v>
      </c>
      <c r="AB12" s="25"/>
      <c r="AC12" s="25"/>
      <c r="AD12" s="25"/>
      <c r="AF12" s="511" t="s">
        <v>245</v>
      </c>
      <c r="AG12" s="58" t="s">
        <v>25</v>
      </c>
      <c r="AH12" s="58" t="s">
        <v>241</v>
      </c>
      <c r="AI12" s="51" t="str">
        <f>IF($P$16&lt;=0.4,"baixo","erro")</f>
        <v>erro</v>
      </c>
      <c r="AJ12" s="457" t="str">
        <f>IF($AI$12="baixo","baixo",IF($AI$13="medio","medio",IF($AI$14="adequado","adequado",0)))</f>
        <v>adequado</v>
      </c>
      <c r="AK12" s="457">
        <f>IF(AJ12="Baixo",AL12,0)</f>
        <v>0</v>
      </c>
      <c r="AL12" s="457">
        <f>(AM12*1000)/$E$18</f>
        <v>1.2</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75</v>
      </c>
      <c r="AV12" s="55">
        <f>IFERROR($AU$11*Q82/(VLOOKUP(AQ12,$V$100:$AB$179,7,0)/100),0)</f>
        <v>125</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21</v>
      </c>
      <c r="Q13" s="51" t="s">
        <v>12</v>
      </c>
      <c r="R13" s="53"/>
      <c r="U13" s="457" t="s">
        <v>500</v>
      </c>
      <c r="V13" s="457"/>
      <c r="W13" s="457"/>
      <c r="X13" s="25"/>
      <c r="Y13" s="76">
        <v>0.2</v>
      </c>
      <c r="Z13" s="25"/>
      <c r="AA13" s="51" t="s">
        <v>292</v>
      </c>
      <c r="AB13" s="25"/>
      <c r="AC13" s="25"/>
      <c r="AD13" s="25"/>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75</v>
      </c>
      <c r="AV13" s="55">
        <f>IFERROR($AU$11*Q83/(VLOOKUP(AQ13,$V$100:$AB$179,7,0)/100),0)</f>
        <v>937.5</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U14" s="457"/>
      <c r="V14" s="457"/>
      <c r="W14" s="457"/>
      <c r="X14" s="25"/>
      <c r="Y14" s="76">
        <v>0.3</v>
      </c>
      <c r="Z14" s="25"/>
      <c r="AA14" s="51" t="s">
        <v>288</v>
      </c>
      <c r="AB14" s="25"/>
      <c r="AC14" s="25"/>
      <c r="AD14" s="25"/>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U15" s="51" t="s">
        <v>495</v>
      </c>
      <c r="V15" s="51" t="str">
        <f>IF($P$8&lt;=0.07,"muito baixo","erro")</f>
        <v>muito baixo</v>
      </c>
      <c r="W15" s="457" t="s">
        <v>58</v>
      </c>
      <c r="X15" s="25"/>
      <c r="Y15" s="76">
        <v>0.4</v>
      </c>
      <c r="Z15" s="25"/>
      <c r="AA15" s="51" t="s">
        <v>289</v>
      </c>
      <c r="AB15" s="25"/>
      <c r="AC15" s="25"/>
      <c r="AD15" s="25"/>
      <c r="AF15" s="511" t="s">
        <v>244</v>
      </c>
      <c r="AG15" s="58" t="s">
        <v>25</v>
      </c>
      <c r="AH15" s="58" t="s">
        <v>240</v>
      </c>
      <c r="AI15" s="51" t="str">
        <f>IF($P$18&lt;=1.9,"baixo","erro")</f>
        <v>erro</v>
      </c>
      <c r="AJ15" s="457" t="str">
        <f>IF($AI$15="baixo","baixo",IF($AI$16="medio","medio",IF($AI$17="adequado","adequado",0)))</f>
        <v>adequado</v>
      </c>
      <c r="AK15" s="457">
        <f>IF(AJ15="Baixo",AL15,0)</f>
        <v>0</v>
      </c>
      <c r="AL15" s="457">
        <f>(AM15*1000)/$E$18</f>
        <v>3.5999999999999996</v>
      </c>
      <c r="AM15" s="456">
        <v>6</v>
      </c>
      <c r="AO15" s="47"/>
      <c r="AP15" s="47"/>
      <c r="AQ15" s="47"/>
      <c r="AR15" s="47"/>
      <c r="AS15" s="59">
        <f>AS11-(SUM(AS12:AS14))</f>
        <v>72</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U16" s="51" t="s">
        <v>496</v>
      </c>
      <c r="V16" s="51" t="str">
        <f>IF(AND($P$8&gt;=0.08,$P$8&lt;=0.15),"baixo","erro")</f>
        <v>erro</v>
      </c>
      <c r="W16" s="457"/>
      <c r="X16" s="25"/>
      <c r="Y16" s="76">
        <v>0.5</v>
      </c>
      <c r="AA16" s="51" t="s">
        <v>290</v>
      </c>
      <c r="AB16" s="25"/>
      <c r="AC16" s="25"/>
      <c r="AD16" s="25"/>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 t="s">
        <v>497</v>
      </c>
      <c r="V17" s="51" t="str">
        <f>IF(AND($P$8&gt;=0.16,$P$8&lt;=0.3),"médio","erro")</f>
        <v>erro</v>
      </c>
      <c r="W17" s="457"/>
      <c r="X17" s="94"/>
      <c r="Y17" s="76">
        <v>0.6</v>
      </c>
      <c r="AA17" s="51"/>
      <c r="AB17" s="25"/>
      <c r="AC17" s="25"/>
      <c r="AD17" s="25"/>
      <c r="AF17" s="511"/>
      <c r="AG17" s="58" t="s">
        <v>234</v>
      </c>
      <c r="AH17" s="58" t="s">
        <v>231</v>
      </c>
      <c r="AI17" s="51" t="str">
        <f>IF($P$18&gt;5,"adequado","erro")</f>
        <v>adequado</v>
      </c>
      <c r="AJ17" s="457"/>
      <c r="AK17" s="457"/>
      <c r="AL17" s="457"/>
      <c r="AM17" s="456"/>
      <c r="AO17" s="47"/>
      <c r="AP17" s="447"/>
      <c r="AQ17" s="447"/>
      <c r="AR17" s="447"/>
      <c r="AS17" s="55">
        <f>AS15</f>
        <v>72</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1666.6666666666667</v>
      </c>
      <c r="F18" s="457" t="s">
        <v>125</v>
      </c>
      <c r="G18" s="457"/>
      <c r="H18" s="457"/>
      <c r="I18" s="51">
        <f>O34</f>
        <v>1</v>
      </c>
      <c r="M18" s="364"/>
      <c r="N18" s="453"/>
      <c r="O18" s="51" t="s">
        <v>17</v>
      </c>
      <c r="P18" s="56">
        <v>43.1</v>
      </c>
      <c r="Q18" s="51" t="s">
        <v>12</v>
      </c>
      <c r="R18" s="53"/>
      <c r="U18" s="51" t="s">
        <v>498</v>
      </c>
      <c r="V18" s="51" t="str">
        <f>IF(AND($P$8&gt;=0.31,$P$8&lt;=0.5),"adequado","erro")</f>
        <v>erro</v>
      </c>
      <c r="W18" s="595" t="str">
        <f>IF(V15="muito baixo","muito baixo",IF(V16="baixo","baixo",IF(V17="médio","médio",IF(V18="adequado","adequado",IF(V19="muito alto","muito alto",0)))))</f>
        <v>muito baixo</v>
      </c>
      <c r="X18" s="94"/>
      <c r="Y18" s="76">
        <v>0.7</v>
      </c>
      <c r="AB18" s="25"/>
      <c r="AC18" s="25"/>
      <c r="AD18" s="25"/>
      <c r="AF18" s="511" t="s">
        <v>243</v>
      </c>
      <c r="AG18" s="58" t="s">
        <v>25</v>
      </c>
      <c r="AH18" s="58" t="s">
        <v>239</v>
      </c>
      <c r="AI18" s="51" t="str">
        <f>IF($P$19&lt;=1,"baixo","erro")</f>
        <v>erro</v>
      </c>
      <c r="AJ18" s="457" t="str">
        <f>IF($AI$18="baixo","baixo",IF($AI$19="medio","medio",IF($AI$20="adequado","adequado",0)))</f>
        <v>adequado</v>
      </c>
      <c r="AK18" s="457">
        <f>IF(AJ18="Baixo",AL18,0)</f>
        <v>0</v>
      </c>
      <c r="AL18" s="457">
        <f>(AM18*1000)/$E$18</f>
        <v>3.5999999999999996</v>
      </c>
      <c r="AM18" s="456">
        <v>6</v>
      </c>
      <c r="AO18" s="47"/>
      <c r="AP18" s="54">
        <v>13</v>
      </c>
      <c r="AQ18" s="447" t="str">
        <f>O90</f>
        <v>Nitrato de Amônio</v>
      </c>
      <c r="AR18" s="447"/>
      <c r="AS18" s="55">
        <f>IFERROR((VLOOKUP(AQ18,$V$100:$AB$179,3,0)*0.01)*AV18,0)</f>
        <v>72</v>
      </c>
      <c r="AT18" s="55">
        <f>IFERROR((VLOOKUP(AQ18,$V$100:$AB$179,5,0)*0.01)*AV18,0)</f>
        <v>0</v>
      </c>
      <c r="AU18" s="55">
        <f>IFERROR((VLOOKUP(AQ18,$V$100:$AB$179,7,0)*0.01)*AV18,0)</f>
        <v>0</v>
      </c>
      <c r="AV18" s="55">
        <f>IFERROR($AS$17*Q90/(VLOOKUP(AQ18,$V$100:$AB$179,3,0)/100),0)</f>
        <v>248.27586206896552</v>
      </c>
      <c r="AW18" s="47"/>
      <c r="AX18" s="47"/>
      <c r="AY18" s="47"/>
      <c r="AZ18" s="47"/>
      <c r="BA18" s="47"/>
      <c r="BB18" s="47"/>
    </row>
    <row r="19" spans="2:54" ht="20.25" customHeight="1" x14ac:dyDescent="0.25">
      <c r="M19" s="364"/>
      <c r="N19" s="453"/>
      <c r="O19" s="51" t="s">
        <v>18</v>
      </c>
      <c r="P19" s="32">
        <v>20.100000000000001</v>
      </c>
      <c r="Q19" s="51" t="s">
        <v>12</v>
      </c>
      <c r="R19" s="53"/>
      <c r="S19" s="61"/>
      <c r="U19" s="51" t="s">
        <v>499</v>
      </c>
      <c r="V19" s="51" t="str">
        <f>IF(AND($P$8&gt;0.5),"muito alto","erro")</f>
        <v>erro</v>
      </c>
      <c r="W19" s="596"/>
      <c r="X19" s="94"/>
      <c r="Y19" s="76">
        <v>0.8</v>
      </c>
      <c r="AB19" s="25"/>
      <c r="AC19" s="25"/>
      <c r="AD19" s="25"/>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56.097560975609753</v>
      </c>
      <c r="H20" s="63" t="s">
        <v>52</v>
      </c>
      <c r="I20" s="60">
        <f>P21</f>
        <v>47.5</v>
      </c>
      <c r="M20" s="364"/>
      <c r="N20" s="453"/>
      <c r="O20" s="51" t="s">
        <v>19</v>
      </c>
      <c r="P20" s="56">
        <v>27.5</v>
      </c>
      <c r="Q20" s="57" t="s">
        <v>23</v>
      </c>
      <c r="R20" s="53"/>
      <c r="U20" s="25"/>
      <c r="V20" s="25"/>
      <c r="W20" s="25"/>
      <c r="X20" s="25"/>
      <c r="Y20" s="76">
        <v>0.9</v>
      </c>
      <c r="AB20" s="25"/>
      <c r="AC20" s="25"/>
      <c r="AD20" s="25"/>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25"/>
      <c r="V21" s="25"/>
      <c r="W21" s="25"/>
      <c r="X21" s="25"/>
      <c r="Y21" s="76">
        <v>1</v>
      </c>
      <c r="AB21" s="25"/>
      <c r="AC21" s="25"/>
      <c r="AD21" s="25"/>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2</v>
      </c>
      <c r="D22" s="63" t="s">
        <v>79</v>
      </c>
      <c r="E22" s="63">
        <f>P13</f>
        <v>21</v>
      </c>
      <c r="F22" s="63" t="s">
        <v>84</v>
      </c>
      <c r="G22" s="63">
        <f>P14</f>
        <v>0.04</v>
      </c>
      <c r="H22" s="63" t="s">
        <v>86</v>
      </c>
      <c r="I22" s="63">
        <f>P19</f>
        <v>20.100000000000001</v>
      </c>
      <c r="M22" s="364"/>
      <c r="N22" s="453"/>
      <c r="O22" s="51" t="s">
        <v>20</v>
      </c>
      <c r="P22" s="56">
        <v>25</v>
      </c>
      <c r="Q22" s="57" t="s">
        <v>23</v>
      </c>
      <c r="R22" s="53"/>
      <c r="X22" s="25"/>
      <c r="Y22" s="25"/>
      <c r="Z22" s="25"/>
      <c r="AA22" s="25"/>
      <c r="AB22" s="25"/>
      <c r="AC22" s="25"/>
      <c r="AD22" s="25"/>
      <c r="AO22" s="47"/>
      <c r="AP22" s="47"/>
      <c r="AQ22" s="47"/>
      <c r="AR22" s="47"/>
      <c r="AS22" s="47"/>
      <c r="AT22" s="47"/>
      <c r="AU22" s="47"/>
      <c r="AV22" s="47"/>
      <c r="AW22" s="47"/>
      <c r="AX22" s="47"/>
      <c r="AY22" s="47"/>
      <c r="AZ22" s="47"/>
      <c r="BA22" s="47"/>
      <c r="BB22" s="47"/>
    </row>
    <row r="23" spans="2:54" ht="20.25" customHeight="1" x14ac:dyDescent="0.25">
      <c r="B23" s="64" t="s">
        <v>82</v>
      </c>
      <c r="C23" s="65">
        <f>P7</f>
        <v>1</v>
      </c>
      <c r="D23" s="63" t="s">
        <v>129</v>
      </c>
      <c r="E23" s="63">
        <f>P11</f>
        <v>2.7</v>
      </c>
      <c r="F23" s="63" t="s">
        <v>87</v>
      </c>
      <c r="G23" s="63">
        <f>P16</f>
        <v>4</v>
      </c>
      <c r="H23" s="63" t="s">
        <v>83</v>
      </c>
      <c r="I23" s="63">
        <f>P15</f>
        <v>20</v>
      </c>
      <c r="J23" s="66"/>
      <c r="M23" s="364"/>
      <c r="N23" s="453"/>
      <c r="O23" s="51" t="s">
        <v>21</v>
      </c>
      <c r="P23" s="32">
        <v>47.6</v>
      </c>
      <c r="Q23" s="51" t="s">
        <v>10</v>
      </c>
      <c r="R23" s="53"/>
      <c r="U23" s="25"/>
      <c r="V23" s="25"/>
      <c r="W23" s="25"/>
      <c r="X23" s="25"/>
      <c r="Y23" s="25"/>
      <c r="Z23" s="25"/>
      <c r="AA23" s="25"/>
      <c r="AB23" s="25"/>
      <c r="AC23" s="25"/>
      <c r="AD23" s="25"/>
      <c r="AO23" s="47"/>
      <c r="AP23" s="47"/>
      <c r="AQ23" s="47"/>
      <c r="AR23" s="47"/>
      <c r="AS23" s="47"/>
      <c r="AT23" s="47"/>
      <c r="AU23" s="47"/>
      <c r="AV23" s="47"/>
      <c r="AW23" s="47"/>
      <c r="AX23" s="47"/>
      <c r="AY23" s="47"/>
      <c r="AZ23" s="47"/>
      <c r="BA23" s="47"/>
      <c r="BB23" s="47"/>
    </row>
    <row r="24" spans="2:54" ht="20.25" customHeight="1" x14ac:dyDescent="0.25">
      <c r="B24" s="64" t="s">
        <v>80</v>
      </c>
      <c r="C24" s="65">
        <f>P8</f>
        <v>0.01</v>
      </c>
      <c r="D24" s="63" t="s">
        <v>130</v>
      </c>
      <c r="E24" s="63">
        <f>P10</f>
        <v>0.1</v>
      </c>
      <c r="F24" s="63" t="s">
        <v>89</v>
      </c>
      <c r="G24" s="63">
        <f>P17</f>
        <v>58.4</v>
      </c>
      <c r="H24" s="63" t="s">
        <v>131</v>
      </c>
      <c r="I24" s="63">
        <f>P25</f>
        <v>6.15</v>
      </c>
      <c r="J24" s="66"/>
      <c r="M24" s="364"/>
      <c r="N24" s="453"/>
      <c r="O24" s="51" t="s">
        <v>22</v>
      </c>
      <c r="P24" s="63">
        <f>100*(P6+P7+P8+P9)/P25</f>
        <v>56.097560975609753</v>
      </c>
      <c r="Q24" s="51" t="s">
        <v>23</v>
      </c>
      <c r="R24" s="53"/>
      <c r="AO24" s="47"/>
      <c r="AP24" s="47"/>
      <c r="AQ24" s="47"/>
      <c r="AR24" s="47"/>
      <c r="AS24" s="59">
        <f>AS26-(SUM(AS27:AS36))</f>
        <v>1.1998386206896552</v>
      </c>
      <c r="AT24" s="59">
        <f t="shared" ref="AT24:AV24" si="3">AT26-(SUM(AT27:AT36))</f>
        <v>-1.6137931034482757E-4</v>
      </c>
      <c r="AU24" s="59">
        <f t="shared" si="3"/>
        <v>-3.1034482758620692E-4</v>
      </c>
      <c r="AV24" s="59">
        <f t="shared" si="3"/>
        <v>-3.4758620689655179E-5</v>
      </c>
      <c r="AW24" s="47"/>
      <c r="AX24" s="47"/>
      <c r="AY24" s="47"/>
      <c r="AZ24" s="47"/>
      <c r="BA24" s="47"/>
      <c r="BB24" s="47"/>
    </row>
    <row r="25" spans="2:54" ht="20.25" customHeight="1" thickBot="1" x14ac:dyDescent="0.3">
      <c r="J25" s="66"/>
      <c r="M25" s="364"/>
      <c r="N25" s="453"/>
      <c r="O25" s="51" t="s">
        <v>24</v>
      </c>
      <c r="P25" s="67">
        <f>(P6+P7+P8+P9+P11)</f>
        <v>6.15</v>
      </c>
      <c r="Q25" s="51" t="s">
        <v>55</v>
      </c>
      <c r="R25" s="53"/>
      <c r="U25" s="458" t="s">
        <v>65</v>
      </c>
      <c r="V25" s="458"/>
      <c r="X25" s="457" t="s">
        <v>507</v>
      </c>
      <c r="Y25" s="457"/>
      <c r="AA25" s="457" t="s">
        <v>508</v>
      </c>
      <c r="AB25" s="457"/>
      <c r="AC25" s="457"/>
      <c r="AD25" s="457"/>
      <c r="AF25" s="457" t="s">
        <v>509</v>
      </c>
      <c r="AG25" s="457"/>
      <c r="AH25" s="457"/>
      <c r="AI25" s="457"/>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78" t="s">
        <v>33</v>
      </c>
      <c r="V26" s="78">
        <f>VLOOKUP($P$39,$X$27:$Y$30,2,0)/$E$18</f>
        <v>72</v>
      </c>
      <c r="W26" s="25"/>
      <c r="X26" s="51" t="s">
        <v>32</v>
      </c>
      <c r="Y26" s="51" t="s">
        <v>512</v>
      </c>
      <c r="AA26" s="51" t="s">
        <v>32</v>
      </c>
      <c r="AB26" s="51" t="s">
        <v>75</v>
      </c>
      <c r="AC26" s="51" t="s">
        <v>71</v>
      </c>
      <c r="AD26" s="51" t="s">
        <v>513</v>
      </c>
      <c r="AF26" s="51" t="s">
        <v>32</v>
      </c>
      <c r="AG26" s="51" t="s">
        <v>75</v>
      </c>
      <c r="AH26" s="51" t="s">
        <v>71</v>
      </c>
      <c r="AI26" s="51" t="s">
        <v>514</v>
      </c>
      <c r="AO26" s="47"/>
      <c r="AP26" s="461"/>
      <c r="AQ26" s="461"/>
      <c r="AR26" s="461"/>
      <c r="AS26" s="72">
        <f>AK9</f>
        <v>1.2</v>
      </c>
      <c r="AT26" s="72">
        <f>AK12</f>
        <v>0</v>
      </c>
      <c r="AU26" s="72">
        <f>AK15</f>
        <v>0</v>
      </c>
      <c r="AV26" s="72">
        <f>AK18</f>
        <v>0</v>
      </c>
      <c r="AW26" s="47"/>
      <c r="AX26" s="47"/>
      <c r="AY26" s="47"/>
      <c r="AZ26" s="47"/>
      <c r="BA26" s="47"/>
      <c r="BB26" s="47"/>
    </row>
    <row r="27" spans="2:54" ht="20.25" customHeight="1" thickBot="1" x14ac:dyDescent="0.3">
      <c r="B27" s="488" t="str">
        <f>IF($O$47&gt;0,$O$47,"-")</f>
        <v>BRICCAL Calcítico</v>
      </c>
      <c r="C27" s="488"/>
      <c r="D27" s="73">
        <f>IF(J27&gt;0,J27,"-")</f>
        <v>0.53277666999003015</v>
      </c>
      <c r="E27" s="365" t="str">
        <f>IF(J27&gt;0,"toneladas por hectare ou,","-")</f>
        <v>toneladas por hectare ou,</v>
      </c>
      <c r="F27" s="365"/>
      <c r="G27" s="365"/>
      <c r="H27" s="365"/>
      <c r="I27" s="365"/>
      <c r="J27" s="74">
        <f>V51</f>
        <v>0.53277666999003015</v>
      </c>
      <c r="U27" s="78" t="s">
        <v>66</v>
      </c>
      <c r="V27" s="78">
        <f>VLOOKUP(U32,AC27:AD38,2,0)/$E$18</f>
        <v>36</v>
      </c>
      <c r="W27" s="25"/>
      <c r="X27" s="75" t="s">
        <v>518</v>
      </c>
      <c r="Y27" s="75">
        <v>50000</v>
      </c>
      <c r="AA27" s="75" t="s">
        <v>518</v>
      </c>
      <c r="AB27" s="75" t="s">
        <v>68</v>
      </c>
      <c r="AC27" s="75" t="str">
        <f>CONCATENATE(AA27," - ",AB27)</f>
        <v>&lt;15 - baixo</v>
      </c>
      <c r="AD27" s="75">
        <v>50000</v>
      </c>
      <c r="AF27" s="75" t="s">
        <v>518</v>
      </c>
      <c r="AG27" s="75" t="s">
        <v>504</v>
      </c>
      <c r="AH27" s="75" t="str">
        <f>CONCATENATE(AF27," - ",AG27)</f>
        <v>&lt;15 - muito baixo</v>
      </c>
      <c r="AI27" s="75">
        <v>100000</v>
      </c>
      <c r="AO27" s="47"/>
      <c r="AP27" s="447" t="s">
        <v>261</v>
      </c>
      <c r="AQ27" s="447" t="str">
        <f>B29</f>
        <v>Remax Mistel (61) 99414-1975</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20.25" customHeight="1" x14ac:dyDescent="0.25">
      <c r="B28" s="488"/>
      <c r="C28" s="488"/>
      <c r="D28" s="73">
        <f>IF(J28&gt;0,J28,"-")</f>
        <v>5.3277666999003014E-2</v>
      </c>
      <c r="E28" s="365" t="str">
        <f>IF(J28&gt;0,"quilos por metro quadrado","-")</f>
        <v>quilos por metro quadrado</v>
      </c>
      <c r="F28" s="365"/>
      <c r="G28" s="365"/>
      <c r="H28" s="365"/>
      <c r="I28" s="365"/>
      <c r="J28" s="74">
        <f>J27/10</f>
        <v>5.3277666999003014E-2</v>
      </c>
      <c r="M28" s="115"/>
      <c r="N28" s="116"/>
      <c r="O28" s="116"/>
      <c r="P28" s="116"/>
      <c r="Q28" s="116"/>
      <c r="R28" s="117"/>
      <c r="U28" s="78" t="s">
        <v>67</v>
      </c>
      <c r="V28" s="78">
        <f>VLOOKUP($U$35,AH27:AI46,2,0)/$E$18</f>
        <v>150</v>
      </c>
      <c r="W28" s="25"/>
      <c r="X28" s="75" t="s">
        <v>515</v>
      </c>
      <c r="Y28" s="75">
        <v>70000</v>
      </c>
      <c r="AA28" s="75" t="s">
        <v>518</v>
      </c>
      <c r="AB28" s="75" t="s">
        <v>332</v>
      </c>
      <c r="AC28" s="75" t="str">
        <f>CONCATENATE(AA28," - ",AB28)</f>
        <v>&lt;15 - médio</v>
      </c>
      <c r="AD28" s="75">
        <v>30000</v>
      </c>
      <c r="AF28" s="75" t="s">
        <v>518</v>
      </c>
      <c r="AG28" s="75" t="s">
        <v>68</v>
      </c>
      <c r="AH28" s="75" t="str">
        <f>CONCATENATE(AF28," - ",AG28)</f>
        <v>&lt;15 - baixo</v>
      </c>
      <c r="AI28" s="75">
        <v>90000</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20.25" customHeight="1" x14ac:dyDescent="0.25">
      <c r="B29" s="488" t="str">
        <f>IF($O$50&gt;0,$O$50,"-")</f>
        <v>Remax Mistel (61) 99414-1975</v>
      </c>
      <c r="C29" s="488"/>
      <c r="D29" s="73">
        <f>IF(J29&gt;0,J29,"-")</f>
        <v>1.0291509609077047</v>
      </c>
      <c r="E29" s="365" t="str">
        <f>IF(J29&gt;0,"toneladas por hectare ou,","-")</f>
        <v>toneladas por hectare ou,</v>
      </c>
      <c r="F29" s="365"/>
      <c r="G29" s="365"/>
      <c r="H29" s="365"/>
      <c r="I29" s="365"/>
      <c r="J29" s="74">
        <f>Z49</f>
        <v>1.0291509609077047</v>
      </c>
      <c r="M29" s="600" t="s">
        <v>211</v>
      </c>
      <c r="N29" s="601"/>
      <c r="O29" s="599" t="s">
        <v>197</v>
      </c>
      <c r="P29" s="599"/>
      <c r="Q29" s="599"/>
      <c r="R29" s="118"/>
      <c r="W29" s="25"/>
      <c r="X29" s="75" t="s">
        <v>516</v>
      </c>
      <c r="Y29" s="75">
        <v>90000</v>
      </c>
      <c r="AA29" s="75" t="s">
        <v>518</v>
      </c>
      <c r="AB29" s="75" t="s">
        <v>70</v>
      </c>
      <c r="AC29" s="75" t="str">
        <f>CONCATENATE(AA29," - ",AB29)</f>
        <v>&lt;15 - adequado</v>
      </c>
      <c r="AD29" s="75">
        <v>20000</v>
      </c>
      <c r="AF29" s="75" t="s">
        <v>518</v>
      </c>
      <c r="AG29" s="75" t="s">
        <v>332</v>
      </c>
      <c r="AH29" s="75" t="str">
        <f>CONCATENATE(AF29," - ",AG29)</f>
        <v>&lt;15 - médio</v>
      </c>
      <c r="AI29" s="75">
        <v>70000</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20.25" customHeight="1" x14ac:dyDescent="0.25">
      <c r="B30" s="488"/>
      <c r="C30" s="488"/>
      <c r="D30" s="73">
        <f>IF(J30&gt;0,J30,"-")</f>
        <v>0.10291509609077047</v>
      </c>
      <c r="E30" s="365" t="str">
        <f>IF(J30&gt;0,"quilos por metro quadrado","-")</f>
        <v>quilos por metro quadrado</v>
      </c>
      <c r="F30" s="365"/>
      <c r="G30" s="365"/>
      <c r="H30" s="365"/>
      <c r="I30" s="365"/>
      <c r="J30" s="74">
        <f>J29/10</f>
        <v>0.10291509609077047</v>
      </c>
      <c r="M30" s="600"/>
      <c r="N30" s="601"/>
      <c r="O30" s="121">
        <v>2</v>
      </c>
      <c r="P30" s="119" t="s">
        <v>200</v>
      </c>
      <c r="Q30" s="121">
        <v>3</v>
      </c>
      <c r="R30" s="118"/>
      <c r="W30" s="25"/>
      <c r="X30" s="75" t="s">
        <v>517</v>
      </c>
      <c r="Y30" s="75">
        <v>120000</v>
      </c>
      <c r="AA30" s="75" t="s">
        <v>515</v>
      </c>
      <c r="AB30" s="75" t="s">
        <v>68</v>
      </c>
      <c r="AC30" s="75" t="str">
        <f t="shared" ref="AC30:AC38" si="9">CONCATENATE(AA30," - ",AB30)</f>
        <v>15-25 - baixo</v>
      </c>
      <c r="AD30" s="75">
        <v>90000</v>
      </c>
      <c r="AF30" s="75" t="s">
        <v>518</v>
      </c>
      <c r="AG30" s="75" t="s">
        <v>70</v>
      </c>
      <c r="AH30" s="75" t="str">
        <f>CONCATENATE(AF30," - ",AG30)</f>
        <v>&lt;15 - adequado</v>
      </c>
      <c r="AI30" s="75">
        <v>50000</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20.25" customHeight="1" x14ac:dyDescent="0.25">
      <c r="B31" s="514" t="s">
        <v>533</v>
      </c>
      <c r="C31" s="514"/>
      <c r="D31" s="514"/>
      <c r="E31" s="514"/>
      <c r="F31" s="514"/>
      <c r="G31" s="514"/>
      <c r="H31" s="514"/>
      <c r="I31" s="514"/>
      <c r="J31" s="74"/>
      <c r="M31" s="600"/>
      <c r="N31" s="602"/>
      <c r="O31" s="87"/>
      <c r="P31" s="87"/>
      <c r="Q31" s="87"/>
      <c r="R31" s="118"/>
      <c r="U31" s="457" t="s">
        <v>72</v>
      </c>
      <c r="V31" s="457"/>
      <c r="W31" s="25"/>
      <c r="AA31" s="75" t="s">
        <v>515</v>
      </c>
      <c r="AB31" s="75" t="s">
        <v>332</v>
      </c>
      <c r="AC31" s="75" t="str">
        <f>CONCATENATE(AA31," - ",AB31)</f>
        <v>15-25 - médio</v>
      </c>
      <c r="AD31" s="75">
        <v>60000</v>
      </c>
      <c r="AF31" s="75" t="s">
        <v>518</v>
      </c>
      <c r="AG31" s="75" t="s">
        <v>505</v>
      </c>
      <c r="AH31" s="75" t="str">
        <f>CONCATENATE(AF31," - ",AG31)</f>
        <v>&lt;15 - muito alto</v>
      </c>
      <c r="AI31" s="75">
        <v>0</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20.25" customHeight="1" x14ac:dyDescent="0.25">
      <c r="B32" s="514"/>
      <c r="C32" s="514"/>
      <c r="D32" s="514"/>
      <c r="E32" s="514"/>
      <c r="F32" s="514"/>
      <c r="G32" s="514"/>
      <c r="H32" s="514"/>
      <c r="I32" s="514"/>
      <c r="J32" s="74"/>
      <c r="M32" s="600"/>
      <c r="N32" s="602"/>
      <c r="O32" s="120"/>
      <c r="P32" s="120"/>
      <c r="Q32" s="120"/>
      <c r="R32" s="118"/>
      <c r="U32" s="457" t="str">
        <f>CONCATENATE($P$39," - ",$W$8)</f>
        <v>&gt;35 - adequado</v>
      </c>
      <c r="V32" s="457"/>
      <c r="W32" s="25"/>
      <c r="AA32" s="75" t="s">
        <v>515</v>
      </c>
      <c r="AB32" s="75" t="s">
        <v>70</v>
      </c>
      <c r="AC32" s="75" t="str">
        <f t="shared" si="9"/>
        <v>15-25 - adequado</v>
      </c>
      <c r="AD32" s="75">
        <v>40000</v>
      </c>
      <c r="AF32" s="75" t="s">
        <v>515</v>
      </c>
      <c r="AG32" s="75" t="s">
        <v>504</v>
      </c>
      <c r="AH32" s="75" t="str">
        <f t="shared" ref="AH32:AH46" si="10">CONCATENATE(AF32," - ",AG32)</f>
        <v>15-25 - muito baixo</v>
      </c>
      <c r="AI32" s="75">
        <v>160000</v>
      </c>
      <c r="AO32" s="47"/>
      <c r="AP32" s="447"/>
      <c r="AQ32" s="447" t="str">
        <f t="shared" si="8"/>
        <v>EkoSil</v>
      </c>
      <c r="AR32" s="447"/>
      <c r="AS32" s="55">
        <f t="shared" si="4"/>
        <v>1.6137931034482757E-4</v>
      </c>
      <c r="AT32" s="55">
        <f t="shared" si="5"/>
        <v>1.6137931034482757E-4</v>
      </c>
      <c r="AU32" s="55">
        <f t="shared" si="6"/>
        <v>3.1034482758620692E-4</v>
      </c>
      <c r="AV32" s="55">
        <f t="shared" si="7"/>
        <v>3.4758620689655179E-5</v>
      </c>
      <c r="AW32" s="47"/>
      <c r="AX32" s="47"/>
      <c r="AY32" s="47"/>
      <c r="AZ32" s="47"/>
      <c r="BA32" s="47"/>
      <c r="BB32" s="47"/>
    </row>
    <row r="33" spans="2:57" ht="20.25" customHeight="1" thickBot="1" x14ac:dyDescent="0.3">
      <c r="B33" s="515"/>
      <c r="C33" s="515"/>
      <c r="D33" s="515"/>
      <c r="E33" s="515"/>
      <c r="F33" s="515"/>
      <c r="G33" s="515"/>
      <c r="H33" s="515"/>
      <c r="I33" s="515"/>
      <c r="J33" s="74"/>
      <c r="M33" s="600"/>
      <c r="N33" s="601"/>
      <c r="O33" s="599" t="s">
        <v>282</v>
      </c>
      <c r="P33" s="599"/>
      <c r="Q33" s="599"/>
      <c r="R33" s="118"/>
      <c r="W33" s="25"/>
      <c r="AA33" s="75" t="s">
        <v>516</v>
      </c>
      <c r="AB33" s="75" t="s">
        <v>68</v>
      </c>
      <c r="AC33" s="75" t="str">
        <f t="shared" si="9"/>
        <v>25-35 - baixo</v>
      </c>
      <c r="AD33" s="75">
        <v>120000</v>
      </c>
      <c r="AF33" s="75" t="s">
        <v>515</v>
      </c>
      <c r="AG33" s="75" t="s">
        <v>68</v>
      </c>
      <c r="AH33" s="75" t="str">
        <f t="shared" si="10"/>
        <v>15-25 - baixo</v>
      </c>
      <c r="AI33" s="75">
        <v>120000</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600"/>
      <c r="N34" s="601"/>
      <c r="O34" s="598">
        <v>1</v>
      </c>
      <c r="P34" s="598"/>
      <c r="Q34" s="598"/>
      <c r="R34" s="118"/>
      <c r="U34" s="457" t="s">
        <v>73</v>
      </c>
      <c r="V34" s="457"/>
      <c r="W34" s="25"/>
      <c r="AA34" s="75" t="s">
        <v>516</v>
      </c>
      <c r="AB34" s="75" t="s">
        <v>332</v>
      </c>
      <c r="AC34" s="75" t="str">
        <f t="shared" si="9"/>
        <v>25-35 - médio</v>
      </c>
      <c r="AD34" s="75">
        <v>80000</v>
      </c>
      <c r="AF34" s="75" t="s">
        <v>515</v>
      </c>
      <c r="AG34" s="75" t="s">
        <v>332</v>
      </c>
      <c r="AH34" s="75" t="str">
        <f t="shared" si="10"/>
        <v>15-25 - médio</v>
      </c>
      <c r="AI34" s="75">
        <v>90000</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20.25" customHeight="1" thickBot="1" x14ac:dyDescent="0.3">
      <c r="B35" s="488" t="str">
        <f>IF($O$55&gt;0,$O$55,"-")</f>
        <v>Gesso Agronelli</v>
      </c>
      <c r="C35" s="488"/>
      <c r="D35" s="73">
        <f>IF(J34&gt;0,J34,"-")</f>
        <v>356.25</v>
      </c>
      <c r="E35" s="365" t="str">
        <f>IF(J34&gt;0,"quilos por hectare ou,","-")</f>
        <v>quilos por hectare ou,</v>
      </c>
      <c r="F35" s="365"/>
      <c r="G35" s="365"/>
      <c r="H35" s="365"/>
      <c r="I35" s="365"/>
      <c r="J35" s="81">
        <f>J34/10</f>
        <v>35.625</v>
      </c>
      <c r="M35" s="122"/>
      <c r="N35" s="123"/>
      <c r="O35" s="123"/>
      <c r="P35" s="83">
        <f>10000/($O$30*$Q$30)</f>
        <v>1666.6666666666667</v>
      </c>
      <c r="Q35" s="83" t="e">
        <f>10000/((($O$32/2)+($P$32/2))*$Q$32)</f>
        <v>#DIV/0!</v>
      </c>
      <c r="R35" s="124"/>
      <c r="U35" s="457" t="str">
        <f>CONCATENATE($P$39," - ",$W$18)</f>
        <v>&gt;35 - muito baixo</v>
      </c>
      <c r="V35" s="457"/>
      <c r="W35" s="25"/>
      <c r="AA35" s="75" t="s">
        <v>516</v>
      </c>
      <c r="AB35" s="75" t="s">
        <v>70</v>
      </c>
      <c r="AC35" s="75" t="str">
        <f t="shared" si="9"/>
        <v>25-35 - adequado</v>
      </c>
      <c r="AD35" s="75">
        <v>50000</v>
      </c>
      <c r="AF35" s="75" t="s">
        <v>515</v>
      </c>
      <c r="AG35" s="75" t="s">
        <v>70</v>
      </c>
      <c r="AH35" s="75" t="str">
        <f t="shared" si="10"/>
        <v>15-25 - adequado</v>
      </c>
      <c r="AI35" s="75">
        <v>70000</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25"/>
      <c r="V36" s="25"/>
      <c r="W36" s="25"/>
      <c r="AA36" s="75" t="s">
        <v>517</v>
      </c>
      <c r="AB36" s="75" t="s">
        <v>68</v>
      </c>
      <c r="AC36" s="75" t="str">
        <f t="shared" si="9"/>
        <v>&gt;35 - baixo</v>
      </c>
      <c r="AD36" s="75">
        <v>150000</v>
      </c>
      <c r="AF36" s="75" t="s">
        <v>515</v>
      </c>
      <c r="AG36" s="75" t="s">
        <v>505</v>
      </c>
      <c r="AH36" s="75" t="str">
        <f t="shared" si="10"/>
        <v>15-25 - muito alto</v>
      </c>
      <c r="AI36" s="75">
        <v>0</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AA37" s="75" t="s">
        <v>517</v>
      </c>
      <c r="AB37" s="75" t="s">
        <v>332</v>
      </c>
      <c r="AC37" s="75" t="str">
        <f t="shared" si="9"/>
        <v>&gt;35 - médio</v>
      </c>
      <c r="AD37" s="75">
        <v>100000</v>
      </c>
      <c r="AF37" s="75" t="s">
        <v>516</v>
      </c>
      <c r="AG37" s="75" t="s">
        <v>504</v>
      </c>
      <c r="AH37" s="75" t="str">
        <f t="shared" si="10"/>
        <v>25-35 - muito baixo</v>
      </c>
      <c r="AI37" s="75">
        <v>200000</v>
      </c>
      <c r="AO37" s="85"/>
      <c r="AP37" s="85"/>
      <c r="AQ37" s="85"/>
      <c r="AR37" s="85"/>
      <c r="AS37" s="59">
        <f>IF(AS24&gt;0,AS24,0)</f>
        <v>1.1998386206896552</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301</v>
      </c>
      <c r="P38" s="489"/>
      <c r="Q38" s="489"/>
      <c r="R38" s="53"/>
      <c r="U38" s="51" t="s">
        <v>63</v>
      </c>
      <c r="AA38" s="75" t="s">
        <v>517</v>
      </c>
      <c r="AB38" s="75" t="s">
        <v>70</v>
      </c>
      <c r="AC38" s="75" t="str">
        <f t="shared" si="9"/>
        <v>&gt;35 - adequado</v>
      </c>
      <c r="AD38" s="75">
        <v>60000</v>
      </c>
      <c r="AF38" s="75" t="s">
        <v>516</v>
      </c>
      <c r="AG38" s="75" t="s">
        <v>68</v>
      </c>
      <c r="AH38" s="75" t="str">
        <f t="shared" si="10"/>
        <v>25-35 - baixo</v>
      </c>
      <c r="AI38" s="75">
        <v>160000</v>
      </c>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102.85714285714286</v>
      </c>
      <c r="M39" s="364"/>
      <c r="N39" s="365"/>
      <c r="O39" s="51" t="s">
        <v>303</v>
      </c>
      <c r="P39" s="448" t="s">
        <v>517</v>
      </c>
      <c r="Q39" s="448"/>
      <c r="R39" s="53"/>
      <c r="U39" s="51" t="s">
        <v>32</v>
      </c>
      <c r="AF39" s="75" t="s">
        <v>516</v>
      </c>
      <c r="AG39" s="75" t="s">
        <v>332</v>
      </c>
      <c r="AH39" s="75" t="str">
        <f t="shared" si="10"/>
        <v>25-35 - médio</v>
      </c>
      <c r="AI39" s="75">
        <v>120000</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t="str">
        <f>IF(AQ59&gt;0,AQ59,"-")</f>
        <v>-</v>
      </c>
      <c r="E40" s="362" t="str">
        <f>IF(AQ59&gt;0,"quilos por cova ou planta","-")</f>
        <v>-</v>
      </c>
      <c r="F40" s="362"/>
      <c r="G40" s="362"/>
      <c r="H40" s="362"/>
      <c r="I40" s="362"/>
      <c r="J40" s="81">
        <f>AV7</f>
        <v>100</v>
      </c>
      <c r="M40" s="364"/>
      <c r="N40" s="365"/>
      <c r="O40" s="25"/>
      <c r="P40" s="25"/>
      <c r="Q40" s="25"/>
      <c r="R40" s="53"/>
      <c r="U40" s="51" t="s">
        <v>34</v>
      </c>
      <c r="AF40" s="75" t="s">
        <v>516</v>
      </c>
      <c r="AG40" s="75" t="s">
        <v>70</v>
      </c>
      <c r="AH40" s="75" t="str">
        <f t="shared" si="10"/>
        <v>25-35 - adequado</v>
      </c>
      <c r="AI40" s="75">
        <v>80000</v>
      </c>
      <c r="AO40" s="47"/>
      <c r="AP40" s="447" t="str">
        <f>O105</f>
        <v>Ácido Bórico</v>
      </c>
      <c r="AQ40" s="447"/>
      <c r="AR40" s="55">
        <f>IFERROR($AS$37/((VLOOKUP(AP40,$V$100:$AO$179,11,0)*0.01)),0)</f>
        <v>6.8562206896551716</v>
      </c>
      <c r="AS40" s="55">
        <f>IFERROR($AT$37/((VLOOKUP(AP40,$V$100:$AO$179,14,0)*0.01)),0)</f>
        <v>0</v>
      </c>
      <c r="AT40" s="55">
        <f>IFERROR($AU$37/((VLOOKUP(AP40,$V$100:$AO$179,12,0)*0.01)),0)</f>
        <v>0</v>
      </c>
      <c r="AU40" s="55">
        <f>IFERROR($AV$37/((VLOOKUP(AP40,$V$100:$AO$179,13,0)*0.01)),0)</f>
        <v>0</v>
      </c>
      <c r="AV40" s="55">
        <f>MAX(AR40:AU40)</f>
        <v>6.8562206896551716</v>
      </c>
      <c r="AW40" s="55">
        <f>IFERROR(AV40*(VLOOKUP(AP40,$V$100:$AO$179,11,0)*0.01),0)</f>
        <v>1.1998386206896552</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f t="shared" ref="D41:D49" si="11">IF(J39&gt;0,J39,"-")</f>
        <v>102.85714285714286</v>
      </c>
      <c r="E41" s="365" t="str">
        <f t="shared" ref="E41:E49" si="12">IF(J39&gt;0,"gramas por planta","-")</f>
        <v>gramas por planta</v>
      </c>
      <c r="F41" s="365"/>
      <c r="G41" s="365"/>
      <c r="H41" s="365"/>
      <c r="I41" s="365"/>
      <c r="J41" s="81">
        <f>AV8</f>
        <v>0</v>
      </c>
      <c r="M41" s="364"/>
      <c r="N41" s="365"/>
      <c r="O41" s="489" t="s">
        <v>308</v>
      </c>
      <c r="P41" s="489"/>
      <c r="Q41" s="489"/>
      <c r="R41" s="53"/>
      <c r="U41" s="51">
        <v>30</v>
      </c>
      <c r="AF41" s="75" t="s">
        <v>516</v>
      </c>
      <c r="AG41" s="75" t="s">
        <v>505</v>
      </c>
      <c r="AH41" s="75" t="str">
        <f t="shared" si="10"/>
        <v>25-35 - muito alto</v>
      </c>
      <c r="AI41" s="75">
        <v>0</v>
      </c>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3">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f t="shared" si="11"/>
        <v>100</v>
      </c>
      <c r="E42" s="365" t="str">
        <f t="shared" si="12"/>
        <v>gramas por planta</v>
      </c>
      <c r="F42" s="365"/>
      <c r="G42" s="365"/>
      <c r="H42" s="365"/>
      <c r="I42" s="365"/>
      <c r="J42" s="81">
        <f>AV12</f>
        <v>125</v>
      </c>
      <c r="M42" s="364"/>
      <c r="N42" s="365"/>
      <c r="O42" s="483" t="s">
        <v>292</v>
      </c>
      <c r="P42" s="513"/>
      <c r="Q42" s="484"/>
      <c r="R42" s="53"/>
      <c r="U42" s="51">
        <v>60</v>
      </c>
      <c r="AF42" s="75" t="s">
        <v>517</v>
      </c>
      <c r="AG42" s="75" t="s">
        <v>504</v>
      </c>
      <c r="AH42" s="75" t="str">
        <f t="shared" si="10"/>
        <v>&gt;35 - muito baixo</v>
      </c>
      <c r="AI42" s="75">
        <v>250000</v>
      </c>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3"/>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1"/>
        <v>-</v>
      </c>
      <c r="E43" s="365" t="str">
        <f t="shared" si="12"/>
        <v>-</v>
      </c>
      <c r="F43" s="365"/>
      <c r="G43" s="365"/>
      <c r="H43" s="365"/>
      <c r="I43" s="365"/>
      <c r="J43" s="81">
        <f>AV13</f>
        <v>937.5</v>
      </c>
      <c r="M43" s="69"/>
      <c r="N43" s="70"/>
      <c r="O43" s="70"/>
      <c r="P43" s="70"/>
      <c r="Q43" s="70"/>
      <c r="R43" s="71"/>
      <c r="U43" s="51">
        <v>120</v>
      </c>
      <c r="AF43" s="75" t="s">
        <v>517</v>
      </c>
      <c r="AG43" s="75" t="s">
        <v>68</v>
      </c>
      <c r="AH43" s="75" t="str">
        <f t="shared" si="10"/>
        <v>&gt;35 - baixo</v>
      </c>
      <c r="AI43" s="75">
        <v>200000</v>
      </c>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3"/>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1"/>
        <v>125</v>
      </c>
      <c r="E44" s="365" t="str">
        <f t="shared" si="12"/>
        <v>gramas por planta</v>
      </c>
      <c r="F44" s="365"/>
      <c r="G44" s="365"/>
      <c r="H44" s="365"/>
      <c r="I44" s="365"/>
      <c r="J44" s="81">
        <f>AV14</f>
        <v>0</v>
      </c>
      <c r="M44" s="362"/>
      <c r="N44" s="362"/>
      <c r="O44" s="362"/>
      <c r="P44" s="362"/>
      <c r="Q44" s="362"/>
      <c r="R44" s="362"/>
      <c r="AF44" s="75" t="s">
        <v>517</v>
      </c>
      <c r="AG44" s="75" t="s">
        <v>332</v>
      </c>
      <c r="AH44" s="75" t="str">
        <f t="shared" si="10"/>
        <v>&gt;35 - médio</v>
      </c>
      <c r="AI44" s="75">
        <v>150000</v>
      </c>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1"/>
        <v>937.5</v>
      </c>
      <c r="E45" s="365" t="str">
        <f t="shared" si="12"/>
        <v>gramas por planta</v>
      </c>
      <c r="F45" s="365"/>
      <c r="G45" s="365"/>
      <c r="H45" s="365"/>
      <c r="I45" s="365"/>
      <c r="J45" s="81">
        <f>AV18</f>
        <v>248.27586206896552</v>
      </c>
      <c r="M45" s="48"/>
      <c r="N45" s="49"/>
      <c r="O45" s="499" t="s">
        <v>305</v>
      </c>
      <c r="P45" s="500"/>
      <c r="Q45" s="501"/>
      <c r="R45" s="50"/>
      <c r="U45" s="459" t="s">
        <v>108</v>
      </c>
      <c r="V45" s="460"/>
      <c r="X45" s="457" t="s">
        <v>202</v>
      </c>
      <c r="Y45" s="457"/>
      <c r="Z45" s="457"/>
      <c r="AF45" s="75" t="s">
        <v>517</v>
      </c>
      <c r="AG45" s="75" t="s">
        <v>70</v>
      </c>
      <c r="AH45" s="75" t="str">
        <f t="shared" si="10"/>
        <v>&gt;35 - adequado</v>
      </c>
      <c r="AI45" s="75">
        <v>100000</v>
      </c>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1"/>
        <v>-</v>
      </c>
      <c r="E46" s="365" t="str">
        <f t="shared" si="12"/>
        <v>-</v>
      </c>
      <c r="F46" s="365"/>
      <c r="G46" s="365"/>
      <c r="H46" s="365"/>
      <c r="I46" s="365"/>
      <c r="J46" s="81">
        <f>AV19</f>
        <v>0</v>
      </c>
      <c r="M46" s="364" t="s">
        <v>213</v>
      </c>
      <c r="N46" s="365"/>
      <c r="O46" s="502"/>
      <c r="P46" s="503"/>
      <c r="Q46" s="504"/>
      <c r="R46" s="53"/>
      <c r="U46" s="75" t="s">
        <v>109</v>
      </c>
      <c r="V46" s="89">
        <v>70</v>
      </c>
      <c r="X46" s="455" t="s">
        <v>268</v>
      </c>
      <c r="Y46" s="455"/>
      <c r="Z46" s="63">
        <f>IFERROR(VLOOKUP(O50,$V$87:$AE$95,10,0),0)</f>
        <v>22.778167994795901</v>
      </c>
      <c r="AF46" s="75" t="s">
        <v>517</v>
      </c>
      <c r="AG46" s="75" t="s">
        <v>505</v>
      </c>
      <c r="AH46" s="75" t="str">
        <f t="shared" si="10"/>
        <v>&gt;35 - muito alto</v>
      </c>
      <c r="AI46" s="75">
        <v>0</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1"/>
        <v>248.27586206896552</v>
      </c>
      <c r="E47" s="365" t="str">
        <f t="shared" si="12"/>
        <v>gramas por planta</v>
      </c>
      <c r="F47" s="365"/>
      <c r="G47" s="365"/>
      <c r="H47" s="365"/>
      <c r="I47" s="365"/>
      <c r="J47" s="81">
        <f>AV20</f>
        <v>0</v>
      </c>
      <c r="M47" s="364"/>
      <c r="N47" s="365"/>
      <c r="O47" s="481" t="s">
        <v>139</v>
      </c>
      <c r="P47" s="482"/>
      <c r="Q47" s="90">
        <v>0.5</v>
      </c>
      <c r="R47" s="53"/>
      <c r="U47" s="51" t="s">
        <v>111</v>
      </c>
      <c r="V47" s="63">
        <f>IFERROR((((V46-P24)*P25)/V49),0)</f>
        <v>1.0655533399800603</v>
      </c>
      <c r="X47" s="455" t="s">
        <v>203</v>
      </c>
      <c r="Y47" s="455"/>
      <c r="Z47" s="63">
        <f>IFERROR((($V$50/$Z$46)*$V$47),0)</f>
        <v>2.0583019218154095</v>
      </c>
      <c r="AO47" s="47"/>
      <c r="BA47" s="47"/>
      <c r="BB47" s="47"/>
    </row>
    <row r="48" spans="2:57" ht="20.25" customHeight="1" x14ac:dyDescent="0.25">
      <c r="B48" s="449" t="str">
        <f>IF(AQ19&gt;0,AQ19,"-")</f>
        <v>-</v>
      </c>
      <c r="C48" s="449"/>
      <c r="D48" s="87" t="str">
        <f t="shared" si="11"/>
        <v>-</v>
      </c>
      <c r="E48" s="365" t="str">
        <f t="shared" si="12"/>
        <v>-</v>
      </c>
      <c r="F48" s="365"/>
      <c r="G48" s="365"/>
      <c r="H48" s="365"/>
      <c r="I48" s="365"/>
      <c r="J48" s="91"/>
      <c r="M48" s="364"/>
      <c r="N48" s="365"/>
      <c r="O48" s="505" t="s">
        <v>306</v>
      </c>
      <c r="P48" s="506"/>
      <c r="Q48" s="507"/>
      <c r="R48" s="53"/>
      <c r="U48" s="51" t="s">
        <v>201</v>
      </c>
      <c r="V48" s="63">
        <f>IF(V47&lt;0,(0),IF(V47&gt;=0,(V47)))</f>
        <v>1.0655533399800603</v>
      </c>
      <c r="X48" s="455" t="s">
        <v>201</v>
      </c>
      <c r="Y48" s="455"/>
      <c r="Z48" s="63">
        <f>IFERROR(IF(Z47&lt;0,(0),IF(Z47&gt;=0,(Z47))),0)</f>
        <v>2.0583019218154095</v>
      </c>
    </row>
    <row r="49" spans="2:50" ht="20.25" customHeight="1" x14ac:dyDescent="0.25">
      <c r="B49" s="449" t="str">
        <f>IF(AQ20&gt;0,AQ20,"-")</f>
        <v>-</v>
      </c>
      <c r="C49" s="449"/>
      <c r="D49" s="87" t="str">
        <f t="shared" si="11"/>
        <v>-</v>
      </c>
      <c r="E49" s="365" t="str">
        <f t="shared" si="12"/>
        <v>-</v>
      </c>
      <c r="F49" s="365"/>
      <c r="G49" s="365"/>
      <c r="H49" s="365"/>
      <c r="I49" s="365"/>
      <c r="M49" s="364"/>
      <c r="N49" s="365"/>
      <c r="O49" s="502"/>
      <c r="P49" s="503"/>
      <c r="Q49" s="504"/>
      <c r="R49" s="53"/>
      <c r="U49" s="51" t="s">
        <v>110</v>
      </c>
      <c r="V49" s="63">
        <f>IFERROR(VLOOKUP($O$47,$V$56:$AA$68,5,0),0)</f>
        <v>80.239999999999995</v>
      </c>
      <c r="X49" s="455" t="s">
        <v>273</v>
      </c>
      <c r="Y49" s="455"/>
      <c r="Z49" s="63">
        <f>Z48*$Q$50</f>
        <v>1.0291509609077047</v>
      </c>
    </row>
    <row r="50" spans="2:50" ht="20.25" customHeight="1" x14ac:dyDescent="0.25">
      <c r="B50" s="476" t="s">
        <v>535</v>
      </c>
      <c r="C50" s="476"/>
      <c r="D50" s="476"/>
      <c r="E50" s="476"/>
      <c r="F50" s="476"/>
      <c r="G50" s="476"/>
      <c r="H50" s="476"/>
      <c r="I50" s="476"/>
      <c r="M50" s="364"/>
      <c r="N50" s="365"/>
      <c r="O50" s="483" t="s">
        <v>493</v>
      </c>
      <c r="P50" s="484"/>
      <c r="Q50" s="92">
        <v>0.5</v>
      </c>
      <c r="R50" s="53"/>
      <c r="U50" s="51" t="s">
        <v>193</v>
      </c>
      <c r="V50" s="63">
        <f>IFERROR(VLOOKUP($O$47,$V$56:$AA$68,6,0),0)</f>
        <v>44</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0.53277666999003015</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4">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4"/>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4"/>
        <v>3 - Composto de lixo (COL)</v>
      </c>
      <c r="AW54" s="51">
        <v>15</v>
      </c>
    </row>
    <row r="55" spans="2:50" ht="20.25" customHeight="1" x14ac:dyDescent="0.25">
      <c r="B55" s="449" t="str">
        <f>IF(AP40&gt;0,AP40,"-")</f>
        <v>Ácido Bórico</v>
      </c>
      <c r="C55" s="449"/>
      <c r="D55" s="87">
        <f>IF(AV40&gt;0,AV40,"-")</f>
        <v>6.8562206896551716</v>
      </c>
      <c r="E55" s="365" t="str">
        <f>IF(AV40&gt;0,"gramas por planta","-")</f>
        <v>gramas por planta</v>
      </c>
      <c r="F55" s="365"/>
      <c r="G55" s="365"/>
      <c r="H55" s="365"/>
      <c r="I55" s="365"/>
      <c r="M55" s="364"/>
      <c r="N55" s="365"/>
      <c r="O55" s="448" t="s">
        <v>188</v>
      </c>
      <c r="P55" s="448"/>
      <c r="Q55" s="448"/>
      <c r="R55" s="53"/>
      <c r="U55" s="344"/>
      <c r="V55" s="344"/>
      <c r="W55" s="344"/>
      <c r="X55" s="95" t="s">
        <v>105</v>
      </c>
      <c r="Y55" s="95" t="s">
        <v>106</v>
      </c>
      <c r="Z55" s="95" t="s">
        <v>107</v>
      </c>
      <c r="AA55" s="95" t="s">
        <v>195</v>
      </c>
      <c r="AP55" s="465"/>
      <c r="AQ55" s="465"/>
      <c r="AS55" s="465"/>
      <c r="AT55" s="51">
        <v>4</v>
      </c>
      <c r="AU55" s="93" t="s">
        <v>286</v>
      </c>
      <c r="AV55" s="93" t="str">
        <f t="shared" si="14"/>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4"/>
        <v>0 - Cama de frango corte</v>
      </c>
      <c r="AW56" s="75">
        <v>4</v>
      </c>
      <c r="AX56" s="25"/>
    </row>
    <row r="57" spans="2:50" ht="20.25" customHeight="1" x14ac:dyDescent="0.25">
      <c r="B57" s="449" t="str">
        <f>IF(AP42&gt;0,AP42,"-")</f>
        <v>Sulfato de zinco</v>
      </c>
      <c r="C57" s="449"/>
      <c r="D57" s="87" t="str">
        <f>IF(AV42&gt;0,AV42,"-")</f>
        <v>-</v>
      </c>
      <c r="E57" s="365" t="str">
        <f t="shared" ref="E57:E59" si="15">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4"/>
        <v>1 - Cama de frango corte</v>
      </c>
      <c r="AW57" s="75">
        <v>1</v>
      </c>
    </row>
    <row r="58" spans="2:50" ht="20.25" customHeight="1" x14ac:dyDescent="0.25">
      <c r="B58" s="449" t="str">
        <f>IF(AP43&gt;0,AP43,"-")</f>
        <v>Sulfato de manganês</v>
      </c>
      <c r="C58" s="449"/>
      <c r="D58" s="87" t="str">
        <f>IF(AV43&gt;0,AV43,"-")</f>
        <v>-</v>
      </c>
      <c r="E58" s="365" t="str">
        <f t="shared" si="15"/>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&gt;35 - Esterco Bovino curtido</v>
      </c>
      <c r="AR58" s="463"/>
      <c r="AS58" s="25"/>
      <c r="AT58" s="75">
        <v>2</v>
      </c>
      <c r="AU58" s="97" t="s">
        <v>293</v>
      </c>
      <c r="AV58" s="97" t="str">
        <f t="shared" si="14"/>
        <v>2 - Cama de frango corte</v>
      </c>
      <c r="AW58" s="75">
        <v>3</v>
      </c>
    </row>
    <row r="59" spans="2:50" ht="20.25" customHeight="1" x14ac:dyDescent="0.25">
      <c r="B59" s="449" t="str">
        <f>IF(AP44&gt;0,AP44,"-")</f>
        <v>-</v>
      </c>
      <c r="C59" s="449"/>
      <c r="D59" s="87" t="str">
        <f>IF(AV44&gt;0,AV44,"-")</f>
        <v>-</v>
      </c>
      <c r="E59" s="365" t="str">
        <f t="shared" si="15"/>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0</v>
      </c>
      <c r="AR59" s="456"/>
      <c r="AS59" s="25"/>
      <c r="AT59" s="75">
        <v>3</v>
      </c>
      <c r="AU59" s="97" t="s">
        <v>293</v>
      </c>
      <c r="AV59" s="97" t="str">
        <f t="shared" si="14"/>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4"/>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4"/>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4"/>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4"/>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4"/>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4"/>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4"/>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4"/>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4"/>
        <v>2 - Esterco Bovino curtido</v>
      </c>
      <c r="AW68" s="75">
        <v>7</v>
      </c>
    </row>
    <row r="69" spans="2:49" ht="20.25" customHeight="1" thickBot="1" x14ac:dyDescent="0.3">
      <c r="M69" s="69"/>
      <c r="N69" s="70"/>
      <c r="O69" s="70"/>
      <c r="P69" s="70"/>
      <c r="Q69" s="70"/>
      <c r="R69" s="71"/>
      <c r="AT69" s="75">
        <v>3</v>
      </c>
      <c r="AU69" s="97" t="s">
        <v>292</v>
      </c>
      <c r="AV69" s="97" t="str">
        <f t="shared" si="14"/>
        <v>3 - Esterco Bovino curtido</v>
      </c>
      <c r="AW69" s="75">
        <v>12</v>
      </c>
    </row>
    <row r="70" spans="2:49" ht="20.25" customHeight="1" thickBot="1" x14ac:dyDescent="0.3">
      <c r="AT70" s="75">
        <v>4</v>
      </c>
      <c r="AU70" s="97" t="s">
        <v>292</v>
      </c>
      <c r="AV70" s="97" t="str">
        <f t="shared" si="14"/>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4"/>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4"/>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4"/>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4"/>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4"/>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4"/>
        <v>0 - Esterco de suínos</v>
      </c>
      <c r="AW76" s="75">
        <v>10</v>
      </c>
    </row>
    <row r="77" spans="2:49" ht="20.25" customHeight="1" x14ac:dyDescent="0.25">
      <c r="M77" s="364"/>
      <c r="N77" s="365"/>
      <c r="O77" s="25"/>
      <c r="P77" s="25"/>
      <c r="Q77" s="25"/>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4"/>
        <v>1 - Esterco de suínos</v>
      </c>
      <c r="AW77" s="75">
        <v>4</v>
      </c>
    </row>
    <row r="78" spans="2:49" ht="20.25" customHeight="1" x14ac:dyDescent="0.25">
      <c r="M78" s="364"/>
      <c r="N78" s="365"/>
      <c r="O78" s="365" t="s">
        <v>264</v>
      </c>
      <c r="P78" s="365"/>
      <c r="Q78" s="365"/>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4"/>
        <v>2 - Esterco de suínos</v>
      </c>
      <c r="AW78" s="75">
        <v>6</v>
      </c>
    </row>
    <row r="79" spans="2:49" ht="20.25" customHeight="1" x14ac:dyDescent="0.25">
      <c r="M79" s="364"/>
      <c r="N79" s="365"/>
      <c r="O79" s="25"/>
      <c r="P79" s="25"/>
      <c r="Q79" s="25"/>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4"/>
        <v>3 - Esterco de suínos</v>
      </c>
      <c r="AW79" s="75">
        <v>10</v>
      </c>
    </row>
    <row r="80" spans="2:49" ht="20.25" customHeight="1" x14ac:dyDescent="0.25">
      <c r="M80" s="364"/>
      <c r="N80" s="365"/>
      <c r="O80" s="450" t="s">
        <v>253</v>
      </c>
      <c r="P80" s="451"/>
      <c r="Q80" s="452"/>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4"/>
        <v>4 - Esterco de suínos</v>
      </c>
      <c r="AW80" s="75">
        <v>4</v>
      </c>
    </row>
    <row r="81" spans="13:49" ht="20.25" customHeight="1" x14ac:dyDescent="0.25">
      <c r="M81" s="364"/>
      <c r="N81" s="365"/>
      <c r="O81" s="450" t="s">
        <v>251</v>
      </c>
      <c r="P81" s="451"/>
      <c r="Q81" s="452"/>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4"/>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4"/>
        <v>1 - Esterco de ovinos</v>
      </c>
      <c r="AW82" s="51">
        <v>4</v>
      </c>
    </row>
    <row r="83" spans="13:49" ht="20.25" customHeight="1" x14ac:dyDescent="0.25">
      <c r="M83" s="364"/>
      <c r="N83" s="365"/>
      <c r="O83" s="448" t="s">
        <v>116</v>
      </c>
      <c r="P83" s="448"/>
      <c r="Q83" s="92">
        <v>0.5</v>
      </c>
      <c r="R83" s="53"/>
      <c r="AT83" s="51">
        <v>2</v>
      </c>
      <c r="AU83" s="93" t="s">
        <v>288</v>
      </c>
      <c r="AV83" s="93" t="str">
        <f t="shared" si="14"/>
        <v>2 - Esterco de ovinos</v>
      </c>
      <c r="AW83" s="51">
        <v>6</v>
      </c>
    </row>
    <row r="84" spans="13:49" ht="20.25" customHeight="1" x14ac:dyDescent="0.25">
      <c r="M84" s="364"/>
      <c r="N84" s="365"/>
      <c r="O84" s="448"/>
      <c r="P84" s="448"/>
      <c r="Q84" s="92"/>
      <c r="R84" s="53"/>
      <c r="AT84" s="51">
        <v>3</v>
      </c>
      <c r="AU84" s="93" t="s">
        <v>288</v>
      </c>
      <c r="AV84" s="93" t="str">
        <f t="shared" si="14"/>
        <v>3 - Esterco de ovinos</v>
      </c>
      <c r="AW84" s="51">
        <v>10</v>
      </c>
    </row>
    <row r="85" spans="13:49" ht="20.25" customHeight="1" x14ac:dyDescent="0.25">
      <c r="M85" s="364"/>
      <c r="N85" s="365"/>
      <c r="O85" s="25"/>
      <c r="P85" s="25"/>
      <c r="Q85" s="25"/>
      <c r="R85" s="53"/>
      <c r="U85" s="464" t="s">
        <v>136</v>
      </c>
      <c r="V85" s="464" t="s">
        <v>76</v>
      </c>
      <c r="W85" s="464" t="s">
        <v>77</v>
      </c>
      <c r="X85" s="464" t="s">
        <v>78</v>
      </c>
      <c r="Y85" s="464"/>
      <c r="Z85" s="464"/>
      <c r="AA85" s="464"/>
      <c r="AB85" s="464"/>
      <c r="AC85" s="464"/>
      <c r="AD85" s="464"/>
      <c r="AE85" s="464"/>
      <c r="AT85" s="51">
        <v>4</v>
      </c>
      <c r="AU85" s="93" t="s">
        <v>288</v>
      </c>
      <c r="AV85" s="93" t="str">
        <f t="shared" si="14"/>
        <v>4 - Esterco de ovinos</v>
      </c>
      <c r="AW85" s="51">
        <v>4</v>
      </c>
    </row>
    <row r="86" spans="13:49" ht="20.25" customHeight="1" x14ac:dyDescent="0.25">
      <c r="M86" s="364"/>
      <c r="N86" s="365"/>
      <c r="O86" s="365" t="s">
        <v>264</v>
      </c>
      <c r="P86" s="365"/>
      <c r="Q86" s="365"/>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4"/>
        <v>0 - Lodo de esgosto</v>
      </c>
      <c r="AW86" s="75">
        <v>15</v>
      </c>
    </row>
    <row r="87" spans="13:49" ht="20.25" customHeight="1" x14ac:dyDescent="0.25">
      <c r="M87" s="364"/>
      <c r="N87" s="365"/>
      <c r="O87" s="25"/>
      <c r="P87" s="25"/>
      <c r="Q87" s="25"/>
      <c r="R87" s="53"/>
      <c r="U87" s="466" t="s">
        <v>194</v>
      </c>
      <c r="V87" s="99" t="str">
        <f>V160</f>
        <v xml:space="preserve">Biotita Xisto (61) 3233-9368 </v>
      </c>
      <c r="W87" s="99">
        <f>W160</f>
        <v>0</v>
      </c>
      <c r="X87" s="99">
        <f>AL160</f>
        <v>57.8</v>
      </c>
      <c r="Y87" s="99">
        <f t="shared" ref="Y87:AB95" si="16">Y160</f>
        <v>8.7999999999999995E-2</v>
      </c>
      <c r="Z87" s="99">
        <f t="shared" si="16"/>
        <v>0.2</v>
      </c>
      <c r="AA87" s="99">
        <f t="shared" si="16"/>
        <v>2.83</v>
      </c>
      <c r="AB87" s="99">
        <f t="shared" si="16"/>
        <v>3.4</v>
      </c>
      <c r="AC87" s="100">
        <f>AC160*0.602</f>
        <v>1.5155244755244754</v>
      </c>
      <c r="AD87" s="100">
        <f>AD160*0.715</f>
        <v>5.4634551495016606</v>
      </c>
      <c r="AE87" s="100">
        <f t="shared" ref="AE87:AE95" si="17">AB87+AC87+AD87</f>
        <v>10.378979625026137</v>
      </c>
      <c r="AT87" s="75">
        <v>1</v>
      </c>
      <c r="AU87" s="97" t="s">
        <v>289</v>
      </c>
      <c r="AV87" s="97" t="str">
        <f t="shared" si="14"/>
        <v>1 - Lodo de esgosto</v>
      </c>
      <c r="AW87" s="75">
        <v>10</v>
      </c>
    </row>
    <row r="88" spans="13:49" ht="20.25" customHeight="1" x14ac:dyDescent="0.25">
      <c r="M88" s="364"/>
      <c r="N88" s="365"/>
      <c r="O88" s="450" t="s">
        <v>254</v>
      </c>
      <c r="P88" s="451"/>
      <c r="Q88" s="452"/>
      <c r="R88" s="53"/>
      <c r="U88" s="466"/>
      <c r="V88" s="99" t="str">
        <f t="shared" ref="V88:W95" si="18">V161</f>
        <v>Kamafugito</v>
      </c>
      <c r="W88" s="99">
        <f t="shared" si="18"/>
        <v>0</v>
      </c>
      <c r="X88" s="99">
        <f t="shared" ref="X88:X95" si="19">AL161</f>
        <v>0</v>
      </c>
      <c r="Y88" s="99">
        <f t="shared" si="16"/>
        <v>1.5069999999999999</v>
      </c>
      <c r="Z88" s="99">
        <f t="shared" si="16"/>
        <v>3.5</v>
      </c>
      <c r="AA88" s="99">
        <f t="shared" si="16"/>
        <v>3.3250000000000002</v>
      </c>
      <c r="AB88" s="99">
        <f t="shared" si="16"/>
        <v>4</v>
      </c>
      <c r="AC88" s="100">
        <f t="shared" ref="AC88:AC95" si="20">AC161*0.602</f>
        <v>1.7217199999999999</v>
      </c>
      <c r="AD88" s="100">
        <f t="shared" ref="AD88:AD95" si="21">AD161*0.715</f>
        <v>0</v>
      </c>
      <c r="AE88" s="100">
        <f t="shared" si="17"/>
        <v>5.7217199999999995</v>
      </c>
      <c r="AT88" s="75">
        <v>2</v>
      </c>
      <c r="AU88" s="97" t="s">
        <v>289</v>
      </c>
      <c r="AV88" s="97" t="str">
        <f t="shared" si="14"/>
        <v>2 - Lodo de esgosto</v>
      </c>
      <c r="AW88" s="75">
        <v>5</v>
      </c>
    </row>
    <row r="89" spans="13:49" ht="20.25" customHeight="1" x14ac:dyDescent="0.25">
      <c r="M89" s="364"/>
      <c r="N89" s="365"/>
      <c r="O89" s="450" t="s">
        <v>251</v>
      </c>
      <c r="P89" s="451"/>
      <c r="Q89" s="452"/>
      <c r="R89" s="53"/>
      <c r="U89" s="466"/>
      <c r="V89" s="99" t="str">
        <f t="shared" si="18"/>
        <v>Micaxisto (61) 3233-9368</v>
      </c>
      <c r="W89" s="99">
        <f t="shared" si="18"/>
        <v>0</v>
      </c>
      <c r="X89" s="99">
        <f t="shared" si="19"/>
        <v>0</v>
      </c>
      <c r="Y89" s="99">
        <f t="shared" si="16"/>
        <v>4.4999999999999998E-2</v>
      </c>
      <c r="Z89" s="99">
        <f t="shared" si="16"/>
        <v>0.1</v>
      </c>
      <c r="AA89" s="99">
        <f t="shared" si="16"/>
        <v>4.32</v>
      </c>
      <c r="AB89" s="99">
        <f t="shared" si="16"/>
        <v>5.2</v>
      </c>
      <c r="AC89" s="100">
        <f t="shared" si="20"/>
        <v>0.75776223776223772</v>
      </c>
      <c r="AD89" s="100">
        <f t="shared" si="21"/>
        <v>0.83139534883720934</v>
      </c>
      <c r="AE89" s="100">
        <f t="shared" si="17"/>
        <v>6.7891575865994476</v>
      </c>
      <c r="AT89" s="75">
        <v>3</v>
      </c>
      <c r="AU89" s="97" t="s">
        <v>289</v>
      </c>
      <c r="AV89" s="97" t="str">
        <f t="shared" si="14"/>
        <v>3 - Lodo de esgosto</v>
      </c>
      <c r="AW89" s="75">
        <v>15</v>
      </c>
    </row>
    <row r="90" spans="13:49" ht="20.25" customHeight="1" x14ac:dyDescent="0.25">
      <c r="M90" s="364"/>
      <c r="N90" s="365"/>
      <c r="O90" s="448" t="s">
        <v>93</v>
      </c>
      <c r="P90" s="448"/>
      <c r="Q90" s="92">
        <v>1</v>
      </c>
      <c r="R90" s="53"/>
      <c r="U90" s="466"/>
      <c r="V90" s="99" t="str">
        <f t="shared" si="18"/>
        <v xml:space="preserve">Pó de brita Fmx (62) 3924 8565 </v>
      </c>
      <c r="W90" s="99">
        <f t="shared" si="18"/>
        <v>0</v>
      </c>
      <c r="X90" s="99">
        <f t="shared" si="19"/>
        <v>0</v>
      </c>
      <c r="Y90" s="99">
        <f t="shared" si="16"/>
        <v>0</v>
      </c>
      <c r="Z90" s="99">
        <f t="shared" si="16"/>
        <v>0</v>
      </c>
      <c r="AA90" s="99">
        <f t="shared" si="16"/>
        <v>4.99</v>
      </c>
      <c r="AB90" s="99">
        <f t="shared" si="16"/>
        <v>6</v>
      </c>
      <c r="AC90" s="100">
        <f t="shared" si="20"/>
        <v>2.5258741258741257</v>
      </c>
      <c r="AD90" s="100">
        <f t="shared" si="21"/>
        <v>0.59385382059800662</v>
      </c>
      <c r="AE90" s="100">
        <f t="shared" si="17"/>
        <v>9.1197279464721319</v>
      </c>
      <c r="AT90" s="75">
        <v>4</v>
      </c>
      <c r="AU90" s="97" t="s">
        <v>289</v>
      </c>
      <c r="AV90" s="97" t="str">
        <f t="shared" si="14"/>
        <v>4 - Lodo de esgosto</v>
      </c>
      <c r="AW90" s="75">
        <v>10</v>
      </c>
    </row>
    <row r="91" spans="13:49" ht="20.25" customHeight="1" x14ac:dyDescent="0.25">
      <c r="M91" s="364"/>
      <c r="N91" s="365"/>
      <c r="O91" s="448"/>
      <c r="P91" s="448"/>
      <c r="Q91" s="92"/>
      <c r="R91" s="53"/>
      <c r="U91" s="466"/>
      <c r="V91" s="99" t="str">
        <f t="shared" si="18"/>
        <v>Remax Mistel (61) 99414-1975</v>
      </c>
      <c r="W91" s="99">
        <f t="shared" si="18"/>
        <v>0</v>
      </c>
      <c r="X91" s="99">
        <f t="shared" si="19"/>
        <v>43.8</v>
      </c>
      <c r="Y91" s="99">
        <f t="shared" si="16"/>
        <v>4.4999999999999998E-2</v>
      </c>
      <c r="Z91" s="99">
        <f t="shared" si="16"/>
        <v>0.1</v>
      </c>
      <c r="AA91" s="99">
        <f t="shared" si="16"/>
        <v>2.1949999999999998</v>
      </c>
      <c r="AB91" s="99">
        <f t="shared" si="16"/>
        <v>2.6</v>
      </c>
      <c r="AC91" s="100">
        <f t="shared" si="20"/>
        <v>11.282237762237763</v>
      </c>
      <c r="AD91" s="100">
        <f t="shared" si="21"/>
        <v>8.8959302325581397</v>
      </c>
      <c r="AE91" s="100">
        <f t="shared" si="17"/>
        <v>22.778167994795901</v>
      </c>
      <c r="AT91" s="51">
        <v>0</v>
      </c>
      <c r="AU91" s="93" t="s">
        <v>290</v>
      </c>
      <c r="AV91" s="93" t="str">
        <f t="shared" si="14"/>
        <v>0 - Compostos orgânicos</v>
      </c>
      <c r="AW91" s="51">
        <v>6</v>
      </c>
    </row>
    <row r="92" spans="13:49" ht="20.25" customHeight="1" x14ac:dyDescent="0.25">
      <c r="M92" s="364"/>
      <c r="N92" s="365"/>
      <c r="O92" s="448"/>
      <c r="P92" s="448"/>
      <c r="Q92" s="92"/>
      <c r="R92" s="53"/>
      <c r="U92" s="466"/>
      <c r="V92" s="99">
        <f t="shared" si="18"/>
        <v>0</v>
      </c>
      <c r="W92" s="99">
        <f t="shared" si="18"/>
        <v>0</v>
      </c>
      <c r="X92" s="99">
        <f t="shared" si="19"/>
        <v>0</v>
      </c>
      <c r="Y92" s="99">
        <f t="shared" si="16"/>
        <v>0</v>
      </c>
      <c r="Z92" s="99">
        <f t="shared" si="16"/>
        <v>0</v>
      </c>
      <c r="AA92" s="99">
        <f t="shared" si="16"/>
        <v>0</v>
      </c>
      <c r="AB92" s="99">
        <f t="shared" si="16"/>
        <v>0</v>
      </c>
      <c r="AC92" s="100">
        <f t="shared" si="20"/>
        <v>0</v>
      </c>
      <c r="AD92" s="100">
        <f t="shared" si="21"/>
        <v>0</v>
      </c>
      <c r="AE92" s="100">
        <f t="shared" si="17"/>
        <v>0</v>
      </c>
      <c r="AT92" s="51">
        <v>1</v>
      </c>
      <c r="AU92" s="93" t="s">
        <v>290</v>
      </c>
      <c r="AV92" s="93" t="str">
        <f t="shared" si="14"/>
        <v>1 - Compostos orgânicos</v>
      </c>
      <c r="AW92" s="51">
        <v>2</v>
      </c>
    </row>
    <row r="93" spans="13:49" ht="20.25" customHeight="1" x14ac:dyDescent="0.25">
      <c r="M93" s="101"/>
      <c r="N93" s="25"/>
      <c r="O93" s="25"/>
      <c r="P93" s="25"/>
      <c r="Q93" s="25"/>
      <c r="R93" s="53"/>
      <c r="U93" s="466"/>
      <c r="V93" s="99">
        <f t="shared" si="18"/>
        <v>0</v>
      </c>
      <c r="W93" s="99">
        <f t="shared" si="18"/>
        <v>0</v>
      </c>
      <c r="X93" s="99">
        <f t="shared" si="19"/>
        <v>0</v>
      </c>
      <c r="Y93" s="99">
        <f t="shared" si="16"/>
        <v>0</v>
      </c>
      <c r="Z93" s="99">
        <f t="shared" si="16"/>
        <v>0</v>
      </c>
      <c r="AA93" s="99">
        <f t="shared" si="16"/>
        <v>0</v>
      </c>
      <c r="AB93" s="99">
        <f t="shared" si="16"/>
        <v>0</v>
      </c>
      <c r="AC93" s="100">
        <f t="shared" si="20"/>
        <v>0</v>
      </c>
      <c r="AD93" s="100">
        <f t="shared" si="21"/>
        <v>0</v>
      </c>
      <c r="AE93" s="100">
        <f t="shared" si="17"/>
        <v>0</v>
      </c>
      <c r="AT93" s="51">
        <v>2</v>
      </c>
      <c r="AU93" s="93" t="s">
        <v>290</v>
      </c>
      <c r="AV93" s="93" t="str">
        <f t="shared" si="14"/>
        <v>2 - Compostos orgânicos</v>
      </c>
      <c r="AW93" s="51">
        <v>4</v>
      </c>
    </row>
    <row r="94" spans="13:49" ht="20.25" customHeight="1" x14ac:dyDescent="0.25">
      <c r="M94" s="101"/>
      <c r="N94" s="25"/>
      <c r="O94" s="365" t="s">
        <v>264</v>
      </c>
      <c r="P94" s="365"/>
      <c r="Q94" s="365"/>
      <c r="R94" s="53"/>
      <c r="U94" s="466"/>
      <c r="V94" s="99">
        <f t="shared" si="18"/>
        <v>0</v>
      </c>
      <c r="W94" s="99">
        <f t="shared" si="18"/>
        <v>0</v>
      </c>
      <c r="X94" s="99">
        <f t="shared" si="19"/>
        <v>0</v>
      </c>
      <c r="Y94" s="99">
        <f t="shared" si="16"/>
        <v>0</v>
      </c>
      <c r="Z94" s="99">
        <f t="shared" si="16"/>
        <v>0</v>
      </c>
      <c r="AA94" s="99">
        <f t="shared" si="16"/>
        <v>0</v>
      </c>
      <c r="AB94" s="99">
        <f t="shared" si="16"/>
        <v>0</v>
      </c>
      <c r="AC94" s="100">
        <f t="shared" si="20"/>
        <v>0</v>
      </c>
      <c r="AD94" s="100">
        <f t="shared" si="21"/>
        <v>0</v>
      </c>
      <c r="AE94" s="100">
        <f t="shared" si="17"/>
        <v>0</v>
      </c>
      <c r="AT94" s="51">
        <v>3</v>
      </c>
      <c r="AU94" s="93" t="s">
        <v>290</v>
      </c>
      <c r="AV94" s="93" t="str">
        <f t="shared" si="14"/>
        <v>3 - Compostos orgânicos</v>
      </c>
      <c r="AW94" s="51">
        <v>6</v>
      </c>
    </row>
    <row r="95" spans="13:49" ht="20.25" customHeight="1" thickBot="1" x14ac:dyDescent="0.3">
      <c r="M95" s="69"/>
      <c r="N95" s="70"/>
      <c r="O95" s="70"/>
      <c r="P95" s="70"/>
      <c r="Q95" s="70"/>
      <c r="R95" s="71"/>
      <c r="U95" s="466"/>
      <c r="V95" s="99">
        <f t="shared" si="18"/>
        <v>0</v>
      </c>
      <c r="W95" s="99">
        <f t="shared" si="18"/>
        <v>0</v>
      </c>
      <c r="X95" s="99">
        <f t="shared" si="19"/>
        <v>0</v>
      </c>
      <c r="Y95" s="99">
        <f t="shared" si="16"/>
        <v>0</v>
      </c>
      <c r="Z95" s="99">
        <f t="shared" si="16"/>
        <v>0</v>
      </c>
      <c r="AA95" s="99">
        <f t="shared" si="16"/>
        <v>0</v>
      </c>
      <c r="AB95" s="99">
        <f t="shared" si="16"/>
        <v>0</v>
      </c>
      <c r="AC95" s="100">
        <f t="shared" si="20"/>
        <v>0</v>
      </c>
      <c r="AD95" s="100">
        <f t="shared" si="21"/>
        <v>0</v>
      </c>
      <c r="AE95" s="100">
        <f t="shared" si="17"/>
        <v>0</v>
      </c>
      <c r="AT95" s="51">
        <v>4</v>
      </c>
      <c r="AU95" s="93" t="s">
        <v>290</v>
      </c>
      <c r="AV95" s="93" t="str">
        <f t="shared" si="14"/>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$V$26</f>
        <v>72</v>
      </c>
      <c r="P99" s="103">
        <f>$V$27</f>
        <v>36</v>
      </c>
      <c r="Q99" s="103">
        <f>$V$28</f>
        <v>150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1.2</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29">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 ref="M98:N98"/>
    <mergeCell ref="U98:U99"/>
    <mergeCell ref="V98:V99"/>
    <mergeCell ref="W98:W99"/>
    <mergeCell ref="X98:AO98"/>
    <mergeCell ref="M99:N99"/>
    <mergeCell ref="W85:W86"/>
    <mergeCell ref="X85:AE85"/>
    <mergeCell ref="O86:Q86"/>
    <mergeCell ref="U87:U95"/>
    <mergeCell ref="O88:Q88"/>
    <mergeCell ref="O89:Q89"/>
    <mergeCell ref="O90:P90"/>
    <mergeCell ref="O91:P91"/>
    <mergeCell ref="O92:P92"/>
    <mergeCell ref="O94:Q94"/>
    <mergeCell ref="O81:Q81"/>
    <mergeCell ref="O82:P82"/>
    <mergeCell ref="O83:P83"/>
    <mergeCell ref="O84:P84"/>
    <mergeCell ref="U85:U86"/>
    <mergeCell ref="V85:V86"/>
    <mergeCell ref="X71:Z71"/>
    <mergeCell ref="M72:N92"/>
    <mergeCell ref="O72:Q72"/>
    <mergeCell ref="O73:Q73"/>
    <mergeCell ref="U73:U82"/>
    <mergeCell ref="O74:P74"/>
    <mergeCell ref="O75:P75"/>
    <mergeCell ref="O76:P76"/>
    <mergeCell ref="O78:Q78"/>
    <mergeCell ref="O80:Q80"/>
    <mergeCell ref="F64:I66"/>
    <mergeCell ref="O66:Q67"/>
    <mergeCell ref="B67:E67"/>
    <mergeCell ref="F67:I67"/>
    <mergeCell ref="O68:Q68"/>
    <mergeCell ref="U71:U72"/>
    <mergeCell ref="V71:V72"/>
    <mergeCell ref="W71:W72"/>
    <mergeCell ref="AQ57:AR57"/>
    <mergeCell ref="B58:C58"/>
    <mergeCell ref="E58:I58"/>
    <mergeCell ref="AQ58:AR58"/>
    <mergeCell ref="B59:C59"/>
    <mergeCell ref="E59:I59"/>
    <mergeCell ref="AQ59:AR59"/>
    <mergeCell ref="AP54:AP55"/>
    <mergeCell ref="AQ54:AQ55"/>
    <mergeCell ref="AS54:AS55"/>
    <mergeCell ref="B55:C55"/>
    <mergeCell ref="E55:I55"/>
    <mergeCell ref="O55:Q55"/>
    <mergeCell ref="B50:I53"/>
    <mergeCell ref="O50:P50"/>
    <mergeCell ref="AT50:AW50"/>
    <mergeCell ref="B54:I54"/>
    <mergeCell ref="M54:N68"/>
    <mergeCell ref="O54:Q54"/>
    <mergeCell ref="U54:U55"/>
    <mergeCell ref="V54:V55"/>
    <mergeCell ref="W54:W55"/>
    <mergeCell ref="X54:AA54"/>
    <mergeCell ref="B56:C56"/>
    <mergeCell ref="E56:I56"/>
    <mergeCell ref="O56:Q64"/>
    <mergeCell ref="U56:U68"/>
    <mergeCell ref="B57:C57"/>
    <mergeCell ref="E57:I57"/>
    <mergeCell ref="B60:I63"/>
    <mergeCell ref="B64:E66"/>
    <mergeCell ref="B45:C45"/>
    <mergeCell ref="E45:I45"/>
    <mergeCell ref="O45:Q46"/>
    <mergeCell ref="U45:V45"/>
    <mergeCell ref="X45:Z45"/>
    <mergeCell ref="B46:C46"/>
    <mergeCell ref="E46:I46"/>
    <mergeCell ref="M46:N50"/>
    <mergeCell ref="X46:Y46"/>
    <mergeCell ref="B47:C47"/>
    <mergeCell ref="E47:I47"/>
    <mergeCell ref="O47:P47"/>
    <mergeCell ref="X47:Y47"/>
    <mergeCell ref="B48:C48"/>
    <mergeCell ref="E48:I48"/>
    <mergeCell ref="O48:Q49"/>
    <mergeCell ref="X48:Y48"/>
    <mergeCell ref="B49:C49"/>
    <mergeCell ref="E49:I49"/>
    <mergeCell ref="X49:Y49"/>
    <mergeCell ref="B43:C43"/>
    <mergeCell ref="E43:I43"/>
    <mergeCell ref="AP43:AQ43"/>
    <mergeCell ref="B44:C44"/>
    <mergeCell ref="E44:I44"/>
    <mergeCell ref="M44:R44"/>
    <mergeCell ref="AP44:AQ44"/>
    <mergeCell ref="AP40:AQ40"/>
    <mergeCell ref="B41:C41"/>
    <mergeCell ref="E41:I41"/>
    <mergeCell ref="O41:Q41"/>
    <mergeCell ref="AP41:AQ41"/>
    <mergeCell ref="B42:C42"/>
    <mergeCell ref="E42:I42"/>
    <mergeCell ref="O42:Q42"/>
    <mergeCell ref="AP42:AQ42"/>
    <mergeCell ref="AQ34:AR34"/>
    <mergeCell ref="B35:C36"/>
    <mergeCell ref="E35:I35"/>
    <mergeCell ref="U35:V35"/>
    <mergeCell ref="AQ35:AR35"/>
    <mergeCell ref="E36:I36"/>
    <mergeCell ref="M36:R36"/>
    <mergeCell ref="AQ36:AR36"/>
    <mergeCell ref="B37:I38"/>
    <mergeCell ref="M38:N42"/>
    <mergeCell ref="O38:Q38"/>
    <mergeCell ref="B39:I39"/>
    <mergeCell ref="P39:Q39"/>
    <mergeCell ref="AP39:AQ39"/>
    <mergeCell ref="B40:C40"/>
    <mergeCell ref="E40:I40"/>
    <mergeCell ref="B26:I26"/>
    <mergeCell ref="B27:C28"/>
    <mergeCell ref="E27:I27"/>
    <mergeCell ref="AP27:AP36"/>
    <mergeCell ref="AQ27:AR27"/>
    <mergeCell ref="E28:I28"/>
    <mergeCell ref="AQ28:AR28"/>
    <mergeCell ref="B29:C30"/>
    <mergeCell ref="E29:I29"/>
    <mergeCell ref="M29:N34"/>
    <mergeCell ref="O29:Q29"/>
    <mergeCell ref="AQ29:AR29"/>
    <mergeCell ref="E30:I30"/>
    <mergeCell ref="AQ30:AR30"/>
    <mergeCell ref="B31:I33"/>
    <mergeCell ref="U31:V31"/>
    <mergeCell ref="AQ31:AR31"/>
    <mergeCell ref="U32:V32"/>
    <mergeCell ref="AQ32:AR32"/>
    <mergeCell ref="O33:Q33"/>
    <mergeCell ref="AQ33:AR33"/>
    <mergeCell ref="B34:I34"/>
    <mergeCell ref="O34:Q34"/>
    <mergeCell ref="U34:V34"/>
    <mergeCell ref="B20:E20"/>
    <mergeCell ref="AQ20:AR20"/>
    <mergeCell ref="B16:I16"/>
    <mergeCell ref="AP16:AP17"/>
    <mergeCell ref="AQ16:AR17"/>
    <mergeCell ref="AV16:AV17"/>
    <mergeCell ref="B18:D18"/>
    <mergeCell ref="F18:H18"/>
    <mergeCell ref="W18:W19"/>
    <mergeCell ref="AF18:AF20"/>
    <mergeCell ref="AJ18:AJ20"/>
    <mergeCell ref="AK18:AK20"/>
    <mergeCell ref="AL18:AL20"/>
    <mergeCell ref="AM18:AM20"/>
    <mergeCell ref="AQ18:AR18"/>
    <mergeCell ref="AQ19:AR19"/>
    <mergeCell ref="C12:I12"/>
    <mergeCell ref="AF12:AF14"/>
    <mergeCell ref="AJ12:AJ14"/>
    <mergeCell ref="AK12:AK14"/>
    <mergeCell ref="AL12:AL14"/>
    <mergeCell ref="AM12:AM14"/>
    <mergeCell ref="AQ12:AR12"/>
    <mergeCell ref="C13:I13"/>
    <mergeCell ref="U13:W14"/>
    <mergeCell ref="AQ13:AR13"/>
    <mergeCell ref="C14:G14"/>
    <mergeCell ref="AQ14:AR14"/>
    <mergeCell ref="B9:I9"/>
    <mergeCell ref="AF9:AF11"/>
    <mergeCell ref="AJ9:AJ11"/>
    <mergeCell ref="AK9:AK11"/>
    <mergeCell ref="AL9:AL11"/>
    <mergeCell ref="AM9:AM11"/>
    <mergeCell ref="AF7:AM7"/>
    <mergeCell ref="AQ7:AR7"/>
    <mergeCell ref="W8:W11"/>
    <mergeCell ref="AG8:AH8"/>
    <mergeCell ref="AI8:AJ8"/>
    <mergeCell ref="AQ8:AR8"/>
    <mergeCell ref="AP10:AP11"/>
    <mergeCell ref="AQ10:AR11"/>
    <mergeCell ref="C11:I11"/>
    <mergeCell ref="M2:R2"/>
    <mergeCell ref="M4:N4"/>
    <mergeCell ref="O4:P4"/>
    <mergeCell ref="AP4:AP5"/>
    <mergeCell ref="AQ4:AR5"/>
    <mergeCell ref="AV4:AV5"/>
    <mergeCell ref="M5:N25"/>
    <mergeCell ref="U6:V7"/>
    <mergeCell ref="W6:W7"/>
    <mergeCell ref="AQ6:AR6"/>
    <mergeCell ref="AV10:AV11"/>
    <mergeCell ref="W15:W17"/>
    <mergeCell ref="AF15:AF17"/>
    <mergeCell ref="AJ15:AJ17"/>
    <mergeCell ref="AK15:AK17"/>
    <mergeCell ref="AL15:AL17"/>
    <mergeCell ref="AM15:AM17"/>
    <mergeCell ref="U25:V25"/>
    <mergeCell ref="X25:Y25"/>
    <mergeCell ref="AA25:AD25"/>
    <mergeCell ref="AF25:AI25"/>
    <mergeCell ref="AP25:AP26"/>
    <mergeCell ref="AQ25:AR26"/>
  </mergeCells>
  <dataValidations count="5">
    <dataValidation type="list" allowBlank="1" showInputMessage="1" showErrorMessage="1" sqref="P39:Q39">
      <formula1>$X$27:$X$30</formula1>
    </dataValidation>
    <dataValidation type="list" allowBlank="1" showInputMessage="1" showErrorMessage="1" sqref="O42:Q42">
      <formula1>$AA$8:$AA$17</formula1>
    </dataValidation>
    <dataValidation type="list" allowBlank="1" showInputMessage="1" showErrorMessage="1" sqref="Q82:Q84 Q90:Q92 Q74:Q76 Q47 Q50">
      <formula1>$Y$10:$Y$21</formula1>
    </dataValidation>
    <dataValidation type="list" allowBlank="1" showInputMessage="1" showErrorMessage="1" sqref="O68 O174 N159 O176">
      <formula1>$Y$5:$Y$6</formula1>
    </dataValidation>
    <dataValidation type="list" allowBlank="1" showInputMessage="1" showErrorMessage="1" sqref="O105:Q109">
      <formula1>$V$170:$V$179</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corretivos'!$C$3:$C$62</xm:f>
          </x14:formula1>
          <xm:sqref>O74:P76 O82:P84 O90:P92</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corretivos'!$C$87:$C$99</xm:f>
          </x14:formula1>
          <xm:sqref>O47:P47</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B37" sqref="B37:I38"/>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18.7109375" style="11" customWidth="1"/>
    <col min="17" max="17" width="49.28515625" style="11" customWidth="1"/>
    <col min="18" max="18" width="8.7109375"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0.28515625" style="11" hidden="1" customWidth="1" outlineLevel="1"/>
    <col min="25" max="25" width="22.42578125" style="11" hidden="1" customWidth="1" outlineLevel="1"/>
    <col min="26" max="26" width="18.85546875"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25.42578125" style="11" hidden="1" customWidth="1" outlineLevel="1"/>
    <col min="32" max="32" width="25.5703125" style="11" hidden="1" customWidth="1" outlineLevel="1"/>
    <col min="33" max="33" width="21.42578125" style="11" hidden="1" customWidth="1" outlineLevel="1"/>
    <col min="34" max="34" width="21.5703125" style="11" hidden="1" customWidth="1" outlineLevel="1"/>
    <col min="35" max="36" width="14.28515625" style="11" hidden="1" customWidth="1" outlineLevel="1"/>
    <col min="37" max="37" width="31.42578125" style="11" hidden="1" customWidth="1" outlineLevel="1"/>
    <col min="38" max="38" width="11.425781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29.28515625" style="11" hidden="1" customWidth="1" outlineLevel="1"/>
    <col min="47" max="48" width="23.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68</v>
      </c>
      <c r="AT5" s="55">
        <f>$AC$31</f>
        <v>10</v>
      </c>
      <c r="AU5" s="55">
        <f>$AC$32</f>
        <v>53</v>
      </c>
      <c r="AV5" s="509"/>
      <c r="AW5" s="47"/>
      <c r="AX5" s="47"/>
      <c r="AY5" s="47"/>
      <c r="AZ5" s="47"/>
      <c r="BA5" s="47"/>
      <c r="BB5" s="47"/>
    </row>
    <row r="6" spans="1:54" ht="20.25" customHeight="1" x14ac:dyDescent="0.25">
      <c r="M6" s="364"/>
      <c r="N6" s="453"/>
      <c r="O6" s="51" t="s">
        <v>3</v>
      </c>
      <c r="P6" s="56">
        <v>6.6</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5.0000000000000009</v>
      </c>
      <c r="AU6" s="55">
        <f>IFERROR((VLOOKUP(AQ6,$V$100:$AB$179,7,0)*0.01)*AV6,0)</f>
        <v>0</v>
      </c>
      <c r="AV6" s="55">
        <f>IFERROR($AT$5*Q74/(VLOOKUP(AQ6,$V$100:$AB$179,5,0)/100),0)</f>
        <v>28.571428571428573</v>
      </c>
      <c r="AW6" s="47"/>
      <c r="AX6" s="47"/>
      <c r="AY6" s="47"/>
      <c r="AZ6" s="47"/>
      <c r="BA6" s="47"/>
      <c r="BB6" s="47"/>
    </row>
    <row r="7" spans="1:54" ht="20.25" customHeight="1" x14ac:dyDescent="0.25">
      <c r="M7" s="364"/>
      <c r="N7" s="453"/>
      <c r="O7" s="51" t="s">
        <v>4</v>
      </c>
      <c r="P7" s="32">
        <v>2.2999999999999998</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5</v>
      </c>
      <c r="AU7" s="55">
        <f>IFERROR((VLOOKUP(AQ7,$V$100:$AB$179,7,0)*0.01)*AV7,0)</f>
        <v>0</v>
      </c>
      <c r="AV7" s="55">
        <f>IFERROR($AT$5*Q75/(VLOOKUP(AQ7,$V$100:$AB$179,5,0)/100),0)</f>
        <v>27.777777777777779</v>
      </c>
      <c r="AW7" s="47"/>
      <c r="AX7" s="47"/>
      <c r="AY7" s="47"/>
      <c r="AZ7" s="47"/>
      <c r="BA7" s="47"/>
      <c r="BB7" s="47"/>
    </row>
    <row r="8" spans="1:54" ht="20.25" customHeight="1" thickBot="1" x14ac:dyDescent="0.3">
      <c r="M8" s="364"/>
      <c r="N8" s="453"/>
      <c r="O8" s="51" t="s">
        <v>5</v>
      </c>
      <c r="P8" s="56">
        <v>1.01</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9.6</v>
      </c>
      <c r="AL9" s="457">
        <f>(AM9*1000)/$E$18</f>
        <v>9.6</v>
      </c>
      <c r="AM9" s="456">
        <v>2</v>
      </c>
      <c r="AO9" s="47"/>
      <c r="AP9" s="47"/>
      <c r="AQ9" s="47"/>
      <c r="AR9" s="47"/>
      <c r="AS9" s="59">
        <f>AS5-(SUM(AS6:AS8))</f>
        <v>68</v>
      </c>
      <c r="AT9" s="59">
        <f>AT5-(SUM(AT6:AT8))</f>
        <v>0</v>
      </c>
      <c r="AU9" s="59">
        <f>AU5-(SUM(AU6:AU8))</f>
        <v>53</v>
      </c>
      <c r="AV9" s="59"/>
      <c r="AW9" s="47"/>
      <c r="AX9" s="47"/>
      <c r="AY9" s="47"/>
      <c r="AZ9" s="47"/>
      <c r="BA9" s="47"/>
      <c r="BB9" s="47"/>
    </row>
    <row r="10" spans="1:54" ht="20.2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68</v>
      </c>
      <c r="AT11" s="55">
        <f t="shared" ref="AT11:AU11" si="0">AT9</f>
        <v>0</v>
      </c>
      <c r="AU11" s="55">
        <f t="shared" si="0"/>
        <v>53</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9.6</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26.500000000000004</v>
      </c>
      <c r="AV12" s="55">
        <f>IFERROR($AU$11*Q82/(VLOOKUP(AQ12,$V$100:$AB$179,7,0)/100),0)</f>
        <v>44.166666666666671</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26.5</v>
      </c>
      <c r="AV13" s="55">
        <f>IFERROR($AU$11*Q83/(VLOOKUP(AQ13,$V$100:$AB$179,7,0)/100),0)</f>
        <v>331.25</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28.799999999999997</v>
      </c>
      <c r="AM15" s="456">
        <v>6</v>
      </c>
      <c r="AO15" s="47"/>
      <c r="AP15" s="47"/>
      <c r="AQ15" s="47"/>
      <c r="AR15" s="47"/>
      <c r="AS15" s="59">
        <f>AS11-(SUM(AS12:AS14))</f>
        <v>68</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68</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208.33333333333334</v>
      </c>
      <c r="F18" s="457" t="s">
        <v>125</v>
      </c>
      <c r="G18" s="457"/>
      <c r="H18" s="457"/>
      <c r="I18" s="51">
        <f>O34</f>
        <v>1</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28.799999999999997</v>
      </c>
      <c r="AM18" s="456">
        <v>6</v>
      </c>
      <c r="AO18" s="47"/>
      <c r="AP18" s="54">
        <v>13</v>
      </c>
      <c r="AQ18" s="447" t="str">
        <f>O90</f>
        <v>Nitrato de Amônio</v>
      </c>
      <c r="AR18" s="447"/>
      <c r="AS18" s="55">
        <f>IFERROR((VLOOKUP(AQ18,$V$100:$AB$179,3,0)*0.01)*AV18,0)</f>
        <v>68</v>
      </c>
      <c r="AT18" s="55">
        <f>IFERROR((VLOOKUP(AQ18,$V$100:$AB$179,5,0)*0.01)*AV18,0)</f>
        <v>0</v>
      </c>
      <c r="AU18" s="55">
        <f>IFERROR((VLOOKUP(AQ18,$V$100:$AB$179,7,0)*0.01)*AV18,0)</f>
        <v>0</v>
      </c>
      <c r="AV18" s="55">
        <f>IFERROR($AS$17*Q90/(VLOOKUP(AQ18,$V$100:$AB$179,3,0)/100),0)</f>
        <v>234.48275862068968</v>
      </c>
      <c r="AW18" s="47"/>
      <c r="AX18" s="47"/>
      <c r="AY18" s="47"/>
      <c r="AZ18" s="47"/>
      <c r="BA18" s="47"/>
      <c r="BB18" s="47"/>
    </row>
    <row r="19" spans="2:54" ht="20.2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79.310344827586206</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6.6</v>
      </c>
      <c r="D22" s="63" t="s">
        <v>79</v>
      </c>
      <c r="E22" s="63">
        <f>P13</f>
        <v>38.299999999999997</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20.25" customHeight="1" x14ac:dyDescent="0.25">
      <c r="B23" s="64" t="s">
        <v>82</v>
      </c>
      <c r="C23" s="65">
        <f>P7</f>
        <v>2.2999999999999998</v>
      </c>
      <c r="D23" s="63" t="s">
        <v>129</v>
      </c>
      <c r="E23" s="63">
        <f>P11</f>
        <v>2.7</v>
      </c>
      <c r="F23" s="63" t="s">
        <v>87</v>
      </c>
      <c r="G23" s="63">
        <f>P16</f>
        <v>4</v>
      </c>
      <c r="H23" s="63" t="s">
        <v>83</v>
      </c>
      <c r="I23" s="63">
        <f>P15</f>
        <v>20</v>
      </c>
      <c r="J23" s="66"/>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20.25" customHeight="1" x14ac:dyDescent="0.25">
      <c r="B24" s="64" t="s">
        <v>80</v>
      </c>
      <c r="C24" s="65">
        <f>P8</f>
        <v>1.01</v>
      </c>
      <c r="D24" s="63" t="s">
        <v>130</v>
      </c>
      <c r="E24" s="63">
        <f>P10</f>
        <v>0.1</v>
      </c>
      <c r="F24" s="63" t="s">
        <v>89</v>
      </c>
      <c r="G24" s="63">
        <f>P17</f>
        <v>58.4</v>
      </c>
      <c r="H24" s="63" t="s">
        <v>131</v>
      </c>
      <c r="I24" s="63">
        <f>P25</f>
        <v>13.049999999999997</v>
      </c>
      <c r="J24" s="66"/>
      <c r="M24" s="364"/>
      <c r="N24" s="453"/>
      <c r="O24" s="51" t="s">
        <v>22</v>
      </c>
      <c r="P24" s="63">
        <f>100*(P6+P7+P8+P9)/P25</f>
        <v>79.310344827586206</v>
      </c>
      <c r="Q24" s="51" t="s">
        <v>23</v>
      </c>
      <c r="R24" s="53"/>
      <c r="AO24" s="47"/>
      <c r="AP24" s="47"/>
      <c r="AQ24" s="47"/>
      <c r="AR24" s="47"/>
      <c r="AS24" s="59">
        <f>AS26-(SUM(AS27:AS36))</f>
        <v>9.5998475862068968</v>
      </c>
      <c r="AT24" s="59">
        <f t="shared" ref="AT24:AV24" si="3">AT26-(SUM(AT27:AT36))</f>
        <v>-1.5241379310344826E-4</v>
      </c>
      <c r="AU24" s="59">
        <f t="shared" si="3"/>
        <v>-2.9310344827586214E-4</v>
      </c>
      <c r="AV24" s="59">
        <f t="shared" si="3"/>
        <v>-3.2827586206896558E-5</v>
      </c>
      <c r="AW24" s="47"/>
      <c r="AX24" s="47"/>
      <c r="AY24" s="47"/>
      <c r="AZ24" s="47"/>
      <c r="BA24" s="47"/>
      <c r="BB24" s="47"/>
    </row>
    <row r="25" spans="2:54" ht="20.25" customHeight="1" thickBot="1" x14ac:dyDescent="0.3">
      <c r="J25" s="66"/>
      <c r="M25" s="364"/>
      <c r="N25" s="453"/>
      <c r="O25" s="51" t="s">
        <v>24</v>
      </c>
      <c r="P25" s="67">
        <f>(P6+P7+P8+P9+P11)</f>
        <v>13.049999999999997</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459" t="s">
        <v>312</v>
      </c>
      <c r="V26" s="512"/>
      <c r="W26" s="512"/>
      <c r="X26" s="512"/>
      <c r="Y26" s="512"/>
      <c r="Z26" s="460"/>
      <c r="AO26" s="47"/>
      <c r="AP26" s="461"/>
      <c r="AQ26" s="461"/>
      <c r="AR26" s="461"/>
      <c r="AS26" s="72">
        <f>AK9</f>
        <v>9.6</v>
      </c>
      <c r="AT26" s="72">
        <f>AK12</f>
        <v>0</v>
      </c>
      <c r="AU26" s="72">
        <f>AK15</f>
        <v>0</v>
      </c>
      <c r="AV26" s="72">
        <f>AK18</f>
        <v>0</v>
      </c>
      <c r="AW26" s="47"/>
      <c r="AX26" s="47"/>
      <c r="AY26" s="47"/>
      <c r="AZ26" s="47"/>
      <c r="BA26" s="47"/>
      <c r="BB26" s="47"/>
    </row>
    <row r="27" spans="2:54" ht="20.25" customHeight="1" thickBot="1" x14ac:dyDescent="0.3">
      <c r="B27" s="488" t="str">
        <f>IF($O$47&gt;0,$O$47,"-")</f>
        <v>ARAGUAIA Dolomítico</v>
      </c>
      <c r="C27" s="488"/>
      <c r="D27" s="73" t="str">
        <f>IF(J27&gt;0,J27,"-")</f>
        <v>-</v>
      </c>
      <c r="E27" s="365" t="str">
        <f>IF(J27&gt;0,"toneladas por hectare ou,","-")</f>
        <v>-</v>
      </c>
      <c r="F27" s="365"/>
      <c r="G27" s="365"/>
      <c r="H27" s="365"/>
      <c r="I27" s="365"/>
      <c r="J27" s="74">
        <f>V51</f>
        <v>0</v>
      </c>
      <c r="U27" s="51" t="s">
        <v>32</v>
      </c>
      <c r="V27" s="51" t="s">
        <v>64</v>
      </c>
      <c r="W27" s="51" t="s">
        <v>75</v>
      </c>
      <c r="X27" s="51" t="s">
        <v>71</v>
      </c>
      <c r="Y27" s="51" t="s">
        <v>36</v>
      </c>
      <c r="Z27" s="51" t="s">
        <v>35</v>
      </c>
      <c r="AO27" s="47"/>
      <c r="AP27" s="447" t="s">
        <v>261</v>
      </c>
      <c r="AQ27" s="447" t="str">
        <f>B29</f>
        <v xml:space="preserve">Pó de brita Fmx (62) 3924 8565 </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20.25" customHeight="1" x14ac:dyDescent="0.25">
      <c r="B28" s="488"/>
      <c r="C28" s="488"/>
      <c r="D28" s="73" t="str">
        <f>IF(J28&gt;0,J28,"-")</f>
        <v>-</v>
      </c>
      <c r="E28" s="365" t="str">
        <f>IF(J28&gt;0,"quilos por metro quadrado","-")</f>
        <v>-</v>
      </c>
      <c r="F28" s="365"/>
      <c r="G28" s="365"/>
      <c r="H28" s="365"/>
      <c r="I28" s="365"/>
      <c r="J28" s="74">
        <f>J27/10</f>
        <v>0</v>
      </c>
      <c r="M28" s="48"/>
      <c r="N28" s="49"/>
      <c r="O28" s="49"/>
      <c r="P28" s="49"/>
      <c r="Q28" s="49"/>
      <c r="R28" s="50"/>
      <c r="U28" s="75">
        <v>0</v>
      </c>
      <c r="V28" s="75">
        <v>68</v>
      </c>
      <c r="W28" s="75" t="s">
        <v>68</v>
      </c>
      <c r="X28" s="75" t="str">
        <f>CONCATENATE(U28," - ",W28)</f>
        <v>0 - baixo</v>
      </c>
      <c r="Y28" s="75">
        <v>31</v>
      </c>
      <c r="Z28" s="75">
        <v>160</v>
      </c>
      <c r="AE28" s="51"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20.25" customHeight="1" x14ac:dyDescent="0.25">
      <c r="B29" s="488" t="str">
        <f>IF($O$50&gt;0,$O$50,"-")</f>
        <v xml:space="preserve">Pó de brita Fmx (62) 3924 8565 </v>
      </c>
      <c r="C29" s="488"/>
      <c r="D29" s="73" t="str">
        <f>IF(J29&gt;0,J29,"-")</f>
        <v>-</v>
      </c>
      <c r="E29" s="365" t="str">
        <f>IF(J29&gt;0,"toneladas por hectare ou,","-")</f>
        <v>-</v>
      </c>
      <c r="F29" s="365"/>
      <c r="G29" s="365"/>
      <c r="H29" s="365"/>
      <c r="I29" s="365"/>
      <c r="J29" s="74">
        <f>Z49</f>
        <v>0</v>
      </c>
      <c r="M29" s="364" t="s">
        <v>211</v>
      </c>
      <c r="N29" s="453"/>
      <c r="O29" s="489" t="s">
        <v>197</v>
      </c>
      <c r="P29" s="489"/>
      <c r="Q29" s="489"/>
      <c r="R29" s="53"/>
      <c r="U29" s="75">
        <v>0</v>
      </c>
      <c r="V29" s="75">
        <v>68</v>
      </c>
      <c r="W29" s="75" t="s">
        <v>69</v>
      </c>
      <c r="X29" s="75" t="str">
        <f t="shared" ref="X29:X36" si="9">CONCATENATE(U29," - ",W29)</f>
        <v>0 - medio</v>
      </c>
      <c r="Y29" s="75">
        <v>21</v>
      </c>
      <c r="Z29" s="75">
        <v>107</v>
      </c>
      <c r="AB29" s="458" t="s">
        <v>65</v>
      </c>
      <c r="AC29" s="458"/>
      <c r="AE29" s="51" t="s">
        <v>32</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20.25" customHeight="1" x14ac:dyDescent="0.25">
      <c r="B30" s="488"/>
      <c r="C30" s="488"/>
      <c r="D30" s="73" t="str">
        <f>IF(J30&gt;0,J30,"-")</f>
        <v>-</v>
      </c>
      <c r="E30" s="365" t="str">
        <f>IF(J30&gt;0,"quilos por metro quadrado","-")</f>
        <v>-</v>
      </c>
      <c r="F30" s="365"/>
      <c r="G30" s="365"/>
      <c r="H30" s="365"/>
      <c r="I30" s="365"/>
      <c r="J30" s="74">
        <f>J29/10</f>
        <v>0</v>
      </c>
      <c r="M30" s="364"/>
      <c r="N30" s="453"/>
      <c r="O30" s="32">
        <v>6</v>
      </c>
      <c r="P30" s="77" t="s">
        <v>200</v>
      </c>
      <c r="Q30" s="32">
        <v>8</v>
      </c>
      <c r="R30" s="53"/>
      <c r="U30" s="75">
        <v>0</v>
      </c>
      <c r="V30" s="75">
        <v>68</v>
      </c>
      <c r="W30" s="75" t="s">
        <v>70</v>
      </c>
      <c r="X30" s="75" t="str">
        <f t="shared" si="9"/>
        <v>0 - adequado</v>
      </c>
      <c r="Y30" s="75">
        <v>10</v>
      </c>
      <c r="Z30" s="75">
        <v>53</v>
      </c>
      <c r="AB30" s="78" t="s">
        <v>33</v>
      </c>
      <c r="AC30" s="78">
        <f>VLOOKUP($P$39,$U$28:$V$36,2,0)</f>
        <v>68</v>
      </c>
      <c r="AE30" s="51"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20.25" customHeight="1" x14ac:dyDescent="0.25">
      <c r="B31" s="514" t="s">
        <v>533</v>
      </c>
      <c r="C31" s="514"/>
      <c r="D31" s="514"/>
      <c r="E31" s="514"/>
      <c r="F31" s="514"/>
      <c r="G31" s="514"/>
      <c r="H31" s="514"/>
      <c r="I31" s="514"/>
      <c r="J31" s="74"/>
      <c r="M31" s="364"/>
      <c r="N31" s="365"/>
      <c r="O31" s="105"/>
      <c r="P31" s="105"/>
      <c r="Q31" s="105"/>
      <c r="R31" s="53"/>
      <c r="U31" s="75">
        <v>1</v>
      </c>
      <c r="V31" s="75">
        <v>68</v>
      </c>
      <c r="W31" s="75" t="s">
        <v>68</v>
      </c>
      <c r="X31" s="75" t="str">
        <f t="shared" si="9"/>
        <v>1 - baixo</v>
      </c>
      <c r="Y31" s="75">
        <v>31</v>
      </c>
      <c r="Z31" s="75">
        <v>160</v>
      </c>
      <c r="AB31" s="78" t="s">
        <v>66</v>
      </c>
      <c r="AC31" s="78">
        <f>VLOOKUP(AB36,X28:Z36,2,0)</f>
        <v>10</v>
      </c>
      <c r="AE31" s="51">
        <v>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20.25" customHeight="1" x14ac:dyDescent="0.25">
      <c r="B32" s="514"/>
      <c r="C32" s="514"/>
      <c r="D32" s="514"/>
      <c r="E32" s="514"/>
      <c r="F32" s="514"/>
      <c r="G32" s="514"/>
      <c r="H32" s="514"/>
      <c r="I32" s="514"/>
      <c r="J32" s="74"/>
      <c r="M32" s="364"/>
      <c r="N32" s="365"/>
      <c r="O32" s="80"/>
      <c r="P32" s="80"/>
      <c r="Q32" s="80"/>
      <c r="R32" s="53"/>
      <c r="U32" s="75">
        <v>1</v>
      </c>
      <c r="V32" s="75">
        <v>68</v>
      </c>
      <c r="W32" s="75" t="s">
        <v>69</v>
      </c>
      <c r="X32" s="75" t="str">
        <f t="shared" si="9"/>
        <v>1 - medio</v>
      </c>
      <c r="Y32" s="75">
        <v>21</v>
      </c>
      <c r="Z32" s="75">
        <v>107</v>
      </c>
      <c r="AB32" s="78" t="s">
        <v>67</v>
      </c>
      <c r="AC32" s="78">
        <f>VLOOKUP($AB$39,X28:Z36,3,0)</f>
        <v>53</v>
      </c>
      <c r="AE32" s="51">
        <v>1</v>
      </c>
      <c r="AI32" s="76">
        <v>0.2</v>
      </c>
      <c r="AK32" s="51" t="s">
        <v>292</v>
      </c>
      <c r="AO32" s="47"/>
      <c r="AP32" s="447"/>
      <c r="AQ32" s="447" t="str">
        <f t="shared" si="8"/>
        <v>EkoSil</v>
      </c>
      <c r="AR32" s="447"/>
      <c r="AS32" s="55">
        <f t="shared" si="4"/>
        <v>1.5241379310344826E-4</v>
      </c>
      <c r="AT32" s="55">
        <f t="shared" si="5"/>
        <v>1.5241379310344826E-4</v>
      </c>
      <c r="AU32" s="55">
        <f t="shared" si="6"/>
        <v>2.9310344827586214E-4</v>
      </c>
      <c r="AV32" s="55">
        <f t="shared" si="7"/>
        <v>3.2827586206896558E-5</v>
      </c>
      <c r="AW32" s="47"/>
      <c r="AX32" s="47"/>
      <c r="AY32" s="47"/>
      <c r="AZ32" s="47"/>
      <c r="BA32" s="47"/>
      <c r="BB32" s="47"/>
    </row>
    <row r="33" spans="2:57" ht="20.25" customHeight="1" thickBot="1" x14ac:dyDescent="0.3">
      <c r="B33" s="515"/>
      <c r="C33" s="515"/>
      <c r="D33" s="515"/>
      <c r="E33" s="515"/>
      <c r="F33" s="515"/>
      <c r="G33" s="515"/>
      <c r="H33" s="515"/>
      <c r="I33" s="515"/>
      <c r="J33" s="74"/>
      <c r="M33" s="364"/>
      <c r="N33" s="453"/>
      <c r="O33" s="489" t="s">
        <v>282</v>
      </c>
      <c r="P33" s="489"/>
      <c r="Q33" s="489"/>
      <c r="R33" s="53"/>
      <c r="U33" s="75">
        <v>1</v>
      </c>
      <c r="V33" s="75">
        <v>68</v>
      </c>
      <c r="W33" s="75" t="s">
        <v>70</v>
      </c>
      <c r="X33" s="75" t="str">
        <f t="shared" si="9"/>
        <v>1 - adequado</v>
      </c>
      <c r="Y33" s="75">
        <v>10</v>
      </c>
      <c r="Z33" s="75">
        <v>53</v>
      </c>
      <c r="AE33" s="51">
        <v>2</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364"/>
      <c r="N34" s="453"/>
      <c r="O34" s="448">
        <v>1</v>
      </c>
      <c r="P34" s="448"/>
      <c r="Q34" s="448"/>
      <c r="R34" s="53"/>
      <c r="U34" s="75">
        <v>2</v>
      </c>
      <c r="V34" s="75">
        <v>68</v>
      </c>
      <c r="W34" s="75" t="s">
        <v>68</v>
      </c>
      <c r="X34" s="75" t="str">
        <f t="shared" si="9"/>
        <v>2 - baixo</v>
      </c>
      <c r="Y34" s="75">
        <v>31</v>
      </c>
      <c r="Z34" s="75">
        <v>160</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20.25" customHeight="1" thickBot="1" x14ac:dyDescent="0.3">
      <c r="B35" s="488" t="str">
        <f>IF($O$55&gt;0,$O$55,"-")</f>
        <v>Siligesso Agronelli</v>
      </c>
      <c r="C35" s="488"/>
      <c r="D35" s="73">
        <f>IF(J34&gt;0,J34,"-")</f>
        <v>356.25</v>
      </c>
      <c r="E35" s="365" t="str">
        <f>IF(J34&gt;0,"quilos por hectare ou,","-")</f>
        <v>quilos por hectare ou,</v>
      </c>
      <c r="F35" s="365"/>
      <c r="G35" s="365"/>
      <c r="H35" s="365"/>
      <c r="I35" s="365"/>
      <c r="J35" s="81">
        <f>J34/10</f>
        <v>35.625</v>
      </c>
      <c r="M35" s="69"/>
      <c r="N35" s="70"/>
      <c r="O35" s="70"/>
      <c r="P35" s="83">
        <f>10000/($O$30*$Q$30)</f>
        <v>208.33333333333334</v>
      </c>
      <c r="Q35" s="83" t="e">
        <f>10000/((($O$32/2)+($P$32/2))*$Q$32)</f>
        <v>#DIV/0!</v>
      </c>
      <c r="R35" s="71"/>
      <c r="U35" s="75">
        <v>2</v>
      </c>
      <c r="V35" s="75">
        <v>68</v>
      </c>
      <c r="W35" s="75" t="s">
        <v>69</v>
      </c>
      <c r="X35" s="75" t="str">
        <f t="shared" si="9"/>
        <v>2 - medio</v>
      </c>
      <c r="Y35" s="75">
        <v>21</v>
      </c>
      <c r="Z35" s="75">
        <v>107</v>
      </c>
      <c r="AB35" s="457" t="s">
        <v>72</v>
      </c>
      <c r="AC35" s="457"/>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v>2</v>
      </c>
      <c r="V36" s="75">
        <v>68</v>
      </c>
      <c r="W36" s="75" t="s">
        <v>70</v>
      </c>
      <c r="X36" s="75" t="str">
        <f t="shared" si="9"/>
        <v>2 - adequado</v>
      </c>
      <c r="Y36" s="75">
        <v>10</v>
      </c>
      <c r="Z36" s="75">
        <v>53</v>
      </c>
      <c r="AB36" s="457" t="str">
        <f>CONCATENATE($P$39," - ",$AD$8)</f>
        <v>2 -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AI37" s="76">
        <v>0.7</v>
      </c>
      <c r="AK37" s="51" t="s">
        <v>290</v>
      </c>
      <c r="AO37" s="85"/>
      <c r="AP37" s="85"/>
      <c r="AQ37" s="85"/>
      <c r="AR37" s="85"/>
      <c r="AS37" s="59">
        <f>IF(AS24&gt;0,AS24,0)</f>
        <v>9.5998475862068968</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198</v>
      </c>
      <c r="P38" s="489"/>
      <c r="Q38" s="489"/>
      <c r="R38" s="53"/>
      <c r="AB38" s="457" t="s">
        <v>73</v>
      </c>
      <c r="AC38" s="457"/>
      <c r="AI38" s="76">
        <v>0.8</v>
      </c>
      <c r="AK38" s="51"/>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28.571428571428573</v>
      </c>
      <c r="M39" s="364"/>
      <c r="N39" s="365"/>
      <c r="O39" s="51" t="s">
        <v>182</v>
      </c>
      <c r="P39" s="448">
        <v>2</v>
      </c>
      <c r="Q39" s="448"/>
      <c r="R39" s="53"/>
      <c r="AB39" s="457" t="str">
        <f>CONCATENATE($P$39," - ",$AD$22)</f>
        <v>2 -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f>IF(AQ59&gt;0,AQ59,"-")</f>
        <v>7</v>
      </c>
      <c r="E40" s="362" t="str">
        <f>IF(AQ59&gt;0,"quilos por cova ou planta","-")</f>
        <v>quilos por cova ou planta</v>
      </c>
      <c r="F40" s="362"/>
      <c r="G40" s="362"/>
      <c r="H40" s="362"/>
      <c r="I40" s="362"/>
      <c r="J40" s="81">
        <f>AV7</f>
        <v>27.777777777777779</v>
      </c>
      <c r="M40" s="364"/>
      <c r="N40" s="365"/>
      <c r="O40" s="25"/>
      <c r="P40" s="25"/>
      <c r="Q40" s="25"/>
      <c r="R40" s="53"/>
      <c r="AI40" s="76">
        <v>1</v>
      </c>
      <c r="AO40" s="47"/>
      <c r="AP40" s="447" t="str">
        <f>O105</f>
        <v>Ácido Bórico</v>
      </c>
      <c r="AQ40" s="447"/>
      <c r="AR40" s="55">
        <f>IFERROR($AS$37/((VLOOKUP(AP40,$V$100:$AO$179,11,0)*0.01)),0)</f>
        <v>54.856271921182262</v>
      </c>
      <c r="AS40" s="55">
        <f>IFERROR($AT$37/((VLOOKUP(AP40,$V$100:$AO$179,14,0)*0.01)),0)</f>
        <v>0</v>
      </c>
      <c r="AT40" s="55">
        <f>IFERROR($AU$37/((VLOOKUP(AP40,$V$100:$AO$179,12,0)*0.01)),0)</f>
        <v>0</v>
      </c>
      <c r="AU40" s="55">
        <f>IFERROR($AV$37/((VLOOKUP(AP40,$V$100:$AO$179,13,0)*0.01)),0)</f>
        <v>0</v>
      </c>
      <c r="AV40" s="55">
        <f>MAX(AR40:AU40)</f>
        <v>54.856271921182262</v>
      </c>
      <c r="AW40" s="55">
        <f>IFERROR(AV40*(VLOOKUP(AP40,$V$100:$AO$179,11,0)*0.01),0)</f>
        <v>9.5998475862068968</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f t="shared" ref="D41:D49" si="10">IF(J39&gt;0,J39,"-")</f>
        <v>28.571428571428573</v>
      </c>
      <c r="E41" s="365" t="str">
        <f t="shared" ref="E41:E49" si="11">IF(J39&gt;0,"gramas por planta","-")</f>
        <v>gramas por planta</v>
      </c>
      <c r="F41" s="365"/>
      <c r="G41" s="365"/>
      <c r="H41" s="365"/>
      <c r="I41" s="365"/>
      <c r="J41" s="81">
        <f>AV8</f>
        <v>0</v>
      </c>
      <c r="M41" s="364"/>
      <c r="N41" s="365"/>
      <c r="O41" s="489" t="s">
        <v>308</v>
      </c>
      <c r="P41" s="489"/>
      <c r="Q41" s="489"/>
      <c r="R41" s="53"/>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2">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f t="shared" si="10"/>
        <v>27.777777777777779</v>
      </c>
      <c r="E42" s="365" t="str">
        <f t="shared" si="11"/>
        <v>gramas por planta</v>
      </c>
      <c r="F42" s="365"/>
      <c r="G42" s="365"/>
      <c r="H42" s="365"/>
      <c r="I42" s="365"/>
      <c r="J42" s="81">
        <f>AV12</f>
        <v>44.166666666666671</v>
      </c>
      <c r="M42" s="364"/>
      <c r="N42" s="365"/>
      <c r="O42" s="483" t="s">
        <v>292</v>
      </c>
      <c r="P42" s="513"/>
      <c r="Q42" s="484"/>
      <c r="R42" s="53"/>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2"/>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0"/>
        <v>-</v>
      </c>
      <c r="E43" s="365" t="str">
        <f t="shared" si="11"/>
        <v>-</v>
      </c>
      <c r="F43" s="365"/>
      <c r="G43" s="365"/>
      <c r="H43" s="365"/>
      <c r="I43" s="365"/>
      <c r="J43" s="81">
        <f>AV13</f>
        <v>331.25</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2"/>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0"/>
        <v>44.166666666666671</v>
      </c>
      <c r="E44" s="365" t="str">
        <f t="shared" si="11"/>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0"/>
        <v>331.25</v>
      </c>
      <c r="E45" s="365" t="str">
        <f t="shared" si="11"/>
        <v>gramas por planta</v>
      </c>
      <c r="F45" s="365"/>
      <c r="G45" s="365"/>
      <c r="H45" s="365"/>
      <c r="I45" s="365"/>
      <c r="J45" s="81">
        <f>AV18</f>
        <v>234.48275862068968</v>
      </c>
      <c r="M45" s="48"/>
      <c r="N45" s="49"/>
      <c r="O45" s="499" t="s">
        <v>305</v>
      </c>
      <c r="P45" s="500"/>
      <c r="Q45" s="501"/>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0"/>
        <v>-</v>
      </c>
      <c r="E46" s="365" t="str">
        <f t="shared" si="11"/>
        <v>-</v>
      </c>
      <c r="F46" s="365"/>
      <c r="G46" s="365"/>
      <c r="H46" s="365"/>
      <c r="I46" s="365"/>
      <c r="J46" s="81">
        <f>AV19</f>
        <v>0</v>
      </c>
      <c r="M46" s="364" t="s">
        <v>213</v>
      </c>
      <c r="N46" s="365"/>
      <c r="O46" s="502"/>
      <c r="P46" s="503"/>
      <c r="Q46" s="504"/>
      <c r="R46" s="53"/>
      <c r="U46" s="75" t="s">
        <v>109</v>
      </c>
      <c r="V46" s="89">
        <v>60</v>
      </c>
      <c r="X46" s="455" t="s">
        <v>268</v>
      </c>
      <c r="Y46" s="455"/>
      <c r="Z46" s="63">
        <f>IFERROR(VLOOKUP(O50,$V$87:$AE$95,10,0),0)</f>
        <v>9.1197279464721319</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0"/>
        <v>234.48275862068968</v>
      </c>
      <c r="E47" s="365" t="str">
        <f t="shared" si="11"/>
        <v>gramas por planta</v>
      </c>
      <c r="F47" s="365"/>
      <c r="G47" s="365"/>
      <c r="H47" s="365"/>
      <c r="I47" s="365"/>
      <c r="J47" s="81">
        <f>AV20</f>
        <v>0</v>
      </c>
      <c r="M47" s="364"/>
      <c r="N47" s="365"/>
      <c r="O47" s="481" t="s">
        <v>138</v>
      </c>
      <c r="P47" s="482"/>
      <c r="Q47" s="90">
        <v>0.5</v>
      </c>
      <c r="R47" s="53"/>
      <c r="U47" s="51" t="s">
        <v>111</v>
      </c>
      <c r="V47" s="63">
        <f>IFERROR((((V46-P24)*P25)/V49),0)</f>
        <v>-2.8311425682507574</v>
      </c>
      <c r="X47" s="455" t="s">
        <v>203</v>
      </c>
      <c r="Y47" s="455"/>
      <c r="Z47" s="63">
        <f>IFERROR((($V$50/$Z$46)*$V$47),0)</f>
        <v>-14.342400060714869</v>
      </c>
      <c r="AO47" s="47"/>
      <c r="BA47" s="47"/>
      <c r="BB47" s="47"/>
    </row>
    <row r="48" spans="2:57" ht="20.25" customHeight="1" x14ac:dyDescent="0.25">
      <c r="B48" s="449" t="str">
        <f>IF(AQ19&gt;0,AQ19,"-")</f>
        <v>-</v>
      </c>
      <c r="C48" s="449"/>
      <c r="D48" s="87" t="str">
        <f t="shared" si="10"/>
        <v>-</v>
      </c>
      <c r="E48" s="365" t="str">
        <f t="shared" si="11"/>
        <v>-</v>
      </c>
      <c r="F48" s="365"/>
      <c r="G48" s="365"/>
      <c r="H48" s="365"/>
      <c r="I48" s="365"/>
      <c r="J48" s="91"/>
      <c r="M48" s="364"/>
      <c r="N48" s="365"/>
      <c r="O48" s="603" t="s">
        <v>306</v>
      </c>
      <c r="P48" s="575"/>
      <c r="Q48" s="604"/>
      <c r="R48" s="53"/>
      <c r="U48" s="51" t="s">
        <v>201</v>
      </c>
      <c r="V48" s="63">
        <f>IF(V47&lt;0,(0),IF(V47&gt;=0,(V47)))</f>
        <v>0</v>
      </c>
      <c r="X48" s="455" t="s">
        <v>201</v>
      </c>
      <c r="Y48" s="455"/>
      <c r="Z48" s="63">
        <f>IFERROR(IF(Z47&lt;0,(0),IF(Z47&gt;=0,(Z47))),0)</f>
        <v>0</v>
      </c>
    </row>
    <row r="49" spans="2:50" ht="20.25" customHeight="1" x14ac:dyDescent="0.25">
      <c r="B49" s="449" t="str">
        <f>IF(AQ20&gt;0,AQ20,"-")</f>
        <v>-</v>
      </c>
      <c r="C49" s="449"/>
      <c r="D49" s="87" t="str">
        <f t="shared" si="10"/>
        <v>-</v>
      </c>
      <c r="E49" s="365" t="str">
        <f t="shared" si="11"/>
        <v>-</v>
      </c>
      <c r="F49" s="365"/>
      <c r="G49" s="365"/>
      <c r="H49" s="365"/>
      <c r="I49" s="365"/>
      <c r="M49" s="364"/>
      <c r="N49" s="365"/>
      <c r="O49" s="605"/>
      <c r="P49" s="576"/>
      <c r="Q49" s="606"/>
      <c r="R49" s="53"/>
      <c r="U49" s="51" t="s">
        <v>110</v>
      </c>
      <c r="V49" s="63">
        <f>IFERROR(VLOOKUP($O$47,$V$56:$AA$68,5,0),0)</f>
        <v>89.01</v>
      </c>
      <c r="X49" s="455" t="s">
        <v>273</v>
      </c>
      <c r="Y49" s="455"/>
      <c r="Z49" s="63">
        <f>Z48*$Q$50</f>
        <v>0</v>
      </c>
    </row>
    <row r="50" spans="2:50" ht="20.25" customHeight="1" x14ac:dyDescent="0.25">
      <c r="B50" s="476" t="s">
        <v>535</v>
      </c>
      <c r="C50" s="476"/>
      <c r="D50" s="476"/>
      <c r="E50" s="476"/>
      <c r="F50" s="476"/>
      <c r="G50" s="476"/>
      <c r="H50" s="476"/>
      <c r="I50" s="476"/>
      <c r="M50" s="364"/>
      <c r="N50" s="365"/>
      <c r="O50" s="483" t="s">
        <v>157</v>
      </c>
      <c r="P50" s="484"/>
      <c r="Q50" s="92">
        <v>0.5</v>
      </c>
      <c r="R50" s="53"/>
      <c r="U50" s="51" t="s">
        <v>193</v>
      </c>
      <c r="V50" s="63">
        <f>IFERROR(VLOOKUP($O$47,$V$56:$AA$68,6,0),0)</f>
        <v>46.2</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3">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3"/>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3"/>
        <v>3 - Composto de lixo (COL)</v>
      </c>
      <c r="AW54" s="51">
        <v>15</v>
      </c>
    </row>
    <row r="55" spans="2:50" ht="20.25" customHeight="1" x14ac:dyDescent="0.25">
      <c r="B55" s="449" t="str">
        <f>IF(AP40&gt;0,AP40,"-")</f>
        <v>Ácido Bórico</v>
      </c>
      <c r="C55" s="449"/>
      <c r="D55" s="87">
        <f>IF(AV40&gt;0,AV40,"-")</f>
        <v>54.856271921182262</v>
      </c>
      <c r="E55" s="365" t="str">
        <f>IF(AV40&gt;0,"gramas por planta","-")</f>
        <v>gramas por planta</v>
      </c>
      <c r="F55" s="365"/>
      <c r="G55" s="365"/>
      <c r="H55" s="365"/>
      <c r="I55" s="365"/>
      <c r="M55" s="364"/>
      <c r="N55" s="365"/>
      <c r="O55" s="448" t="s">
        <v>153</v>
      </c>
      <c r="P55" s="448"/>
      <c r="Q55" s="448"/>
      <c r="R55" s="53"/>
      <c r="U55" s="344"/>
      <c r="V55" s="344"/>
      <c r="W55" s="344"/>
      <c r="X55" s="95" t="s">
        <v>105</v>
      </c>
      <c r="Y55" s="95" t="s">
        <v>106</v>
      </c>
      <c r="Z55" s="95" t="s">
        <v>107</v>
      </c>
      <c r="AA55" s="95" t="s">
        <v>195</v>
      </c>
      <c r="AP55" s="465"/>
      <c r="AQ55" s="465"/>
      <c r="AS55" s="465"/>
      <c r="AT55" s="51">
        <v>4</v>
      </c>
      <c r="AU55" s="93" t="s">
        <v>286</v>
      </c>
      <c r="AV55" s="93" t="str">
        <f t="shared" si="13"/>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3"/>
        <v>0 - Cama de frango corte</v>
      </c>
      <c r="AW56" s="75">
        <v>4</v>
      </c>
      <c r="AX56" s="25"/>
    </row>
    <row r="57" spans="2:50" ht="20.25" customHeight="1" x14ac:dyDescent="0.25">
      <c r="B57" s="449" t="str">
        <f>IF(AP42&gt;0,AP42,"-")</f>
        <v>Sulfato de zinco</v>
      </c>
      <c r="C57" s="449"/>
      <c r="D57" s="87" t="str">
        <f>IF(AV42&gt;0,AV42,"-")</f>
        <v>-</v>
      </c>
      <c r="E57" s="365" t="str">
        <f t="shared" ref="E57:E59" si="14">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3"/>
        <v>1 - Cama de frango corte</v>
      </c>
      <c r="AW57" s="75">
        <v>1</v>
      </c>
    </row>
    <row r="58" spans="2:50" ht="20.25" customHeight="1" x14ac:dyDescent="0.25">
      <c r="B58" s="449" t="str">
        <f>IF(AP43&gt;0,AP43,"-")</f>
        <v>Sulfato de manganês</v>
      </c>
      <c r="C58" s="449"/>
      <c r="D58" s="87" t="str">
        <f>IF(AV43&gt;0,AV43,"-")</f>
        <v>-</v>
      </c>
      <c r="E58" s="365" t="str">
        <f t="shared" si="14"/>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2 - Esterco Bovino curtido</v>
      </c>
      <c r="AR58" s="463"/>
      <c r="AS58" s="25"/>
      <c r="AT58" s="75">
        <v>2</v>
      </c>
      <c r="AU58" s="97" t="s">
        <v>293</v>
      </c>
      <c r="AV58" s="97" t="str">
        <f t="shared" si="13"/>
        <v>2 - Cama de frango corte</v>
      </c>
      <c r="AW58" s="75">
        <v>3</v>
      </c>
    </row>
    <row r="59" spans="2:50" ht="20.25" customHeight="1" x14ac:dyDescent="0.25">
      <c r="B59" s="449" t="str">
        <f>IF(AP44&gt;0,AP44,"-")</f>
        <v>-</v>
      </c>
      <c r="C59" s="449"/>
      <c r="D59" s="87" t="str">
        <f>IF(AV44&gt;0,AV44,"-")</f>
        <v>-</v>
      </c>
      <c r="E59" s="365" t="str">
        <f t="shared" si="14"/>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7</v>
      </c>
      <c r="AR59" s="456"/>
      <c r="AS59" s="25"/>
      <c r="AT59" s="75">
        <v>3</v>
      </c>
      <c r="AU59" s="97" t="s">
        <v>293</v>
      </c>
      <c r="AV59" s="97" t="str">
        <f t="shared" si="13"/>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3"/>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3"/>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3"/>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3"/>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3"/>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3"/>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3"/>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3"/>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3"/>
        <v>2 - Esterco Bovino curtido</v>
      </c>
      <c r="AW68" s="75">
        <v>7</v>
      </c>
    </row>
    <row r="69" spans="2:49" ht="20.25" customHeight="1" thickBot="1" x14ac:dyDescent="0.3">
      <c r="M69" s="69"/>
      <c r="N69" s="70"/>
      <c r="O69" s="70"/>
      <c r="P69" s="70"/>
      <c r="Q69" s="70"/>
      <c r="R69" s="71"/>
      <c r="AT69" s="75">
        <v>3</v>
      </c>
      <c r="AU69" s="97" t="s">
        <v>292</v>
      </c>
      <c r="AV69" s="97" t="str">
        <f t="shared" si="13"/>
        <v>3 - Esterco Bovino curtido</v>
      </c>
      <c r="AW69" s="75">
        <v>12</v>
      </c>
    </row>
    <row r="70" spans="2:49" ht="20.25" customHeight="1" thickBot="1" x14ac:dyDescent="0.3">
      <c r="AT70" s="75">
        <v>4</v>
      </c>
      <c r="AU70" s="97" t="s">
        <v>292</v>
      </c>
      <c r="AV70" s="97" t="str">
        <f t="shared" si="13"/>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3"/>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3"/>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3"/>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3"/>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3"/>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3"/>
        <v>0 - Esterco de suínos</v>
      </c>
      <c r="AW76" s="75">
        <v>10</v>
      </c>
    </row>
    <row r="77" spans="2:49" ht="20.25" customHeight="1" x14ac:dyDescent="0.25">
      <c r="M77" s="364"/>
      <c r="N77" s="365"/>
      <c r="O77" s="37"/>
      <c r="P77" s="37"/>
      <c r="Q77" s="37"/>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3"/>
        <v>1 - Esterco de suínos</v>
      </c>
      <c r="AW77" s="75">
        <v>4</v>
      </c>
    </row>
    <row r="78" spans="2:49" ht="20.25" customHeight="1" x14ac:dyDescent="0.25">
      <c r="M78" s="364"/>
      <c r="N78" s="365"/>
      <c r="O78" s="391" t="s">
        <v>264</v>
      </c>
      <c r="P78" s="391"/>
      <c r="Q78" s="391"/>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3"/>
        <v>2 - Esterco de suínos</v>
      </c>
      <c r="AW78" s="75">
        <v>6</v>
      </c>
    </row>
    <row r="79" spans="2:49" ht="20.25" customHeight="1" x14ac:dyDescent="0.25">
      <c r="M79" s="364"/>
      <c r="N79" s="365"/>
      <c r="O79" s="37"/>
      <c r="P79" s="37"/>
      <c r="Q79" s="37"/>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3"/>
        <v>3 - Esterco de suínos</v>
      </c>
      <c r="AW79" s="75">
        <v>10</v>
      </c>
    </row>
    <row r="80" spans="2:49" ht="20.25" customHeight="1" x14ac:dyDescent="0.25">
      <c r="M80" s="364"/>
      <c r="N80" s="365"/>
      <c r="O80" s="557" t="s">
        <v>253</v>
      </c>
      <c r="P80" s="558"/>
      <c r="Q80" s="559"/>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3"/>
        <v>4 - Esterco de suínos</v>
      </c>
      <c r="AW80" s="75">
        <v>4</v>
      </c>
    </row>
    <row r="81" spans="13:49" ht="20.25" customHeight="1" x14ac:dyDescent="0.25">
      <c r="M81" s="364"/>
      <c r="N81" s="365"/>
      <c r="O81" s="557" t="s">
        <v>251</v>
      </c>
      <c r="P81" s="558"/>
      <c r="Q81" s="559"/>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3"/>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3"/>
        <v>1 - Esterco de ovinos</v>
      </c>
      <c r="AW82" s="51">
        <v>4</v>
      </c>
    </row>
    <row r="83" spans="13:49" ht="20.25" customHeight="1" x14ac:dyDescent="0.25">
      <c r="M83" s="364"/>
      <c r="N83" s="365"/>
      <c r="O83" s="448" t="s">
        <v>116</v>
      </c>
      <c r="P83" s="448"/>
      <c r="Q83" s="92">
        <v>0.5</v>
      </c>
      <c r="R83" s="53"/>
      <c r="AT83" s="51">
        <v>2</v>
      </c>
      <c r="AU83" s="93" t="s">
        <v>288</v>
      </c>
      <c r="AV83" s="93" t="str">
        <f t="shared" si="13"/>
        <v>2 - Esterco de ovinos</v>
      </c>
      <c r="AW83" s="51">
        <v>6</v>
      </c>
    </row>
    <row r="84" spans="13:49" ht="20.25" customHeight="1" x14ac:dyDescent="0.25">
      <c r="M84" s="364"/>
      <c r="N84" s="365"/>
      <c r="O84" s="448"/>
      <c r="P84" s="448"/>
      <c r="Q84" s="92"/>
      <c r="R84" s="53"/>
      <c r="AT84" s="51">
        <v>3</v>
      </c>
      <c r="AU84" s="93" t="s">
        <v>288</v>
      </c>
      <c r="AV84" s="93" t="str">
        <f t="shared" si="13"/>
        <v>3 - Esterco de ovinos</v>
      </c>
      <c r="AW84" s="51">
        <v>10</v>
      </c>
    </row>
    <row r="85" spans="13:49" ht="20.25" customHeight="1" x14ac:dyDescent="0.25">
      <c r="M85" s="364"/>
      <c r="N85" s="365"/>
      <c r="O85" s="37"/>
      <c r="P85" s="37"/>
      <c r="Q85" s="37"/>
      <c r="R85" s="53"/>
      <c r="U85" s="464" t="s">
        <v>136</v>
      </c>
      <c r="V85" s="464" t="s">
        <v>76</v>
      </c>
      <c r="W85" s="464" t="s">
        <v>77</v>
      </c>
      <c r="X85" s="464" t="s">
        <v>78</v>
      </c>
      <c r="Y85" s="464"/>
      <c r="Z85" s="464"/>
      <c r="AA85" s="464"/>
      <c r="AB85" s="464"/>
      <c r="AC85" s="464"/>
      <c r="AD85" s="464"/>
      <c r="AE85" s="464"/>
      <c r="AT85" s="51">
        <v>4</v>
      </c>
      <c r="AU85" s="93" t="s">
        <v>288</v>
      </c>
      <c r="AV85" s="93" t="str">
        <f t="shared" si="13"/>
        <v>4 - Esterco de ovinos</v>
      </c>
      <c r="AW85" s="51">
        <v>4</v>
      </c>
    </row>
    <row r="86" spans="13:49" ht="20.25" customHeight="1" x14ac:dyDescent="0.25">
      <c r="M86" s="364"/>
      <c r="N86" s="365"/>
      <c r="O86" s="391" t="s">
        <v>264</v>
      </c>
      <c r="P86" s="391"/>
      <c r="Q86" s="391"/>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3"/>
        <v>0 - Lodo de esgosto</v>
      </c>
      <c r="AW86" s="75">
        <v>15</v>
      </c>
    </row>
    <row r="87" spans="13:49" ht="20.25" customHeight="1" x14ac:dyDescent="0.25">
      <c r="M87" s="364"/>
      <c r="N87" s="365"/>
      <c r="O87" s="37"/>
      <c r="P87" s="37"/>
      <c r="Q87" s="37"/>
      <c r="R87" s="53"/>
      <c r="U87" s="466" t="s">
        <v>194</v>
      </c>
      <c r="V87" s="99" t="str">
        <f>V160</f>
        <v xml:space="preserve">Biotita Xisto (61) 3233-9368 </v>
      </c>
      <c r="W87" s="99">
        <f>W160</f>
        <v>0</v>
      </c>
      <c r="X87" s="99">
        <f>AL160</f>
        <v>57.8</v>
      </c>
      <c r="Y87" s="99">
        <f t="shared" ref="Y87:AB95" si="15">Y160</f>
        <v>8.7999999999999995E-2</v>
      </c>
      <c r="Z87" s="99">
        <f t="shared" si="15"/>
        <v>0.2</v>
      </c>
      <c r="AA87" s="99">
        <f t="shared" si="15"/>
        <v>2.83</v>
      </c>
      <c r="AB87" s="99">
        <f t="shared" si="15"/>
        <v>3.4</v>
      </c>
      <c r="AC87" s="100">
        <f>AC160*0.602</f>
        <v>1.5155244755244754</v>
      </c>
      <c r="AD87" s="100">
        <f>AD160*0.715</f>
        <v>5.4634551495016606</v>
      </c>
      <c r="AE87" s="100">
        <f t="shared" ref="AE87:AE95" si="16">AB87+AC87+AD87</f>
        <v>10.378979625026137</v>
      </c>
      <c r="AT87" s="75">
        <v>1</v>
      </c>
      <c r="AU87" s="97" t="s">
        <v>289</v>
      </c>
      <c r="AV87" s="97" t="str">
        <f t="shared" si="13"/>
        <v>1 - Lodo de esgosto</v>
      </c>
      <c r="AW87" s="75">
        <v>10</v>
      </c>
    </row>
    <row r="88" spans="13:49" ht="20.25" customHeight="1" x14ac:dyDescent="0.25">
      <c r="M88" s="364"/>
      <c r="N88" s="365"/>
      <c r="O88" s="557" t="s">
        <v>254</v>
      </c>
      <c r="P88" s="558"/>
      <c r="Q88" s="559"/>
      <c r="R88" s="53"/>
      <c r="U88" s="466"/>
      <c r="V88" s="99" t="str">
        <f t="shared" ref="V88:W95" si="17">V161</f>
        <v>Kamafugito</v>
      </c>
      <c r="W88" s="99">
        <f t="shared" si="17"/>
        <v>0</v>
      </c>
      <c r="X88" s="99">
        <f t="shared" ref="X88:X95" si="18">AL161</f>
        <v>0</v>
      </c>
      <c r="Y88" s="99">
        <f t="shared" si="15"/>
        <v>1.5069999999999999</v>
      </c>
      <c r="Z88" s="99">
        <f t="shared" si="15"/>
        <v>3.5</v>
      </c>
      <c r="AA88" s="99">
        <f t="shared" si="15"/>
        <v>3.3250000000000002</v>
      </c>
      <c r="AB88" s="99">
        <f t="shared" si="15"/>
        <v>4</v>
      </c>
      <c r="AC88" s="100">
        <f t="shared" ref="AC88:AC95" si="19">AC161*0.602</f>
        <v>1.7217199999999999</v>
      </c>
      <c r="AD88" s="100">
        <f t="shared" ref="AD88:AD95" si="20">AD161*0.715</f>
        <v>0</v>
      </c>
      <c r="AE88" s="100">
        <f t="shared" si="16"/>
        <v>5.7217199999999995</v>
      </c>
      <c r="AT88" s="75">
        <v>2</v>
      </c>
      <c r="AU88" s="97" t="s">
        <v>289</v>
      </c>
      <c r="AV88" s="97" t="str">
        <f t="shared" si="13"/>
        <v>2 - Lodo de esgosto</v>
      </c>
      <c r="AW88" s="75">
        <v>5</v>
      </c>
    </row>
    <row r="89" spans="13:49" ht="20.25" customHeight="1" x14ac:dyDescent="0.25">
      <c r="M89" s="364"/>
      <c r="N89" s="365"/>
      <c r="O89" s="557" t="s">
        <v>251</v>
      </c>
      <c r="P89" s="558"/>
      <c r="Q89" s="559"/>
      <c r="R89" s="53"/>
      <c r="U89" s="466"/>
      <c r="V89" s="99" t="str">
        <f t="shared" si="17"/>
        <v>Micaxisto (61) 3233-9368</v>
      </c>
      <c r="W89" s="99">
        <f t="shared" si="17"/>
        <v>0</v>
      </c>
      <c r="X89" s="99">
        <f t="shared" si="18"/>
        <v>0</v>
      </c>
      <c r="Y89" s="99">
        <f t="shared" si="15"/>
        <v>4.4999999999999998E-2</v>
      </c>
      <c r="Z89" s="99">
        <f t="shared" si="15"/>
        <v>0.1</v>
      </c>
      <c r="AA89" s="99">
        <f t="shared" si="15"/>
        <v>4.32</v>
      </c>
      <c r="AB89" s="99">
        <f t="shared" si="15"/>
        <v>5.2</v>
      </c>
      <c r="AC89" s="100">
        <f t="shared" si="19"/>
        <v>0.75776223776223772</v>
      </c>
      <c r="AD89" s="100">
        <f t="shared" si="20"/>
        <v>0.83139534883720934</v>
      </c>
      <c r="AE89" s="100">
        <f t="shared" si="16"/>
        <v>6.7891575865994476</v>
      </c>
      <c r="AT89" s="75">
        <v>3</v>
      </c>
      <c r="AU89" s="97" t="s">
        <v>289</v>
      </c>
      <c r="AV89" s="97" t="str">
        <f t="shared" si="13"/>
        <v>3 - Lodo de esgosto</v>
      </c>
      <c r="AW89" s="75">
        <v>15</v>
      </c>
    </row>
    <row r="90" spans="13:49" ht="20.25" customHeight="1" x14ac:dyDescent="0.25">
      <c r="M90" s="364"/>
      <c r="N90" s="365"/>
      <c r="O90" s="448" t="s">
        <v>93</v>
      </c>
      <c r="P90" s="448"/>
      <c r="Q90" s="92">
        <v>1</v>
      </c>
      <c r="R90" s="53"/>
      <c r="U90" s="466"/>
      <c r="V90" s="99" t="str">
        <f t="shared" si="17"/>
        <v xml:space="preserve">Pó de brita Fmx (62) 3924 8565 </v>
      </c>
      <c r="W90" s="99">
        <f t="shared" si="17"/>
        <v>0</v>
      </c>
      <c r="X90" s="99">
        <f t="shared" si="18"/>
        <v>0</v>
      </c>
      <c r="Y90" s="99">
        <f t="shared" si="15"/>
        <v>0</v>
      </c>
      <c r="Z90" s="99">
        <f t="shared" si="15"/>
        <v>0</v>
      </c>
      <c r="AA90" s="99">
        <f t="shared" si="15"/>
        <v>4.99</v>
      </c>
      <c r="AB90" s="99">
        <f t="shared" si="15"/>
        <v>6</v>
      </c>
      <c r="AC90" s="100">
        <f t="shared" si="19"/>
        <v>2.5258741258741257</v>
      </c>
      <c r="AD90" s="100">
        <f t="shared" si="20"/>
        <v>0.59385382059800662</v>
      </c>
      <c r="AE90" s="100">
        <f t="shared" si="16"/>
        <v>9.1197279464721319</v>
      </c>
      <c r="AT90" s="75">
        <v>4</v>
      </c>
      <c r="AU90" s="97" t="s">
        <v>289</v>
      </c>
      <c r="AV90" s="97" t="str">
        <f t="shared" si="13"/>
        <v>4 - Lodo de esgosto</v>
      </c>
      <c r="AW90" s="75">
        <v>10</v>
      </c>
    </row>
    <row r="91" spans="13:49" ht="20.25" customHeight="1" x14ac:dyDescent="0.25">
      <c r="M91" s="364"/>
      <c r="N91" s="365"/>
      <c r="O91" s="448"/>
      <c r="P91" s="448"/>
      <c r="Q91" s="92"/>
      <c r="R91" s="53"/>
      <c r="U91" s="466"/>
      <c r="V91" s="99" t="str">
        <f t="shared" si="17"/>
        <v>Remax Mistel (61) 99414-1975</v>
      </c>
      <c r="W91" s="99">
        <f t="shared" si="17"/>
        <v>0</v>
      </c>
      <c r="X91" s="99">
        <f t="shared" si="18"/>
        <v>43.8</v>
      </c>
      <c r="Y91" s="99">
        <f t="shared" si="15"/>
        <v>4.4999999999999998E-2</v>
      </c>
      <c r="Z91" s="99">
        <f t="shared" si="15"/>
        <v>0.1</v>
      </c>
      <c r="AA91" s="99">
        <f t="shared" si="15"/>
        <v>2.1949999999999998</v>
      </c>
      <c r="AB91" s="99">
        <f t="shared" si="15"/>
        <v>2.6</v>
      </c>
      <c r="AC91" s="100">
        <f t="shared" si="19"/>
        <v>11.282237762237763</v>
      </c>
      <c r="AD91" s="100">
        <f t="shared" si="20"/>
        <v>8.8959302325581397</v>
      </c>
      <c r="AE91" s="100">
        <f t="shared" si="16"/>
        <v>22.778167994795901</v>
      </c>
      <c r="AT91" s="51">
        <v>0</v>
      </c>
      <c r="AU91" s="93" t="s">
        <v>290</v>
      </c>
      <c r="AV91" s="93" t="str">
        <f t="shared" si="13"/>
        <v>0 - Compostos orgânicos</v>
      </c>
      <c r="AW91" s="51">
        <v>6</v>
      </c>
    </row>
    <row r="92" spans="13:49" ht="20.25" customHeight="1" x14ac:dyDescent="0.25">
      <c r="M92" s="364"/>
      <c r="N92" s="365"/>
      <c r="O92" s="448"/>
      <c r="P92" s="448"/>
      <c r="Q92" s="92"/>
      <c r="R92" s="53"/>
      <c r="U92" s="466"/>
      <c r="V92" s="99">
        <f t="shared" si="17"/>
        <v>0</v>
      </c>
      <c r="W92" s="99">
        <f t="shared" si="17"/>
        <v>0</v>
      </c>
      <c r="X92" s="99">
        <f t="shared" si="18"/>
        <v>0</v>
      </c>
      <c r="Y92" s="99">
        <f t="shared" si="15"/>
        <v>0</v>
      </c>
      <c r="Z92" s="99">
        <f t="shared" si="15"/>
        <v>0</v>
      </c>
      <c r="AA92" s="99">
        <f t="shared" si="15"/>
        <v>0</v>
      </c>
      <c r="AB92" s="99">
        <f t="shared" si="15"/>
        <v>0</v>
      </c>
      <c r="AC92" s="100">
        <f t="shared" si="19"/>
        <v>0</v>
      </c>
      <c r="AD92" s="100">
        <f t="shared" si="20"/>
        <v>0</v>
      </c>
      <c r="AE92" s="100">
        <f t="shared" si="16"/>
        <v>0</v>
      </c>
      <c r="AT92" s="51">
        <v>1</v>
      </c>
      <c r="AU92" s="93" t="s">
        <v>290</v>
      </c>
      <c r="AV92" s="93" t="str">
        <f t="shared" si="13"/>
        <v>1 - Compostos orgânicos</v>
      </c>
      <c r="AW92" s="51">
        <v>2</v>
      </c>
    </row>
    <row r="93" spans="13:49" ht="20.25" customHeight="1" x14ac:dyDescent="0.25">
      <c r="M93" s="101"/>
      <c r="N93" s="25"/>
      <c r="O93" s="25"/>
      <c r="P93" s="25"/>
      <c r="Q93" s="25"/>
      <c r="R93" s="53"/>
      <c r="U93" s="466"/>
      <c r="V93" s="99">
        <f t="shared" si="17"/>
        <v>0</v>
      </c>
      <c r="W93" s="99">
        <f t="shared" si="17"/>
        <v>0</v>
      </c>
      <c r="X93" s="99">
        <f t="shared" si="18"/>
        <v>0</v>
      </c>
      <c r="Y93" s="99">
        <f t="shared" si="15"/>
        <v>0</v>
      </c>
      <c r="Z93" s="99">
        <f t="shared" si="15"/>
        <v>0</v>
      </c>
      <c r="AA93" s="99">
        <f t="shared" si="15"/>
        <v>0</v>
      </c>
      <c r="AB93" s="99">
        <f t="shared" si="15"/>
        <v>0</v>
      </c>
      <c r="AC93" s="100">
        <f t="shared" si="19"/>
        <v>0</v>
      </c>
      <c r="AD93" s="100">
        <f t="shared" si="20"/>
        <v>0</v>
      </c>
      <c r="AE93" s="100">
        <f t="shared" si="16"/>
        <v>0</v>
      </c>
      <c r="AT93" s="51">
        <v>2</v>
      </c>
      <c r="AU93" s="93" t="s">
        <v>290</v>
      </c>
      <c r="AV93" s="93" t="str">
        <f t="shared" si="13"/>
        <v>2 - Compostos orgânicos</v>
      </c>
      <c r="AW93" s="51">
        <v>4</v>
      </c>
    </row>
    <row r="94" spans="13:49" ht="20.25" customHeight="1" x14ac:dyDescent="0.25">
      <c r="M94" s="101"/>
      <c r="N94" s="25"/>
      <c r="O94" s="365" t="s">
        <v>264</v>
      </c>
      <c r="P94" s="365"/>
      <c r="Q94" s="365"/>
      <c r="R94" s="53"/>
      <c r="U94" s="466"/>
      <c r="V94" s="99">
        <f t="shared" si="17"/>
        <v>0</v>
      </c>
      <c r="W94" s="99">
        <f t="shared" si="17"/>
        <v>0</v>
      </c>
      <c r="X94" s="99">
        <f t="shared" si="18"/>
        <v>0</v>
      </c>
      <c r="Y94" s="99">
        <f t="shared" si="15"/>
        <v>0</v>
      </c>
      <c r="Z94" s="99">
        <f t="shared" si="15"/>
        <v>0</v>
      </c>
      <c r="AA94" s="99">
        <f t="shared" si="15"/>
        <v>0</v>
      </c>
      <c r="AB94" s="99">
        <f t="shared" si="15"/>
        <v>0</v>
      </c>
      <c r="AC94" s="100">
        <f t="shared" si="19"/>
        <v>0</v>
      </c>
      <c r="AD94" s="100">
        <f t="shared" si="20"/>
        <v>0</v>
      </c>
      <c r="AE94" s="100">
        <f t="shared" si="16"/>
        <v>0</v>
      </c>
      <c r="AT94" s="51">
        <v>3</v>
      </c>
      <c r="AU94" s="93" t="s">
        <v>290</v>
      </c>
      <c r="AV94" s="93" t="str">
        <f t="shared" si="13"/>
        <v>3 - Compostos orgânicos</v>
      </c>
      <c r="AW94" s="51">
        <v>6</v>
      </c>
    </row>
    <row r="95" spans="13:49" ht="20.25" customHeight="1" thickBot="1" x14ac:dyDescent="0.3">
      <c r="M95" s="69"/>
      <c r="N95" s="70"/>
      <c r="O95" s="70"/>
      <c r="P95" s="70"/>
      <c r="Q95" s="70"/>
      <c r="R95" s="71"/>
      <c r="U95" s="466"/>
      <c r="V95" s="99">
        <f t="shared" si="17"/>
        <v>0</v>
      </c>
      <c r="W95" s="99">
        <f t="shared" si="17"/>
        <v>0</v>
      </c>
      <c r="X95" s="99">
        <f t="shared" si="18"/>
        <v>0</v>
      </c>
      <c r="Y95" s="99">
        <f t="shared" si="15"/>
        <v>0</v>
      </c>
      <c r="Z95" s="99">
        <f t="shared" si="15"/>
        <v>0</v>
      </c>
      <c r="AA95" s="99">
        <f t="shared" si="15"/>
        <v>0</v>
      </c>
      <c r="AB95" s="99">
        <f t="shared" si="15"/>
        <v>0</v>
      </c>
      <c r="AC95" s="100">
        <f t="shared" si="19"/>
        <v>0</v>
      </c>
      <c r="AD95" s="100">
        <f t="shared" si="20"/>
        <v>0</v>
      </c>
      <c r="AE95" s="100">
        <f t="shared" si="16"/>
        <v>0</v>
      </c>
      <c r="AT95" s="51">
        <v>4</v>
      </c>
      <c r="AU95" s="93" t="s">
        <v>290</v>
      </c>
      <c r="AV95" s="93" t="str">
        <f t="shared" si="13"/>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$AC$30</f>
        <v>68</v>
      </c>
      <c r="P99" s="103">
        <f>$AC$31</f>
        <v>10</v>
      </c>
      <c r="Q99" s="103">
        <f>$AC$32</f>
        <v>53</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9.6</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AQ59:AR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dataValidations count="5">
    <dataValidation type="list" allowBlank="1" showInputMessage="1" showErrorMessage="1" sqref="O105:Q109">
      <formula1>$V$170:$V$179</formula1>
    </dataValidation>
    <dataValidation type="list" allowBlank="1" showInputMessage="1" showErrorMessage="1" sqref="O42:Q42">
      <formula1>$AK$29:$AK$38</formula1>
    </dataValidation>
    <dataValidation type="list" allowBlank="1" showInputMessage="1" showErrorMessage="1" sqref="Q82:Q84 Q90:Q92 Q74:Q76 Q47 Q50">
      <formula1>$AI$29:$AI$40</formula1>
    </dataValidation>
    <dataValidation type="list" allowBlank="1" showInputMessage="1" showErrorMessage="1" sqref="P39:Q39">
      <formula1>$AE$31:$AE$33</formula1>
    </dataValidation>
    <dataValidation type="list" allowBlank="1" showInputMessage="1" showErrorMessage="1" sqref="O68 O176 N159 O174">
      <formula1>$AG$29:$AG$30</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corretivos'!$C$3:$C$62</xm:f>
          </x14:formula1>
          <xm:sqref>O74:P76 O82:P84 O90:P92</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corretivos'!$C$87:$C$99</xm:f>
          </x14:formula1>
          <xm:sqref>O47:P47</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E48" sqref="E48:I48"/>
    </sheetView>
  </sheetViews>
  <sheetFormatPr defaultRowHeight="19.5" customHeight="1" outlineLevelCol="1" x14ac:dyDescent="0.25"/>
  <cols>
    <col min="1" max="1" width="5.7109375" style="11" customWidth="1"/>
    <col min="2" max="2" width="37.28515625" style="11" customWidth="1"/>
    <col min="3" max="3" width="29.5703125" style="11" customWidth="1"/>
    <col min="4" max="9" width="16.7109375" style="11" customWidth="1"/>
    <col min="10" max="10" width="5.85546875" style="66" customWidth="1"/>
    <col min="11" max="12" width="0" style="11" hidden="1" customWidth="1"/>
    <col min="13" max="13" width="36.5703125" style="11" customWidth="1"/>
    <col min="14" max="14" width="13.140625" style="11" bestFit="1" customWidth="1"/>
    <col min="15" max="15" width="29.7109375" style="11" customWidth="1"/>
    <col min="16" max="16" width="18.42578125" style="11" customWidth="1"/>
    <col min="17" max="17" width="49.140625" style="11" customWidth="1"/>
    <col min="18" max="18" width="8"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7.42578125" style="11" hidden="1" customWidth="1" outlineLevel="1"/>
    <col min="25" max="25" width="22.42578125" style="11" hidden="1" customWidth="1" outlineLevel="1"/>
    <col min="26" max="26" width="22"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36.140625" style="11" hidden="1" customWidth="1" outlineLevel="1"/>
    <col min="32" max="32" width="25.5703125" style="11" hidden="1" customWidth="1" outlineLevel="1"/>
    <col min="33" max="33" width="22" style="11" hidden="1" customWidth="1" outlineLevel="1"/>
    <col min="34" max="34" width="21.5703125" style="11" hidden="1" customWidth="1" outlineLevel="1"/>
    <col min="35" max="35" width="24.7109375" style="11" hidden="1" customWidth="1" outlineLevel="1"/>
    <col min="36" max="36" width="14.28515625" style="11" hidden="1" customWidth="1" outlineLevel="1"/>
    <col min="37" max="37" width="32.42578125" style="11" hidden="1" customWidth="1" outlineLevel="1"/>
    <col min="38" max="38" width="13.1406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13.7109375" style="11" hidden="1" customWidth="1" outlineLevel="1"/>
    <col min="47" max="47" width="31.42578125" style="11" hidden="1" customWidth="1" outlineLevel="1"/>
    <col min="48" max="48" width="9.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19.5" customHeight="1" thickBot="1" x14ac:dyDescent="0.3">
      <c r="A1" s="23"/>
    </row>
    <row r="2" spans="1:54" ht="19.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19.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19.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19.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864</v>
      </c>
      <c r="AT5" s="55">
        <f>$AC$31</f>
        <v>158.4</v>
      </c>
      <c r="AU5" s="55">
        <f>$AC$32</f>
        <v>705.6</v>
      </c>
      <c r="AV5" s="509"/>
      <c r="AW5" s="47"/>
      <c r="AX5" s="47"/>
      <c r="AY5" s="47"/>
      <c r="AZ5" s="47"/>
      <c r="BA5" s="47"/>
      <c r="BB5" s="47"/>
    </row>
    <row r="6" spans="1:54" ht="19.5" customHeight="1" x14ac:dyDescent="0.25">
      <c r="M6" s="364"/>
      <c r="N6" s="453"/>
      <c r="O6" s="51" t="s">
        <v>3</v>
      </c>
      <c r="P6" s="56">
        <v>6.6</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79.200000000000017</v>
      </c>
      <c r="AU6" s="55">
        <f>IFERROR((VLOOKUP(AQ6,$V$100:$AB$179,7,0)*0.01)*AV6,0)</f>
        <v>0</v>
      </c>
      <c r="AV6" s="55">
        <f>IFERROR($AT$5*Q74/(VLOOKUP(AQ6,$V$100:$AB$179,5,0)/100),0)</f>
        <v>452.57142857142861</v>
      </c>
      <c r="AW6" s="47"/>
      <c r="AX6" s="47"/>
      <c r="AY6" s="47"/>
      <c r="AZ6" s="47"/>
      <c r="BA6" s="47"/>
      <c r="BB6" s="47"/>
    </row>
    <row r="7" spans="1:54" ht="19.5" customHeight="1" x14ac:dyDescent="0.25">
      <c r="M7" s="364"/>
      <c r="N7" s="453"/>
      <c r="O7" s="51" t="s">
        <v>4</v>
      </c>
      <c r="P7" s="32">
        <v>2.2999999999999998</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79.2</v>
      </c>
      <c r="AU7" s="55">
        <f>IFERROR((VLOOKUP(AQ7,$V$100:$AB$179,7,0)*0.01)*AV7,0)</f>
        <v>0</v>
      </c>
      <c r="AV7" s="55">
        <f>IFERROR($AT$5*Q75/(VLOOKUP(AQ7,$V$100:$AB$179,5,0)/100),0)</f>
        <v>440.00000000000006</v>
      </c>
      <c r="AW7" s="47"/>
      <c r="AX7" s="47"/>
      <c r="AY7" s="47"/>
      <c r="AZ7" s="47"/>
      <c r="BA7" s="47"/>
      <c r="BB7" s="47"/>
    </row>
    <row r="8" spans="1:54" ht="19.5" customHeight="1" thickBot="1" x14ac:dyDescent="0.3">
      <c r="M8" s="364"/>
      <c r="N8" s="453"/>
      <c r="O8" s="51" t="s">
        <v>5</v>
      </c>
      <c r="P8" s="56">
        <v>1.01</v>
      </c>
      <c r="Q8" s="57" t="s">
        <v>55</v>
      </c>
      <c r="R8" s="53"/>
      <c r="U8" s="51" t="s">
        <v>37</v>
      </c>
      <c r="V8" s="51" t="s">
        <v>39</v>
      </c>
      <c r="W8" s="51" t="s">
        <v>30</v>
      </c>
      <c r="X8" s="51" t="s">
        <v>43</v>
      </c>
      <c r="Y8" s="51" t="str">
        <f>IF($P$21&lt;=15.99,"correto","erro")</f>
        <v>erro</v>
      </c>
      <c r="Z8" s="51" t="str">
        <f>IF($P$13&lt;=12,"baixo","erro")</f>
        <v>erro</v>
      </c>
      <c r="AA8" s="51" t="str">
        <f>IF(AND($P$13&gt;=12.01,$P$13&lt;=18),"medio","erro")</f>
        <v>erro</v>
      </c>
      <c r="AB8" s="51" t="str">
        <f>IF($P$13&gt;18,"adequado","erro")</f>
        <v>adequado</v>
      </c>
      <c r="AC8" s="51" t="str">
        <f>IF(Z8="baixo","baixo",IF(AA8="medio","medio",IF(AB8="adequado","adequado",0)))</f>
        <v>adequado</v>
      </c>
      <c r="AD8" s="457" t="str">
        <f>VLOOKUP("correto",Y8:AC11,5,0)</f>
        <v>adequado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19.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erro</v>
      </c>
      <c r="AA9" s="51" t="str">
        <f>IF(AND($P$13&gt;=10.01,$P$13&lt;=15),"medio","erro")</f>
        <v>erro</v>
      </c>
      <c r="AB9" s="51" t="str">
        <f>IF($P$13&gt;15,"adequado","erro")</f>
        <v>adequado</v>
      </c>
      <c r="AC9" s="51" t="str">
        <f>IF(Z9="baixo","baixo",IF(AA9="medio","medio",IF(AB9="adequado","adequado",0)))</f>
        <v>adequado</v>
      </c>
      <c r="AD9" s="457"/>
      <c r="AF9" s="511" t="s">
        <v>246</v>
      </c>
      <c r="AG9" s="58" t="s">
        <v>25</v>
      </c>
      <c r="AH9" s="58" t="s">
        <v>242</v>
      </c>
      <c r="AI9" s="51" t="str">
        <f>IF($P$14&lt;=0.2,"baixo","erro")</f>
        <v>baixo</v>
      </c>
      <c r="AJ9" s="457" t="str">
        <f>IF($AI$9="baixo","baixo",IF($AI$10="medio","medio",IF($AI$11="adequado","adequado",0)))</f>
        <v>baixo</v>
      </c>
      <c r="AK9" s="457">
        <f>IF(AJ9="Baixo",AL9,0)</f>
        <v>4.8</v>
      </c>
      <c r="AL9" s="457">
        <f>(AM9*1000)/$E$18</f>
        <v>4.8</v>
      </c>
      <c r="AM9" s="456">
        <v>1</v>
      </c>
      <c r="AO9" s="47"/>
      <c r="AP9" s="47"/>
      <c r="AQ9" s="47"/>
      <c r="AR9" s="47"/>
      <c r="AS9" s="59">
        <f>AS5-(SUM(AS6:AS8))</f>
        <v>864</v>
      </c>
      <c r="AT9" s="59">
        <f>AT5-(SUM(AT6:AT8))</f>
        <v>0</v>
      </c>
      <c r="AU9" s="59">
        <f>AU5-(SUM(AU6:AU8))</f>
        <v>705.6</v>
      </c>
      <c r="AV9" s="59"/>
      <c r="AW9" s="47"/>
      <c r="AX9" s="47"/>
      <c r="AY9" s="47"/>
      <c r="AZ9" s="47"/>
      <c r="BA9" s="47"/>
      <c r="BB9" s="47"/>
    </row>
    <row r="10" spans="1:54" ht="19.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erro</v>
      </c>
      <c r="AA10" s="51" t="str">
        <f>IF(AND($P$13&gt;=5.01,$P$13&lt;=8),"medio","erro")</f>
        <v>erro</v>
      </c>
      <c r="AB10" s="51" t="str">
        <f>IF($P$13&gt;8,"adequado","erro")</f>
        <v>adequado</v>
      </c>
      <c r="AC10" s="51" t="str">
        <f>IF(Z10="baixo","baixo",IF(AA10="medio","medio",IF(AB10="adequado","adequado",0)))</f>
        <v>adequado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c r="AX10" s="47"/>
      <c r="AY10" s="47"/>
      <c r="AZ10" s="47"/>
      <c r="BA10" s="47"/>
      <c r="BB10" s="47"/>
    </row>
    <row r="11" spans="1:54" ht="19.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erro</v>
      </c>
      <c r="AB11" s="51" t="str">
        <f>IF($P$13&gt;6,"adequado","erro")</f>
        <v>adequado</v>
      </c>
      <c r="AC11" s="51" t="str">
        <f>IF(Z11="baixo","baixo",IF(AA11="medio","medio",IF(AB11="adequado","adequado",0)))</f>
        <v>adequado</v>
      </c>
      <c r="AD11" s="457"/>
      <c r="AF11" s="511"/>
      <c r="AG11" s="58" t="s">
        <v>234</v>
      </c>
      <c r="AH11" s="58" t="s">
        <v>233</v>
      </c>
      <c r="AI11" s="51" t="str">
        <f>IF($P$14&gt;0.5,"adequado","erro")</f>
        <v>erro</v>
      </c>
      <c r="AJ11" s="457"/>
      <c r="AK11" s="457"/>
      <c r="AL11" s="457"/>
      <c r="AM11" s="456"/>
      <c r="AO11" s="47"/>
      <c r="AP11" s="447"/>
      <c r="AQ11" s="447"/>
      <c r="AR11" s="447"/>
      <c r="AS11" s="55">
        <f>AS9</f>
        <v>864</v>
      </c>
      <c r="AT11" s="55">
        <f t="shared" ref="AT11:AU11" si="0">AT9</f>
        <v>0</v>
      </c>
      <c r="AU11" s="55">
        <f t="shared" si="0"/>
        <v>705.6</v>
      </c>
      <c r="AV11" s="509"/>
      <c r="AW11" s="47"/>
      <c r="AX11" s="47"/>
      <c r="AY11" s="47"/>
      <c r="AZ11" s="47"/>
      <c r="BA11" s="47"/>
      <c r="BB11" s="47"/>
    </row>
    <row r="12" spans="1:54" ht="19.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2.4</v>
      </c>
      <c r="AM12" s="456">
        <v>0.5</v>
      </c>
      <c r="AO12" s="47"/>
      <c r="AP12" s="54">
        <v>7</v>
      </c>
      <c r="AQ12" s="447" t="str">
        <f>O82</f>
        <v>Cloreto de potássio</v>
      </c>
      <c r="AR12" s="447"/>
      <c r="AS12" s="55">
        <f>IFERROR((VLOOKUP(AQ12,$V$100:$AB$179,3,0)*0.01)*AV12,0)</f>
        <v>0</v>
      </c>
      <c r="AT12" s="55">
        <f>IFERROR((VLOOKUP(AQ12,$V$100:$AB$179,5,0)*0.01)*AV12,0)</f>
        <v>0</v>
      </c>
      <c r="AU12" s="55">
        <f>IFERROR((VLOOKUP(AQ12,$V$100:$AB$179,7,0)*0.01)*AV12,0)</f>
        <v>352.8</v>
      </c>
      <c r="AV12" s="55">
        <f>IFERROR($AU$11*Q82/(VLOOKUP(AQ12,$V$100:$AB$179,7,0)/100),0)</f>
        <v>588</v>
      </c>
      <c r="AW12" s="47"/>
      <c r="AX12" s="47"/>
      <c r="AY12" s="47"/>
      <c r="AZ12" s="47"/>
      <c r="BA12" s="47"/>
      <c r="BB12" s="47"/>
    </row>
    <row r="13" spans="1:54" ht="19.5" customHeight="1" x14ac:dyDescent="0.25">
      <c r="B13" s="62" t="s">
        <v>122</v>
      </c>
      <c r="C13" s="352"/>
      <c r="D13" s="353"/>
      <c r="E13" s="353"/>
      <c r="F13" s="353"/>
      <c r="G13" s="353"/>
      <c r="H13" s="353"/>
      <c r="I13" s="354"/>
      <c r="M13" s="364"/>
      <c r="N13" s="453"/>
      <c r="O13" s="51" t="s">
        <v>11</v>
      </c>
      <c r="P13" s="32">
        <v>38.299999999999997</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352.8</v>
      </c>
      <c r="AV13" s="55">
        <f>IFERROR($AU$11*Q83/(VLOOKUP(AQ13,$V$100:$AB$179,7,0)/100),0)</f>
        <v>4410</v>
      </c>
      <c r="AW13" s="47"/>
      <c r="AX13" s="47"/>
      <c r="AY13" s="47"/>
      <c r="AZ13" s="47"/>
      <c r="BA13" s="47"/>
      <c r="BB13" s="47"/>
    </row>
    <row r="14" spans="1:54" ht="19.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19.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4.8</v>
      </c>
      <c r="AM15" s="456">
        <v>1</v>
      </c>
      <c r="AO15" s="47"/>
      <c r="AP15" s="47"/>
      <c r="AQ15" s="47"/>
      <c r="AR15" s="47"/>
      <c r="AS15" s="59">
        <f>AS11-(SUM(AS12:AS14))</f>
        <v>864</v>
      </c>
      <c r="AT15" s="59">
        <f>AT11-(SUM(AT12:AT14))</f>
        <v>0</v>
      </c>
      <c r="AU15" s="59">
        <f>AU11-(SUM(AU12:AU14))</f>
        <v>0</v>
      </c>
      <c r="AV15" s="47"/>
      <c r="AW15" s="47"/>
      <c r="AX15" s="47"/>
      <c r="AY15" s="47"/>
      <c r="AZ15" s="47"/>
      <c r="BA15" s="47"/>
      <c r="BB15" s="47"/>
    </row>
    <row r="16" spans="1:54" ht="19.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19.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864</v>
      </c>
      <c r="AT17" s="55">
        <f t="shared" ref="AT17:AU17" si="1">AT15</f>
        <v>0</v>
      </c>
      <c r="AU17" s="55">
        <f t="shared" si="1"/>
        <v>0</v>
      </c>
      <c r="AV17" s="509"/>
      <c r="AW17" s="47"/>
      <c r="AX17" s="47"/>
      <c r="AY17" s="47"/>
      <c r="AZ17" s="47"/>
      <c r="BA17" s="47"/>
      <c r="BB17" s="47"/>
    </row>
    <row r="18" spans="2:54" ht="19.5" customHeight="1" x14ac:dyDescent="0.25">
      <c r="B18" s="457" t="s">
        <v>134</v>
      </c>
      <c r="C18" s="457"/>
      <c r="D18" s="457"/>
      <c r="E18" s="60">
        <f>IFERROR(IF(ISERR(P35),Q35,IF(ISERR(Q35),P35)),"-")</f>
        <v>208.33333333333334</v>
      </c>
      <c r="F18" s="457" t="s">
        <v>125</v>
      </c>
      <c r="G18" s="457"/>
      <c r="H18" s="457"/>
      <c r="I18" s="51">
        <f>O34</f>
        <v>1</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24</v>
      </c>
      <c r="AM18" s="456">
        <v>5</v>
      </c>
      <c r="AO18" s="47"/>
      <c r="AP18" s="54">
        <v>13</v>
      </c>
      <c r="AQ18" s="447" t="str">
        <f>O90</f>
        <v>Nitrato de Amônio</v>
      </c>
      <c r="AR18" s="447"/>
      <c r="AS18" s="55">
        <f>IFERROR((VLOOKUP(AQ18,$V$100:$AB$179,3,0)*0.01)*AV18,0)</f>
        <v>864</v>
      </c>
      <c r="AT18" s="55">
        <f>IFERROR((VLOOKUP(AQ18,$V$100:$AB$179,5,0)*0.01)*AV18,0)</f>
        <v>0</v>
      </c>
      <c r="AU18" s="55">
        <f>IFERROR((VLOOKUP(AQ18,$V$100:$AB$179,7,0)*0.01)*AV18,0)</f>
        <v>0</v>
      </c>
      <c r="AV18" s="55">
        <f>IFERROR($AS$17*Q90/(VLOOKUP(AQ18,$V$100:$AB$179,3,0)/100),0)</f>
        <v>2979.3103448275865</v>
      </c>
      <c r="AW18" s="47"/>
      <c r="AX18" s="47"/>
      <c r="AY18" s="47"/>
      <c r="AZ18" s="47"/>
      <c r="BA18" s="47"/>
      <c r="BB18" s="47"/>
    </row>
    <row r="19" spans="2:54" ht="19.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19.5" customHeight="1" x14ac:dyDescent="0.25">
      <c r="B20" s="459" t="s">
        <v>183</v>
      </c>
      <c r="C20" s="512"/>
      <c r="D20" s="512"/>
      <c r="E20" s="460"/>
      <c r="F20" s="63" t="s">
        <v>126</v>
      </c>
      <c r="G20" s="63">
        <f>P24</f>
        <v>79.310344827586206</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19.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19.5" customHeight="1" x14ac:dyDescent="0.25">
      <c r="B22" s="64" t="s">
        <v>81</v>
      </c>
      <c r="C22" s="65">
        <f>P6</f>
        <v>6.6</v>
      </c>
      <c r="D22" s="63" t="s">
        <v>79</v>
      </c>
      <c r="E22" s="63">
        <f>P13</f>
        <v>38.299999999999997</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erro</v>
      </c>
      <c r="AB22" s="51" t="str">
        <f>IF($P$8&gt;0.101,"adequado","erro")</f>
        <v>adequado</v>
      </c>
      <c r="AC22" s="51" t="str">
        <f>IF(Z22="baixo","baixo",IF(AA22="medio","medio",IF(AB22="adequado","adequado",0)))</f>
        <v>adequado</v>
      </c>
      <c r="AD22" s="510" t="str">
        <f>VLOOKUP("correto",Y22:AC23,5,0)</f>
        <v>adequado</v>
      </c>
      <c r="AO22" s="47"/>
      <c r="AP22" s="47"/>
      <c r="AQ22" s="47"/>
      <c r="AR22" s="47"/>
      <c r="AS22" s="47"/>
      <c r="AT22" s="47"/>
      <c r="AU22" s="47"/>
      <c r="AV22" s="47"/>
      <c r="AW22" s="47"/>
      <c r="AX22" s="47"/>
      <c r="AY22" s="47"/>
      <c r="AZ22" s="47"/>
      <c r="BA22" s="47"/>
      <c r="BB22" s="47"/>
    </row>
    <row r="23" spans="2:54" ht="19.5" customHeight="1" x14ac:dyDescent="0.25">
      <c r="B23" s="64" t="s">
        <v>82</v>
      </c>
      <c r="C23" s="65">
        <f>P7</f>
        <v>2.2999999999999998</v>
      </c>
      <c r="D23" s="63" t="s">
        <v>129</v>
      </c>
      <c r="E23" s="63">
        <f>P11</f>
        <v>2.7</v>
      </c>
      <c r="F23" s="63" t="s">
        <v>87</v>
      </c>
      <c r="G23" s="63">
        <f>P16</f>
        <v>4</v>
      </c>
      <c r="H23" s="63" t="s">
        <v>83</v>
      </c>
      <c r="I23" s="63">
        <f>P15</f>
        <v>20</v>
      </c>
      <c r="M23" s="364"/>
      <c r="N23" s="453"/>
      <c r="O23" s="51" t="s">
        <v>21</v>
      </c>
      <c r="P23" s="32">
        <v>47.6</v>
      </c>
      <c r="Q23" s="51" t="s">
        <v>10</v>
      </c>
      <c r="R23" s="53"/>
      <c r="U23" s="51" t="s">
        <v>61</v>
      </c>
      <c r="V23" s="51" t="s">
        <v>275</v>
      </c>
      <c r="W23" s="51" t="s">
        <v>278</v>
      </c>
      <c r="X23" s="51" t="s">
        <v>279</v>
      </c>
      <c r="Y23" s="51" t="str">
        <f>IF($P$21&gt;20,"correto","erro")</f>
        <v>correto</v>
      </c>
      <c r="Z23" s="51" t="str">
        <f>IF($P$8&lt;=0.06,"baixo","erro")</f>
        <v>erro</v>
      </c>
      <c r="AA23" s="51" t="str">
        <f>IF(AND($P$8&gt;=0.061,$P$8&lt;=0.2),"medio","erro")</f>
        <v>erro</v>
      </c>
      <c r="AB23" s="51" t="str">
        <f>IF($P$8&gt;0.201,"adequado","erro")</f>
        <v>adequado</v>
      </c>
      <c r="AC23" s="51" t="str">
        <f>IF(Z23="baixo","baixo",IF(AA23="medio","medio",IF(AB23="adequado","adequado",0)))</f>
        <v>adequado</v>
      </c>
      <c r="AD23" s="370"/>
      <c r="AO23" s="47"/>
      <c r="AP23" s="47"/>
      <c r="AQ23" s="47"/>
      <c r="AR23" s="47"/>
      <c r="AS23" s="47"/>
      <c r="AT23" s="47"/>
      <c r="AU23" s="47"/>
      <c r="AV23" s="47"/>
      <c r="AW23" s="47"/>
      <c r="AX23" s="47"/>
      <c r="AY23" s="47"/>
      <c r="AZ23" s="47"/>
      <c r="BA23" s="47"/>
      <c r="BB23" s="47"/>
    </row>
    <row r="24" spans="2:54" ht="19.5" customHeight="1" x14ac:dyDescent="0.25">
      <c r="B24" s="64" t="s">
        <v>80</v>
      </c>
      <c r="C24" s="65">
        <f>P8</f>
        <v>1.01</v>
      </c>
      <c r="D24" s="63" t="s">
        <v>130</v>
      </c>
      <c r="E24" s="63">
        <f>P10</f>
        <v>0.1</v>
      </c>
      <c r="F24" s="63" t="s">
        <v>89</v>
      </c>
      <c r="G24" s="63">
        <f>P17</f>
        <v>58.4</v>
      </c>
      <c r="H24" s="63" t="s">
        <v>131</v>
      </c>
      <c r="I24" s="63">
        <f>P25</f>
        <v>13.049999999999997</v>
      </c>
      <c r="M24" s="364"/>
      <c r="N24" s="453"/>
      <c r="O24" s="51" t="s">
        <v>22</v>
      </c>
      <c r="P24" s="63">
        <f>100*(P6+P7+P8+P9)/P25</f>
        <v>79.310344827586206</v>
      </c>
      <c r="Q24" s="51" t="s">
        <v>23</v>
      </c>
      <c r="R24" s="53"/>
      <c r="AO24" s="47"/>
      <c r="AP24" s="47"/>
      <c r="AQ24" s="47"/>
      <c r="AR24" s="47"/>
      <c r="AS24" s="59">
        <f>AS26-(SUM(AS27:AS36))</f>
        <v>4.7980634482758617</v>
      </c>
      <c r="AT24" s="59">
        <f t="shared" ref="AT24:AV24" si="3">AT26-(SUM(AT27:AT36))</f>
        <v>-1.9365517241379309E-3</v>
      </c>
      <c r="AU24" s="59">
        <f t="shared" si="3"/>
        <v>-3.7241379310344836E-3</v>
      </c>
      <c r="AV24" s="59">
        <f t="shared" si="3"/>
        <v>-4.1710344827586212E-4</v>
      </c>
      <c r="AW24" s="47"/>
      <c r="AX24" s="47"/>
      <c r="AY24" s="47"/>
      <c r="AZ24" s="47"/>
      <c r="BA24" s="47"/>
      <c r="BB24" s="47"/>
    </row>
    <row r="25" spans="2:54" ht="19.5" customHeight="1" thickBot="1" x14ac:dyDescent="0.3">
      <c r="M25" s="364"/>
      <c r="N25" s="453"/>
      <c r="O25" s="51" t="s">
        <v>24</v>
      </c>
      <c r="P25" s="67">
        <f>(P6+P7+P8+P9+P11)</f>
        <v>13.049999999999997</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19.5" customHeight="1" thickBot="1" x14ac:dyDescent="0.3">
      <c r="B26" s="485" t="s">
        <v>272</v>
      </c>
      <c r="C26" s="486"/>
      <c r="D26" s="486"/>
      <c r="E26" s="486"/>
      <c r="F26" s="486"/>
      <c r="G26" s="486"/>
      <c r="H26" s="486"/>
      <c r="I26" s="487"/>
      <c r="M26" s="69"/>
      <c r="N26" s="70"/>
      <c r="O26" s="70"/>
      <c r="P26" s="70"/>
      <c r="Q26" s="70"/>
      <c r="R26" s="71"/>
      <c r="U26" s="459" t="s">
        <v>312</v>
      </c>
      <c r="V26" s="512"/>
      <c r="W26" s="512"/>
      <c r="X26" s="512"/>
      <c r="Y26" s="512"/>
      <c r="Z26" s="460"/>
      <c r="AO26" s="47"/>
      <c r="AP26" s="461"/>
      <c r="AQ26" s="461"/>
      <c r="AR26" s="461"/>
      <c r="AS26" s="72">
        <f>AK9</f>
        <v>4.8</v>
      </c>
      <c r="AT26" s="72">
        <f>AK12</f>
        <v>0</v>
      </c>
      <c r="AU26" s="72">
        <f>AK15</f>
        <v>0</v>
      </c>
      <c r="AV26" s="72">
        <f>AK18</f>
        <v>0</v>
      </c>
      <c r="AW26" s="47"/>
      <c r="AX26" s="47"/>
      <c r="AY26" s="47"/>
      <c r="AZ26" s="47"/>
      <c r="BA26" s="47"/>
      <c r="BB26" s="47"/>
    </row>
    <row r="27" spans="2:54" ht="19.5" customHeight="1" thickBot="1" x14ac:dyDescent="0.3">
      <c r="B27" s="488" t="str">
        <f>IF($O$47&gt;0,$O$47,"-")</f>
        <v>BRITACAL Dolomítico</v>
      </c>
      <c r="C27" s="488"/>
      <c r="D27" s="73" t="str">
        <f>IF(J27&gt;0,J27,"-")</f>
        <v>-</v>
      </c>
      <c r="E27" s="365" t="str">
        <f>IF(J27&gt;0,"toneladas por hectare ou,","-")</f>
        <v>-</v>
      </c>
      <c r="F27" s="365"/>
      <c r="G27" s="365"/>
      <c r="H27" s="365"/>
      <c r="I27" s="365"/>
      <c r="J27" s="74">
        <f>V51</f>
        <v>0</v>
      </c>
      <c r="U27" s="51" t="s">
        <v>300</v>
      </c>
      <c r="V27" s="51" t="s">
        <v>313</v>
      </c>
      <c r="W27" s="51" t="s">
        <v>75</v>
      </c>
      <c r="X27" s="51" t="s">
        <v>71</v>
      </c>
      <c r="Y27" s="51" t="s">
        <v>314</v>
      </c>
      <c r="Z27" s="51" t="s">
        <v>315</v>
      </c>
      <c r="AO27" s="47"/>
      <c r="AP27" s="447" t="s">
        <v>261</v>
      </c>
      <c r="AQ27" s="447" t="str">
        <f>B29</f>
        <v xml:space="preserve">Pó de brita Fmx (62) 3924 8565 </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19.5" customHeight="1" x14ac:dyDescent="0.25">
      <c r="B28" s="488"/>
      <c r="C28" s="488"/>
      <c r="D28" s="73" t="str">
        <f>IF(J28&gt;0,J28,"-")</f>
        <v>-</v>
      </c>
      <c r="E28" s="365" t="str">
        <f>IF(J28&gt;0,"quilos por metro quadrado","-")</f>
        <v>-</v>
      </c>
      <c r="F28" s="365"/>
      <c r="G28" s="365"/>
      <c r="H28" s="365"/>
      <c r="I28" s="365"/>
      <c r="J28" s="74">
        <f>J27/10</f>
        <v>0</v>
      </c>
      <c r="M28" s="48"/>
      <c r="N28" s="49"/>
      <c r="O28" s="49"/>
      <c r="P28" s="49"/>
      <c r="Q28" s="49"/>
      <c r="R28" s="50"/>
      <c r="U28" s="75" t="s">
        <v>40</v>
      </c>
      <c r="V28" s="75">
        <v>90000</v>
      </c>
      <c r="W28" s="75" t="s">
        <v>68</v>
      </c>
      <c r="X28" s="75" t="str">
        <f>CONCATENATE(U28," - ",W28)</f>
        <v>&lt; 10 - baixo</v>
      </c>
      <c r="Y28" s="75">
        <v>22000</v>
      </c>
      <c r="Z28" s="75">
        <v>98000</v>
      </c>
      <c r="AE28" s="75"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19.5" customHeight="1" x14ac:dyDescent="0.25">
      <c r="B29" s="488" t="str">
        <f>IF($O$50&gt;0,$O$50,"-")</f>
        <v xml:space="preserve">Pó de brita Fmx (62) 3924 8565 </v>
      </c>
      <c r="C29" s="488"/>
      <c r="D29" s="73" t="str">
        <f>IF(J29&gt;0,J29,"-")</f>
        <v>-</v>
      </c>
      <c r="E29" s="365" t="str">
        <f>IF(J29&gt;0,"toneladas por hectare ou,","-")</f>
        <v>-</v>
      </c>
      <c r="F29" s="365"/>
      <c r="G29" s="365"/>
      <c r="H29" s="365"/>
      <c r="I29" s="365"/>
      <c r="J29" s="74">
        <f>Z49</f>
        <v>0</v>
      </c>
      <c r="M29" s="364" t="s">
        <v>211</v>
      </c>
      <c r="N29" s="453"/>
      <c r="O29" s="489" t="s">
        <v>197</v>
      </c>
      <c r="P29" s="489"/>
      <c r="Q29" s="489"/>
      <c r="R29" s="53"/>
      <c r="U29" s="75" t="s">
        <v>40</v>
      </c>
      <c r="V29" s="75">
        <v>90000</v>
      </c>
      <c r="W29" s="75" t="s">
        <v>69</v>
      </c>
      <c r="X29" s="75" t="str">
        <f t="shared" ref="X29:X39" si="9">CONCATENATE(U29," - ",W29)</f>
        <v>&lt; 10 - medio</v>
      </c>
      <c r="Y29" s="75">
        <v>11000</v>
      </c>
      <c r="Z29" s="75">
        <v>49000</v>
      </c>
      <c r="AB29" s="458" t="s">
        <v>65</v>
      </c>
      <c r="AC29" s="458"/>
      <c r="AE29" s="75" t="s">
        <v>300</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19.5" customHeight="1" x14ac:dyDescent="0.25">
      <c r="B30" s="488"/>
      <c r="C30" s="488"/>
      <c r="D30" s="73" t="str">
        <f>IF(J30&gt;0,J30,"-")</f>
        <v>-</v>
      </c>
      <c r="E30" s="365" t="str">
        <f>IF(J30&gt;0,"quilos por metro quadrado","-")</f>
        <v>-</v>
      </c>
      <c r="F30" s="365"/>
      <c r="G30" s="365"/>
      <c r="H30" s="365"/>
      <c r="I30" s="365"/>
      <c r="J30" s="74">
        <f>J29/10</f>
        <v>0</v>
      </c>
      <c r="M30" s="364"/>
      <c r="N30" s="453"/>
      <c r="O30" s="32">
        <v>6</v>
      </c>
      <c r="P30" s="77" t="s">
        <v>200</v>
      </c>
      <c r="Q30" s="32">
        <v>8</v>
      </c>
      <c r="R30" s="53"/>
      <c r="U30" s="75" t="s">
        <v>40</v>
      </c>
      <c r="V30" s="75">
        <v>90000</v>
      </c>
      <c r="W30" s="75" t="s">
        <v>70</v>
      </c>
      <c r="X30" s="75" t="str">
        <f t="shared" si="9"/>
        <v>&lt; 10 - adequado</v>
      </c>
      <c r="Y30" s="75">
        <v>6000</v>
      </c>
      <c r="Z30" s="75">
        <v>25000</v>
      </c>
      <c r="AB30" s="78" t="s">
        <v>33</v>
      </c>
      <c r="AC30" s="78">
        <f>VLOOKUP($P$39,$U$28:$V$39,2,0)/$E$18</f>
        <v>864</v>
      </c>
      <c r="AE30" s="75"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19.5" customHeight="1" x14ac:dyDescent="0.25">
      <c r="B31" s="524" t="s">
        <v>533</v>
      </c>
      <c r="C31" s="524"/>
      <c r="D31" s="524"/>
      <c r="E31" s="524"/>
      <c r="F31" s="524"/>
      <c r="G31" s="524"/>
      <c r="H31" s="524"/>
      <c r="I31" s="524"/>
      <c r="J31" s="74"/>
      <c r="M31" s="364"/>
      <c r="N31" s="365"/>
      <c r="O31" s="105"/>
      <c r="P31" s="105"/>
      <c r="Q31" s="105"/>
      <c r="R31" s="53"/>
      <c r="U31" s="75" t="s">
        <v>317</v>
      </c>
      <c r="V31" s="75">
        <v>120000</v>
      </c>
      <c r="W31" s="75" t="s">
        <v>68</v>
      </c>
      <c r="X31" s="75" t="str">
        <f t="shared" si="9"/>
        <v>10,1 - 20 - baixo</v>
      </c>
      <c r="Y31" s="75">
        <v>33000</v>
      </c>
      <c r="Z31" s="75">
        <v>147000</v>
      </c>
      <c r="AB31" s="78" t="s">
        <v>66</v>
      </c>
      <c r="AC31" s="78">
        <f>VLOOKUP(AB36,X28:Z39,2,0)/$E$18</f>
        <v>158.4</v>
      </c>
      <c r="AE31" s="75" t="s">
        <v>40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19.5" customHeight="1" x14ac:dyDescent="0.25">
      <c r="B32" s="524"/>
      <c r="C32" s="524"/>
      <c r="D32" s="524"/>
      <c r="E32" s="524"/>
      <c r="F32" s="524"/>
      <c r="G32" s="524"/>
      <c r="H32" s="524"/>
      <c r="I32" s="524"/>
      <c r="J32" s="74"/>
      <c r="M32" s="364"/>
      <c r="N32" s="365"/>
      <c r="O32" s="80"/>
      <c r="P32" s="80"/>
      <c r="Q32" s="80"/>
      <c r="R32" s="53"/>
      <c r="U32" s="75" t="s">
        <v>317</v>
      </c>
      <c r="V32" s="75">
        <v>120000</v>
      </c>
      <c r="W32" s="75" t="s">
        <v>69</v>
      </c>
      <c r="X32" s="75" t="str">
        <f t="shared" si="9"/>
        <v>10,1 - 20 - medio</v>
      </c>
      <c r="Y32" s="75">
        <v>22000</v>
      </c>
      <c r="Z32" s="75">
        <v>98000</v>
      </c>
      <c r="AB32" s="78" t="s">
        <v>67</v>
      </c>
      <c r="AC32" s="78">
        <f>VLOOKUP($AB$39,X28:Z39,3,0)/$E$18</f>
        <v>705.6</v>
      </c>
      <c r="AE32" s="75" t="s">
        <v>317</v>
      </c>
      <c r="AI32" s="76">
        <v>0.2</v>
      </c>
      <c r="AK32" s="51" t="s">
        <v>292</v>
      </c>
      <c r="AO32" s="47"/>
      <c r="AP32" s="447"/>
      <c r="AQ32" s="447" t="str">
        <f t="shared" si="8"/>
        <v>EkoSil</v>
      </c>
      <c r="AR32" s="447"/>
      <c r="AS32" s="55">
        <f t="shared" si="4"/>
        <v>1.9365517241379309E-3</v>
      </c>
      <c r="AT32" s="55">
        <f t="shared" si="5"/>
        <v>1.9365517241379309E-3</v>
      </c>
      <c r="AU32" s="55">
        <f t="shared" si="6"/>
        <v>3.7241379310344836E-3</v>
      </c>
      <c r="AV32" s="55">
        <f t="shared" si="7"/>
        <v>4.1710344827586212E-4</v>
      </c>
      <c r="AW32" s="47"/>
      <c r="AX32" s="47"/>
      <c r="AY32" s="47"/>
      <c r="AZ32" s="47"/>
      <c r="BA32" s="47"/>
      <c r="BB32" s="47"/>
    </row>
    <row r="33" spans="2:57" ht="19.5" customHeight="1" thickBot="1" x14ac:dyDescent="0.3">
      <c r="B33" s="525"/>
      <c r="C33" s="525"/>
      <c r="D33" s="525"/>
      <c r="E33" s="525"/>
      <c r="F33" s="525"/>
      <c r="G33" s="525"/>
      <c r="H33" s="525"/>
      <c r="I33" s="525"/>
      <c r="J33" s="74"/>
      <c r="M33" s="364"/>
      <c r="N33" s="453"/>
      <c r="O33" s="489" t="s">
        <v>282</v>
      </c>
      <c r="P33" s="489"/>
      <c r="Q33" s="489"/>
      <c r="R33" s="53"/>
      <c r="U33" s="75" t="s">
        <v>317</v>
      </c>
      <c r="V33" s="75">
        <v>120000</v>
      </c>
      <c r="W33" s="75" t="s">
        <v>70</v>
      </c>
      <c r="X33" s="75" t="str">
        <f t="shared" si="9"/>
        <v>10,1 - 20 - adequado</v>
      </c>
      <c r="Y33" s="75">
        <v>11000</v>
      </c>
      <c r="Z33" s="75">
        <v>49000</v>
      </c>
      <c r="AE33" s="75" t="s">
        <v>298</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19.5" customHeight="1" thickBot="1" x14ac:dyDescent="0.3">
      <c r="B34" s="485" t="s">
        <v>184</v>
      </c>
      <c r="C34" s="486"/>
      <c r="D34" s="486"/>
      <c r="E34" s="486"/>
      <c r="F34" s="486"/>
      <c r="G34" s="486"/>
      <c r="H34" s="486"/>
      <c r="I34" s="487"/>
      <c r="J34" s="81">
        <f>IF(O68="Sim",P21*7.5,0)</f>
        <v>356.25</v>
      </c>
      <c r="M34" s="364"/>
      <c r="N34" s="453"/>
      <c r="O34" s="448">
        <v>1</v>
      </c>
      <c r="P34" s="448"/>
      <c r="Q34" s="448"/>
      <c r="R34" s="53"/>
      <c r="U34" s="75" t="s">
        <v>298</v>
      </c>
      <c r="V34" s="75">
        <v>150000</v>
      </c>
      <c r="W34" s="75" t="s">
        <v>68</v>
      </c>
      <c r="X34" s="75" t="str">
        <f t="shared" si="9"/>
        <v>20,1 - 30 - baixo</v>
      </c>
      <c r="Y34" s="75">
        <v>44000</v>
      </c>
      <c r="Z34" s="75">
        <v>196000</v>
      </c>
      <c r="AE34" s="75" t="s">
        <v>333</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19.5" customHeight="1" thickBot="1" x14ac:dyDescent="0.3">
      <c r="B35" s="488" t="str">
        <f>IF($O$55&gt;0,$O$55,"-")</f>
        <v>Nutrigesso Nutrion</v>
      </c>
      <c r="C35" s="488"/>
      <c r="D35" s="73">
        <f>IF(J34&gt;0,J34,"-")</f>
        <v>356.25</v>
      </c>
      <c r="E35" s="365" t="str">
        <f>IF(J34&gt;0,"quilos por hectare ou,","-")</f>
        <v>quilos por hectare ou,</v>
      </c>
      <c r="F35" s="365"/>
      <c r="G35" s="365"/>
      <c r="H35" s="365"/>
      <c r="I35" s="365"/>
      <c r="J35" s="81">
        <f>J34/10</f>
        <v>35.625</v>
      </c>
      <c r="M35" s="69"/>
      <c r="N35" s="70"/>
      <c r="O35" s="70"/>
      <c r="P35" s="83">
        <f>10000/($O$30*$Q$30)</f>
        <v>208.33333333333334</v>
      </c>
      <c r="Q35" s="83" t="e">
        <f>10000/((($O$32/2)+($P$32/2))*$Q$32)</f>
        <v>#DIV/0!</v>
      </c>
      <c r="R35" s="71"/>
      <c r="U35" s="75" t="s">
        <v>298</v>
      </c>
      <c r="V35" s="75">
        <v>150000</v>
      </c>
      <c r="W35" s="75" t="s">
        <v>69</v>
      </c>
      <c r="X35" s="75" t="str">
        <f t="shared" si="9"/>
        <v>20,1 - 30 - medio</v>
      </c>
      <c r="Y35" s="75">
        <v>33000</v>
      </c>
      <c r="Z35" s="75">
        <v>147000</v>
      </c>
      <c r="AB35" s="457" t="s">
        <v>72</v>
      </c>
      <c r="AC35" s="457"/>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19.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t="s">
        <v>298</v>
      </c>
      <c r="V36" s="75">
        <v>150000</v>
      </c>
      <c r="W36" s="75" t="s">
        <v>70</v>
      </c>
      <c r="X36" s="75" t="str">
        <f t="shared" si="9"/>
        <v>20,1 - 30 - adequado</v>
      </c>
      <c r="Y36" s="75">
        <v>22000</v>
      </c>
      <c r="Z36" s="75">
        <v>98000</v>
      </c>
      <c r="AB36" s="457" t="str">
        <f>CONCATENATE($P$39," - ",$AD$8)</f>
        <v>&gt; 30 - adequado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19.5" customHeight="1" x14ac:dyDescent="0.25">
      <c r="B37" s="523" t="s">
        <v>534</v>
      </c>
      <c r="C37" s="523"/>
      <c r="D37" s="523"/>
      <c r="E37" s="523"/>
      <c r="F37" s="523"/>
      <c r="G37" s="523"/>
      <c r="H37" s="523"/>
      <c r="I37" s="523"/>
      <c r="J37" s="81"/>
      <c r="M37" s="48"/>
      <c r="N37" s="49"/>
      <c r="O37" s="49"/>
      <c r="P37" s="49"/>
      <c r="Q37" s="49"/>
      <c r="R37" s="50"/>
      <c r="U37" s="75" t="s">
        <v>333</v>
      </c>
      <c r="V37" s="75">
        <v>180000</v>
      </c>
      <c r="W37" s="75" t="s">
        <v>68</v>
      </c>
      <c r="X37" s="75" t="str">
        <f t="shared" si="9"/>
        <v>&gt; 30 - baixo</v>
      </c>
      <c r="Y37" s="75">
        <v>55000</v>
      </c>
      <c r="Z37" s="75">
        <v>245000</v>
      </c>
      <c r="AI37" s="76">
        <v>0.7</v>
      </c>
      <c r="AK37" s="51" t="s">
        <v>290</v>
      </c>
      <c r="AO37" s="85"/>
      <c r="AP37" s="85"/>
      <c r="AQ37" s="85"/>
      <c r="AR37" s="85"/>
      <c r="AS37" s="59">
        <f>IF(AS24&gt;0,AS24,0)</f>
        <v>4.7980634482758617</v>
      </c>
      <c r="AT37" s="59">
        <f>IF(AT24&gt;0,AT24,0)</f>
        <v>0</v>
      </c>
      <c r="AU37" s="59">
        <f>IF(AU24&gt;0,AU24,0)</f>
        <v>0</v>
      </c>
      <c r="AV37" s="59">
        <f>IF(AV24&gt;0,AV24,0)</f>
        <v>0</v>
      </c>
      <c r="AW37" s="47"/>
      <c r="AX37" s="47"/>
      <c r="AY37" s="47"/>
      <c r="AZ37" s="47"/>
      <c r="BA37" s="47"/>
      <c r="BB37" s="47"/>
    </row>
    <row r="38" spans="2:57" ht="19.5" customHeight="1" thickBot="1" x14ac:dyDescent="0.3">
      <c r="B38" s="523"/>
      <c r="C38" s="523"/>
      <c r="D38" s="523"/>
      <c r="E38" s="523"/>
      <c r="F38" s="523"/>
      <c r="G38" s="523"/>
      <c r="H38" s="523"/>
      <c r="I38" s="523"/>
      <c r="J38" s="81"/>
      <c r="M38" s="364" t="s">
        <v>212</v>
      </c>
      <c r="N38" s="365"/>
      <c r="O38" s="489" t="s">
        <v>301</v>
      </c>
      <c r="P38" s="489"/>
      <c r="Q38" s="489"/>
      <c r="R38" s="53"/>
      <c r="U38" s="75" t="s">
        <v>333</v>
      </c>
      <c r="V38" s="75">
        <v>180000</v>
      </c>
      <c r="W38" s="75" t="s">
        <v>69</v>
      </c>
      <c r="X38" s="75" t="str">
        <f t="shared" si="9"/>
        <v>&gt; 30 - medio</v>
      </c>
      <c r="Y38" s="75">
        <v>44000</v>
      </c>
      <c r="Z38" s="75">
        <v>196000</v>
      </c>
      <c r="AB38" s="457" t="s">
        <v>73</v>
      </c>
      <c r="AC38" s="457"/>
      <c r="AI38" s="76">
        <v>0.8</v>
      </c>
      <c r="AK38" s="51"/>
      <c r="AO38" s="47"/>
      <c r="AP38" s="47"/>
      <c r="AQ38" s="47"/>
      <c r="AR38" s="47"/>
      <c r="AS38" s="47"/>
      <c r="AT38" s="47"/>
      <c r="AU38" s="47"/>
      <c r="AV38" s="47"/>
      <c r="AW38" s="47"/>
      <c r="AX38" s="47"/>
      <c r="AY38" s="47"/>
      <c r="AZ38" s="47"/>
      <c r="BA38" s="47"/>
      <c r="BB38" s="47"/>
    </row>
    <row r="39" spans="2:57" ht="19.5" customHeight="1" thickBot="1" x14ac:dyDescent="0.3">
      <c r="B39" s="355" t="s">
        <v>267</v>
      </c>
      <c r="C39" s="356"/>
      <c r="D39" s="356"/>
      <c r="E39" s="356"/>
      <c r="F39" s="356"/>
      <c r="G39" s="356"/>
      <c r="H39" s="356"/>
      <c r="I39" s="357"/>
      <c r="J39" s="81">
        <f>AV6</f>
        <v>452.57142857142861</v>
      </c>
      <c r="M39" s="364"/>
      <c r="N39" s="365"/>
      <c r="O39" s="51" t="s">
        <v>303</v>
      </c>
      <c r="P39" s="448" t="s">
        <v>333</v>
      </c>
      <c r="Q39" s="448"/>
      <c r="R39" s="53"/>
      <c r="U39" s="75" t="s">
        <v>333</v>
      </c>
      <c r="V39" s="75">
        <v>180000</v>
      </c>
      <c r="W39" s="75" t="s">
        <v>70</v>
      </c>
      <c r="X39" s="75" t="str">
        <f t="shared" si="9"/>
        <v>&gt; 30 - adequado</v>
      </c>
      <c r="Y39" s="75">
        <v>33000</v>
      </c>
      <c r="Z39" s="75">
        <v>147000</v>
      </c>
      <c r="AB39" s="457" t="str">
        <f>CONCATENATE($P$39," - ",$AD$22)</f>
        <v>&gt; 30 - adequado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19.5" customHeight="1" x14ac:dyDescent="0.25">
      <c r="B40" s="449" t="str">
        <f>IF(O42&gt;0,O42,"-")</f>
        <v>Esterco Bovino curtido</v>
      </c>
      <c r="C40" s="449"/>
      <c r="D40" s="86">
        <f>IF(AQ58&gt;0,AQ58,"-")</f>
        <v>12</v>
      </c>
      <c r="E40" s="362" t="str">
        <f>IF(AQ58&gt;0,"quilos por cova ou planta","-")</f>
        <v>quilos por cova ou planta</v>
      </c>
      <c r="F40" s="362"/>
      <c r="G40" s="362"/>
      <c r="H40" s="362"/>
      <c r="I40" s="362"/>
      <c r="J40" s="81">
        <f>AV7</f>
        <v>440.00000000000006</v>
      </c>
      <c r="M40" s="364"/>
      <c r="N40" s="365"/>
      <c r="O40" s="25"/>
      <c r="P40" s="25"/>
      <c r="Q40" s="25"/>
      <c r="R40" s="53"/>
      <c r="AI40" s="76">
        <v>1</v>
      </c>
      <c r="AO40" s="47"/>
      <c r="AP40" s="447" t="str">
        <f>O105</f>
        <v>Ácido Bórico</v>
      </c>
      <c r="AQ40" s="447"/>
      <c r="AR40" s="55">
        <f>IFERROR($AS$37/((VLOOKUP(AP40,$V$100:$AO$179,11,0)*0.01)),0)</f>
        <v>27.417505418719209</v>
      </c>
      <c r="AS40" s="55">
        <f>IFERROR($AT$37/((VLOOKUP(AP40,$V$100:$AO$179,14,0)*0.01)),0)</f>
        <v>0</v>
      </c>
      <c r="AT40" s="55">
        <f>IFERROR($AU$37/((VLOOKUP(AP40,$V$100:$AO$179,12,0)*0.01)),0)</f>
        <v>0</v>
      </c>
      <c r="AU40" s="55">
        <f>IFERROR($AV$37/((VLOOKUP(AP40,$V$100:$AO$179,13,0)*0.01)),0)</f>
        <v>0</v>
      </c>
      <c r="AV40" s="55">
        <f>MAX(AR40:AU40)</f>
        <v>27.417505418719209</v>
      </c>
      <c r="AW40" s="55">
        <f>IFERROR(AV40*(VLOOKUP(AP40,$V$100:$AO$179,11,0)*0.01),0)</f>
        <v>4.7980634482758617</v>
      </c>
      <c r="AX40" s="55">
        <f>IFERROR(AV40*(VLOOKUP(AP40,$V$100:$AO$179,14,0)*0.01),0)</f>
        <v>0</v>
      </c>
      <c r="AY40" s="55">
        <f>IFERROR(AV40*(VLOOKUP(AP40,$V$100:$AO$179,12,0)*0.01),0)</f>
        <v>0</v>
      </c>
      <c r="AZ40" s="55">
        <f>IFERROR(AV40*(VLOOKUP(AP40,$V$100:$AO$179,13,0)*0.01),0)</f>
        <v>0</v>
      </c>
      <c r="BA40" s="47"/>
      <c r="BB40" s="47"/>
    </row>
    <row r="41" spans="2:57" ht="19.5" customHeight="1" x14ac:dyDescent="0.25">
      <c r="B41" s="449" t="str">
        <f>IF(AQ6&gt;0,AQ6,"-")</f>
        <v>Termofosfato YOORIN</v>
      </c>
      <c r="C41" s="449"/>
      <c r="D41" s="87">
        <f>IF(J39&gt;0,J39,"-")</f>
        <v>452.57142857142861</v>
      </c>
      <c r="E41" s="365" t="str">
        <f>IF(J39&gt;0,"gramas por cova ou planta","-")</f>
        <v>gramas por cova ou planta</v>
      </c>
      <c r="F41" s="365"/>
      <c r="G41" s="365"/>
      <c r="H41" s="365"/>
      <c r="I41" s="365"/>
      <c r="J41" s="81">
        <f>AV8</f>
        <v>0</v>
      </c>
      <c r="M41" s="364"/>
      <c r="N41" s="365"/>
      <c r="O41" s="489" t="s">
        <v>308</v>
      </c>
      <c r="P41" s="489"/>
      <c r="Q41" s="489"/>
      <c r="R41" s="53"/>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0">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19.5" customHeight="1" x14ac:dyDescent="0.25">
      <c r="B42" s="449" t="str">
        <f>IF(AQ7&gt;0,AQ7,"-")</f>
        <v>Superfosfato simples</v>
      </c>
      <c r="C42" s="449"/>
      <c r="D42" s="87">
        <f t="shared" ref="D42:D49" si="11">IF(J40&gt;0,J40,"-")</f>
        <v>440.00000000000006</v>
      </c>
      <c r="E42" s="365" t="str">
        <f t="shared" ref="E42:E49" si="12">IF(J40&gt;0,"gramas por planta","-")</f>
        <v>gramas por planta</v>
      </c>
      <c r="F42" s="365"/>
      <c r="G42" s="365"/>
      <c r="H42" s="365"/>
      <c r="I42" s="365"/>
      <c r="J42" s="81">
        <f>AV12</f>
        <v>588</v>
      </c>
      <c r="M42" s="364"/>
      <c r="N42" s="365"/>
      <c r="O42" s="483" t="s">
        <v>292</v>
      </c>
      <c r="P42" s="513"/>
      <c r="Q42" s="484"/>
      <c r="R42" s="53"/>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0"/>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19.5" customHeight="1" thickBot="1" x14ac:dyDescent="0.3">
      <c r="B43" s="449" t="str">
        <f>IF(AQ8&gt;0,AQ8,"-")</f>
        <v>-</v>
      </c>
      <c r="C43" s="449"/>
      <c r="D43" s="87" t="str">
        <f t="shared" si="11"/>
        <v>-</v>
      </c>
      <c r="E43" s="365" t="str">
        <f t="shared" si="12"/>
        <v>-</v>
      </c>
      <c r="F43" s="365"/>
      <c r="G43" s="365"/>
      <c r="H43" s="365"/>
      <c r="I43" s="365"/>
      <c r="J43" s="81">
        <f>AV13</f>
        <v>4410</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0"/>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19.5" customHeight="1" thickBot="1" x14ac:dyDescent="0.3">
      <c r="B44" s="449" t="str">
        <f>IF(AQ12&gt;0,AQ12,"-")</f>
        <v>Cloreto de potássio</v>
      </c>
      <c r="C44" s="449"/>
      <c r="D44" s="87">
        <f t="shared" si="11"/>
        <v>588</v>
      </c>
      <c r="E44" s="365" t="str">
        <f t="shared" si="12"/>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19.5" customHeight="1" x14ac:dyDescent="0.25">
      <c r="B45" s="449" t="str">
        <f>IF(AQ13&gt;0,AQ13,"-")</f>
        <v>EkoSil</v>
      </c>
      <c r="C45" s="449"/>
      <c r="D45" s="87">
        <f t="shared" si="11"/>
        <v>4410</v>
      </c>
      <c r="E45" s="365" t="str">
        <f t="shared" si="12"/>
        <v>gramas por planta</v>
      </c>
      <c r="F45" s="365"/>
      <c r="G45" s="365"/>
      <c r="H45" s="365"/>
      <c r="I45" s="365"/>
      <c r="J45" s="81">
        <f>AV18</f>
        <v>2979.3103448275865</v>
      </c>
      <c r="M45" s="48"/>
      <c r="N45" s="49"/>
      <c r="O45" s="500" t="s">
        <v>305</v>
      </c>
      <c r="P45" s="500"/>
      <c r="Q45" s="500"/>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19.5" customHeight="1" x14ac:dyDescent="0.25">
      <c r="B46" s="449" t="str">
        <f>IF(AQ14&gt;0,AQ14,"-")</f>
        <v>-</v>
      </c>
      <c r="C46" s="449"/>
      <c r="D46" s="87" t="str">
        <f t="shared" si="11"/>
        <v>-</v>
      </c>
      <c r="E46" s="365" t="str">
        <f t="shared" si="12"/>
        <v>-</v>
      </c>
      <c r="F46" s="365"/>
      <c r="G46" s="365"/>
      <c r="H46" s="365"/>
      <c r="I46" s="365"/>
      <c r="J46" s="81">
        <f>AV19</f>
        <v>0</v>
      </c>
      <c r="M46" s="364" t="s">
        <v>213</v>
      </c>
      <c r="N46" s="365"/>
      <c r="O46" s="503"/>
      <c r="P46" s="503"/>
      <c r="Q46" s="503"/>
      <c r="R46" s="53"/>
      <c r="U46" s="75" t="s">
        <v>109</v>
      </c>
      <c r="V46" s="89">
        <v>60</v>
      </c>
      <c r="X46" s="455" t="s">
        <v>268</v>
      </c>
      <c r="Y46" s="455"/>
      <c r="Z46" s="63">
        <f>IFERROR(VLOOKUP(O50,$V$87:$AE$95,10,0),0)</f>
        <v>9.1197279464721319</v>
      </c>
      <c r="AO46" s="47"/>
      <c r="AP46" s="47"/>
      <c r="AQ46" s="47"/>
      <c r="AR46" s="47"/>
      <c r="AS46" s="47"/>
      <c r="AT46" s="47"/>
      <c r="AU46" s="47"/>
      <c r="AV46" s="47"/>
      <c r="AW46" s="47"/>
      <c r="AX46" s="47"/>
      <c r="AY46" s="47"/>
      <c r="AZ46" s="47"/>
      <c r="BA46" s="47"/>
      <c r="BB46" s="47"/>
    </row>
    <row r="47" spans="2:57" ht="19.5" customHeight="1" x14ac:dyDescent="0.25">
      <c r="B47" s="449" t="str">
        <f>IF(AQ18&gt;0,AQ18,"-")</f>
        <v>Nitrato de Amônio</v>
      </c>
      <c r="C47" s="449"/>
      <c r="D47" s="87">
        <f t="shared" si="11"/>
        <v>2979.3103448275865</v>
      </c>
      <c r="E47" s="365" t="str">
        <f t="shared" si="12"/>
        <v>gramas por planta</v>
      </c>
      <c r="F47" s="365"/>
      <c r="G47" s="365"/>
      <c r="H47" s="365"/>
      <c r="I47" s="365"/>
      <c r="J47" s="81">
        <f>AV20</f>
        <v>0</v>
      </c>
      <c r="M47" s="364"/>
      <c r="N47" s="365"/>
      <c r="O47" s="483" t="s">
        <v>140</v>
      </c>
      <c r="P47" s="484"/>
      <c r="Q47" s="92">
        <v>0.5</v>
      </c>
      <c r="R47" s="53"/>
      <c r="U47" s="51" t="s">
        <v>111</v>
      </c>
      <c r="V47" s="63">
        <f>IFERROR((((V46-P24)*P25)/V49),0)</f>
        <v>-3.1499999999999995</v>
      </c>
      <c r="X47" s="455" t="s">
        <v>203</v>
      </c>
      <c r="Y47" s="455"/>
      <c r="Z47" s="63">
        <f>IFERROR((($V$50/$Z$46)*$V$47),0)</f>
        <v>-14.852416738198572</v>
      </c>
      <c r="AO47" s="47"/>
      <c r="BA47" s="47"/>
      <c r="BB47" s="47"/>
    </row>
    <row r="48" spans="2:57" ht="19.5" customHeight="1" x14ac:dyDescent="0.25">
      <c r="B48" s="449" t="str">
        <f>IF(AQ19&gt;0,AQ19,"-")</f>
        <v>-</v>
      </c>
      <c r="C48" s="449"/>
      <c r="D48" s="87" t="str">
        <f t="shared" si="11"/>
        <v>-</v>
      </c>
      <c r="E48" s="365" t="str">
        <f t="shared" si="12"/>
        <v>-</v>
      </c>
      <c r="F48" s="365"/>
      <c r="G48" s="365"/>
      <c r="H48" s="365"/>
      <c r="I48" s="365"/>
      <c r="J48" s="91"/>
      <c r="M48" s="364"/>
      <c r="N48" s="365"/>
      <c r="O48" s="575" t="s">
        <v>306</v>
      </c>
      <c r="P48" s="575"/>
      <c r="Q48" s="575"/>
      <c r="R48" s="53"/>
      <c r="U48" s="51" t="s">
        <v>201</v>
      </c>
      <c r="V48" s="63">
        <f>IF(V47&lt;0,(0),IF(V47&gt;=0,(V47)))</f>
        <v>0</v>
      </c>
      <c r="X48" s="455" t="s">
        <v>201</v>
      </c>
      <c r="Y48" s="455"/>
      <c r="Z48" s="63">
        <f>IFERROR(IF(Z47&lt;0,(0),IF(Z47&gt;=0,(Z47))),0)</f>
        <v>0</v>
      </c>
    </row>
    <row r="49" spans="2:50" ht="19.5" customHeight="1" x14ac:dyDescent="0.25">
      <c r="B49" s="449" t="str">
        <f>IF(AQ20&gt;0,AQ20,"-")</f>
        <v>-</v>
      </c>
      <c r="C49" s="449"/>
      <c r="D49" s="87" t="str">
        <f t="shared" si="11"/>
        <v>-</v>
      </c>
      <c r="E49" s="365" t="str">
        <f t="shared" si="12"/>
        <v>-</v>
      </c>
      <c r="F49" s="365"/>
      <c r="G49" s="365"/>
      <c r="H49" s="365"/>
      <c r="I49" s="365"/>
      <c r="M49" s="364"/>
      <c r="N49" s="365"/>
      <c r="O49" s="576"/>
      <c r="P49" s="576"/>
      <c r="Q49" s="576"/>
      <c r="R49" s="53"/>
      <c r="U49" s="51" t="s">
        <v>110</v>
      </c>
      <c r="V49" s="63">
        <f>IFERROR(VLOOKUP($O$47,$V$56:$AA$68,5,0),0)</f>
        <v>80</v>
      </c>
      <c r="X49" s="455" t="s">
        <v>273</v>
      </c>
      <c r="Y49" s="455"/>
      <c r="Z49" s="63">
        <f>Z48*$Q$50</f>
        <v>0</v>
      </c>
    </row>
    <row r="50" spans="2:50" ht="19.5" customHeight="1" x14ac:dyDescent="0.25">
      <c r="B50" s="476" t="s">
        <v>535</v>
      </c>
      <c r="C50" s="476"/>
      <c r="D50" s="476"/>
      <c r="E50" s="476"/>
      <c r="F50" s="476"/>
      <c r="G50" s="476"/>
      <c r="H50" s="476"/>
      <c r="I50" s="476"/>
      <c r="M50" s="364"/>
      <c r="N50" s="365"/>
      <c r="O50" s="483" t="s">
        <v>157</v>
      </c>
      <c r="P50" s="484"/>
      <c r="Q50" s="92">
        <v>0.5</v>
      </c>
      <c r="R50" s="53"/>
      <c r="U50" s="51" t="s">
        <v>193</v>
      </c>
      <c r="V50" s="63">
        <f>IFERROR(VLOOKUP($O$47,$V$56:$AA$68,6,0),0)</f>
        <v>43</v>
      </c>
      <c r="AT50" s="457" t="s">
        <v>280</v>
      </c>
      <c r="AU50" s="457"/>
      <c r="AV50" s="457"/>
    </row>
    <row r="51" spans="2:50" ht="19.5" customHeight="1" thickBot="1" x14ac:dyDescent="0.3">
      <c r="B51" s="476"/>
      <c r="C51" s="476"/>
      <c r="D51" s="476"/>
      <c r="E51" s="476"/>
      <c r="F51" s="476"/>
      <c r="G51" s="476"/>
      <c r="H51" s="476"/>
      <c r="I51" s="476"/>
      <c r="M51" s="69"/>
      <c r="N51" s="70"/>
      <c r="O51" s="70"/>
      <c r="P51" s="70"/>
      <c r="Q51" s="70"/>
      <c r="R51" s="71"/>
      <c r="U51" s="51" t="s">
        <v>273</v>
      </c>
      <c r="V51" s="63">
        <f>V48*$Q$47</f>
        <v>0</v>
      </c>
      <c r="AT51" s="110" t="s">
        <v>291</v>
      </c>
      <c r="AU51" s="111" t="s">
        <v>286</v>
      </c>
      <c r="AV51" s="110">
        <v>15</v>
      </c>
    </row>
    <row r="52" spans="2:50" ht="19.5" customHeight="1" thickBot="1" x14ac:dyDescent="0.3">
      <c r="B52" s="476"/>
      <c r="C52" s="476"/>
      <c r="D52" s="476"/>
      <c r="E52" s="476"/>
      <c r="F52" s="476"/>
      <c r="G52" s="476"/>
      <c r="H52" s="476"/>
      <c r="I52" s="476"/>
      <c r="AT52" s="110" t="s">
        <v>291</v>
      </c>
      <c r="AU52" s="111" t="s">
        <v>293</v>
      </c>
      <c r="AV52" s="110">
        <v>4</v>
      </c>
    </row>
    <row r="53" spans="2:50" ht="19.5" customHeight="1" thickBot="1" x14ac:dyDescent="0.3">
      <c r="B53" s="477"/>
      <c r="C53" s="477"/>
      <c r="D53" s="477"/>
      <c r="E53" s="477"/>
      <c r="F53" s="477"/>
      <c r="G53" s="477"/>
      <c r="H53" s="477"/>
      <c r="I53" s="477"/>
      <c r="M53" s="48"/>
      <c r="N53" s="49"/>
      <c r="O53" s="49"/>
      <c r="P53" s="49"/>
      <c r="Q53" s="49"/>
      <c r="R53" s="50"/>
      <c r="AP53" s="108"/>
      <c r="AQ53" s="108"/>
      <c r="AS53" s="108"/>
      <c r="AT53" s="110" t="s">
        <v>291</v>
      </c>
      <c r="AU53" s="111" t="s">
        <v>158</v>
      </c>
      <c r="AV53" s="110">
        <v>6</v>
      </c>
    </row>
    <row r="54" spans="2:50" ht="19.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110" t="s">
        <v>291</v>
      </c>
      <c r="AU54" s="111" t="s">
        <v>292</v>
      </c>
      <c r="AV54" s="110">
        <v>12</v>
      </c>
    </row>
    <row r="55" spans="2:50" ht="19.5" customHeight="1" x14ac:dyDescent="0.25">
      <c r="B55" s="449" t="str">
        <f>IF(AP40&gt;0,AP40,"-")</f>
        <v>Ácido Bórico</v>
      </c>
      <c r="C55" s="449"/>
      <c r="D55" s="87">
        <f>IF(AV40&gt;0,AV40,"-")</f>
        <v>27.417505418719209</v>
      </c>
      <c r="E55" s="365" t="str">
        <f>IF(AV40&gt;0,"gramas por planta","-")</f>
        <v>gramas por planta</v>
      </c>
      <c r="F55" s="365"/>
      <c r="G55" s="365"/>
      <c r="H55" s="365"/>
      <c r="I55" s="365"/>
      <c r="M55" s="364"/>
      <c r="N55" s="365"/>
      <c r="O55" s="448" t="s">
        <v>154</v>
      </c>
      <c r="P55" s="448"/>
      <c r="Q55" s="448"/>
      <c r="R55" s="53"/>
      <c r="U55" s="344"/>
      <c r="V55" s="344"/>
      <c r="W55" s="344"/>
      <c r="X55" s="95" t="s">
        <v>105</v>
      </c>
      <c r="Y55" s="95" t="s">
        <v>106</v>
      </c>
      <c r="Z55" s="95" t="s">
        <v>107</v>
      </c>
      <c r="AA55" s="95" t="s">
        <v>195</v>
      </c>
      <c r="AP55" s="465"/>
      <c r="AQ55" s="465"/>
      <c r="AS55" s="465"/>
      <c r="AT55" s="110" t="s">
        <v>291</v>
      </c>
      <c r="AU55" s="111" t="s">
        <v>285</v>
      </c>
      <c r="AV55" s="110">
        <v>14</v>
      </c>
    </row>
    <row r="56" spans="2:50" ht="19.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110" t="s">
        <v>291</v>
      </c>
      <c r="AU56" s="111" t="s">
        <v>287</v>
      </c>
      <c r="AV56" s="110">
        <v>10</v>
      </c>
    </row>
    <row r="57" spans="2:50" ht="19.5" customHeight="1" x14ac:dyDescent="0.25">
      <c r="B57" s="449" t="str">
        <f>IF(AP42&gt;0,AP42,"-")</f>
        <v>Sulfato de zinco</v>
      </c>
      <c r="C57" s="449"/>
      <c r="D57" s="87" t="str">
        <f>IF(AV42&gt;0,AV42,"-")</f>
        <v>-</v>
      </c>
      <c r="E57" s="365" t="str">
        <f t="shared" ref="E57:E59" si="13">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302</v>
      </c>
      <c r="AR57" s="463"/>
      <c r="AS57" s="25"/>
      <c r="AT57" s="110" t="s">
        <v>291</v>
      </c>
      <c r="AU57" s="111" t="s">
        <v>288</v>
      </c>
      <c r="AV57" s="110">
        <v>14</v>
      </c>
    </row>
    <row r="58" spans="2:50" ht="19.5" customHeight="1" x14ac:dyDescent="0.25">
      <c r="B58" s="449" t="str">
        <f>IF(AP43&gt;0,AP43,"-")</f>
        <v>Sulfato de manganês</v>
      </c>
      <c r="C58" s="449"/>
      <c r="D58" s="87" t="str">
        <f>IF(AV43&gt;0,AV43,"-")</f>
        <v>-</v>
      </c>
      <c r="E58" s="365" t="str">
        <f t="shared" si="13"/>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f>IFERROR(VLOOKUP($O$42,AU51:AV59,2,0),0)</f>
        <v>12</v>
      </c>
      <c r="AR58" s="463"/>
      <c r="AS58" s="25"/>
      <c r="AT58" s="110" t="s">
        <v>291</v>
      </c>
      <c r="AU58" s="111" t="s">
        <v>289</v>
      </c>
      <c r="AV58" s="110">
        <v>15</v>
      </c>
    </row>
    <row r="59" spans="2:50" ht="19.5" customHeight="1" x14ac:dyDescent="0.25">
      <c r="B59" s="449" t="str">
        <f>IF(AP44&gt;0,AP44,"-")</f>
        <v>-</v>
      </c>
      <c r="C59" s="449"/>
      <c r="D59" s="87" t="str">
        <f>IF(AV44&gt;0,AV44,"-")</f>
        <v>-</v>
      </c>
      <c r="E59" s="365" t="str">
        <f t="shared" si="13"/>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S59" s="25"/>
      <c r="AT59" s="110" t="s">
        <v>291</v>
      </c>
      <c r="AU59" s="111" t="s">
        <v>290</v>
      </c>
      <c r="AV59" s="110">
        <v>6</v>
      </c>
    </row>
    <row r="60" spans="2:50" ht="19.5" customHeight="1" x14ac:dyDescent="0.25">
      <c r="B60" s="521" t="s">
        <v>536</v>
      </c>
      <c r="C60" s="521"/>
      <c r="D60" s="521"/>
      <c r="E60" s="521"/>
      <c r="F60" s="521"/>
      <c r="G60" s="521"/>
      <c r="H60" s="521"/>
      <c r="I60" s="521"/>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25"/>
      <c r="AU60" s="25"/>
      <c r="AV60" s="25"/>
      <c r="AW60" s="25"/>
      <c r="AX60" s="25"/>
    </row>
    <row r="61" spans="2:50" ht="19.5" customHeight="1" x14ac:dyDescent="0.25">
      <c r="B61" s="521"/>
      <c r="C61" s="521"/>
      <c r="D61" s="521"/>
      <c r="E61" s="521"/>
      <c r="F61" s="521"/>
      <c r="G61" s="521"/>
      <c r="H61" s="521"/>
      <c r="I61" s="521"/>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25"/>
      <c r="AU61" s="25"/>
      <c r="AV61" s="25"/>
      <c r="AW61" s="25"/>
      <c r="AX61" s="25"/>
    </row>
    <row r="62" spans="2:50" ht="19.5" customHeight="1" x14ac:dyDescent="0.25">
      <c r="B62" s="521"/>
      <c r="C62" s="521"/>
      <c r="D62" s="521"/>
      <c r="E62" s="521"/>
      <c r="F62" s="521"/>
      <c r="G62" s="521"/>
      <c r="H62" s="521"/>
      <c r="I62" s="521"/>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S62" s="25"/>
      <c r="AT62" s="25"/>
      <c r="AU62" s="25"/>
      <c r="AV62" s="25"/>
      <c r="AW62" s="25"/>
      <c r="AX62" s="25"/>
    </row>
    <row r="63" spans="2:50" ht="19.5" customHeight="1" thickBot="1" x14ac:dyDescent="0.3">
      <c r="B63" s="522"/>
      <c r="C63" s="522"/>
      <c r="D63" s="522"/>
      <c r="E63" s="522"/>
      <c r="F63" s="522"/>
      <c r="G63" s="522"/>
      <c r="H63" s="522"/>
      <c r="I63" s="522"/>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S63" s="25"/>
      <c r="AT63" s="25"/>
      <c r="AU63" s="25"/>
      <c r="AV63" s="25"/>
      <c r="AW63" s="25"/>
      <c r="AX63" s="25"/>
    </row>
    <row r="64" spans="2:50" ht="19.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S64" s="25"/>
      <c r="AT64" s="25"/>
      <c r="AU64" s="25"/>
      <c r="AV64" s="25"/>
      <c r="AW64" s="25"/>
      <c r="AX64" s="25"/>
    </row>
    <row r="65" spans="2:50" ht="19.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S65" s="25"/>
      <c r="AT65" s="25"/>
      <c r="AU65" s="25"/>
      <c r="AV65" s="25"/>
      <c r="AW65" s="25"/>
      <c r="AX65" s="25"/>
    </row>
    <row r="66" spans="2:50" ht="19.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S66" s="25"/>
      <c r="AT66" s="25"/>
      <c r="AU66" s="25"/>
      <c r="AV66" s="25"/>
      <c r="AW66" s="25"/>
      <c r="AX66" s="25"/>
    </row>
    <row r="67" spans="2:50" ht="19.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S67" s="25"/>
      <c r="AT67" s="25"/>
      <c r="AU67" s="25"/>
      <c r="AV67" s="25"/>
      <c r="AW67" s="25"/>
      <c r="AX67" s="25"/>
    </row>
    <row r="68" spans="2:50" ht="19.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S68" s="25"/>
      <c r="AT68" s="25"/>
      <c r="AU68" s="25"/>
      <c r="AV68" s="25"/>
      <c r="AW68" s="25"/>
      <c r="AX68" s="25"/>
    </row>
    <row r="69" spans="2:50" ht="19.5" customHeight="1" thickBot="1" x14ac:dyDescent="0.3">
      <c r="M69" s="69"/>
      <c r="N69" s="70"/>
      <c r="O69" s="70"/>
      <c r="P69" s="70"/>
      <c r="Q69" s="70"/>
      <c r="R69" s="71"/>
      <c r="AS69" s="25"/>
      <c r="AT69" s="25"/>
      <c r="AU69" s="25"/>
      <c r="AV69" s="25"/>
      <c r="AW69" s="25"/>
      <c r="AX69" s="25"/>
    </row>
    <row r="70" spans="2:50" ht="19.5" customHeight="1" thickBot="1" x14ac:dyDescent="0.3">
      <c r="AS70" s="25"/>
      <c r="AT70" s="25"/>
      <c r="AU70" s="25"/>
      <c r="AV70" s="25"/>
      <c r="AW70" s="25"/>
      <c r="AX70" s="25"/>
    </row>
    <row r="71" spans="2:50" ht="19.5" customHeight="1" x14ac:dyDescent="0.25">
      <c r="M71" s="48"/>
      <c r="N71" s="49"/>
      <c r="O71" s="49"/>
      <c r="P71" s="49"/>
      <c r="Q71" s="49"/>
      <c r="R71" s="50"/>
      <c r="U71" s="347" t="s">
        <v>136</v>
      </c>
      <c r="V71" s="347" t="s">
        <v>76</v>
      </c>
      <c r="W71" s="347" t="s">
        <v>77</v>
      </c>
      <c r="X71" s="347" t="s">
        <v>284</v>
      </c>
      <c r="Y71" s="347"/>
      <c r="Z71" s="347"/>
      <c r="AS71" s="25"/>
      <c r="AT71" s="25"/>
      <c r="AU71" s="25"/>
      <c r="AV71" s="25"/>
      <c r="AW71" s="25"/>
      <c r="AX71" s="25"/>
    </row>
    <row r="72" spans="2:50" ht="19.5" customHeight="1" x14ac:dyDescent="0.25">
      <c r="M72" s="364" t="s">
        <v>215</v>
      </c>
      <c r="N72" s="365"/>
      <c r="O72" s="450" t="s">
        <v>252</v>
      </c>
      <c r="P72" s="451"/>
      <c r="Q72" s="452"/>
      <c r="R72" s="53"/>
      <c r="U72" s="347"/>
      <c r="V72" s="347"/>
      <c r="W72" s="347"/>
      <c r="X72" s="13" t="s">
        <v>81</v>
      </c>
      <c r="Y72" s="13" t="s">
        <v>82</v>
      </c>
      <c r="Z72" s="13" t="s">
        <v>83</v>
      </c>
      <c r="AS72" s="25"/>
      <c r="AT72" s="25"/>
      <c r="AU72" s="25"/>
      <c r="AV72" s="25"/>
      <c r="AW72" s="25"/>
      <c r="AX72" s="25"/>
    </row>
    <row r="73" spans="2:50" ht="19.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S73" s="25"/>
      <c r="AT73" s="25"/>
      <c r="AU73" s="25"/>
      <c r="AV73" s="25"/>
      <c r="AW73" s="25"/>
      <c r="AX73" s="25"/>
    </row>
    <row r="74" spans="2:50" ht="19.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S74" s="25"/>
      <c r="AT74" s="25"/>
      <c r="AU74" s="25"/>
      <c r="AV74" s="25"/>
      <c r="AW74" s="25"/>
      <c r="AX74" s="25"/>
    </row>
    <row r="75" spans="2:50" ht="19.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S75" s="25"/>
      <c r="AT75" s="25"/>
      <c r="AU75" s="25"/>
      <c r="AV75" s="25"/>
      <c r="AW75" s="25"/>
      <c r="AX75" s="25"/>
    </row>
    <row r="76" spans="2:50" ht="19.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S76" s="25"/>
      <c r="AT76" s="25"/>
      <c r="AU76" s="25"/>
      <c r="AV76" s="25"/>
      <c r="AW76" s="25"/>
      <c r="AX76" s="25"/>
    </row>
    <row r="77" spans="2:50" ht="19.5" customHeight="1" x14ac:dyDescent="0.25">
      <c r="M77" s="364"/>
      <c r="N77" s="365"/>
      <c r="O77" s="37"/>
      <c r="P77" s="37"/>
      <c r="Q77" s="37"/>
      <c r="R77" s="53"/>
      <c r="U77" s="340"/>
      <c r="V77" s="14" t="str">
        <f>'Adubos e corretivos'!C108</f>
        <v>Nutrigesso Nutrion</v>
      </c>
      <c r="W77" s="14">
        <f>'Adubos e corretivos'!D108</f>
        <v>0</v>
      </c>
      <c r="X77" s="14">
        <f>'Adubos e corretivos'!E108</f>
        <v>13</v>
      </c>
      <c r="Y77" s="14">
        <f>'Adubos e corretivos'!F108</f>
        <v>0</v>
      </c>
      <c r="Z77" s="14">
        <f>'Adubos e corretivos'!G108</f>
        <v>16</v>
      </c>
      <c r="AS77" s="25"/>
      <c r="AT77" s="25"/>
      <c r="AU77" s="25"/>
      <c r="AV77" s="25"/>
      <c r="AW77" s="25"/>
      <c r="AX77" s="25"/>
    </row>
    <row r="78" spans="2:50" ht="19.5" customHeight="1" x14ac:dyDescent="0.25">
      <c r="M78" s="364"/>
      <c r="N78" s="365"/>
      <c r="O78" s="391" t="s">
        <v>264</v>
      </c>
      <c r="P78" s="391"/>
      <c r="Q78" s="391"/>
      <c r="R78" s="53"/>
      <c r="U78" s="340"/>
      <c r="V78" s="14">
        <f>'Adubos e corretivos'!C109</f>
        <v>0</v>
      </c>
      <c r="W78" s="14">
        <f>'Adubos e corretivos'!D109</f>
        <v>0</v>
      </c>
      <c r="X78" s="14">
        <f>'Adubos e corretivos'!E109</f>
        <v>0</v>
      </c>
      <c r="Y78" s="14">
        <f>'Adubos e corretivos'!F109</f>
        <v>0</v>
      </c>
      <c r="Z78" s="14">
        <f>'Adubos e corretivos'!G109</f>
        <v>0</v>
      </c>
      <c r="AS78" s="25"/>
      <c r="AT78" s="25"/>
      <c r="AU78" s="25"/>
      <c r="AV78" s="25"/>
      <c r="AW78" s="25"/>
      <c r="AX78" s="25"/>
    </row>
    <row r="79" spans="2:50" ht="19.5" customHeight="1" x14ac:dyDescent="0.25">
      <c r="M79" s="364"/>
      <c r="N79" s="365"/>
      <c r="O79" s="37"/>
      <c r="P79" s="37"/>
      <c r="Q79" s="37"/>
      <c r="R79" s="53"/>
      <c r="U79" s="340"/>
      <c r="V79" s="14">
        <f>'Adubos e corretivos'!C110</f>
        <v>0</v>
      </c>
      <c r="W79" s="14">
        <f>'Adubos e corretivos'!D110</f>
        <v>0</v>
      </c>
      <c r="X79" s="14">
        <f>'Adubos e corretivos'!E110</f>
        <v>0</v>
      </c>
      <c r="Y79" s="14">
        <f>'Adubos e corretivos'!F110</f>
        <v>0</v>
      </c>
      <c r="Z79" s="14">
        <f>'Adubos e corretivos'!G110</f>
        <v>0</v>
      </c>
      <c r="AS79" s="25"/>
      <c r="AT79" s="25"/>
      <c r="AU79" s="25"/>
      <c r="AV79" s="25"/>
      <c r="AW79" s="25"/>
      <c r="AX79" s="25"/>
    </row>
    <row r="80" spans="2:50" ht="19.5" customHeight="1" x14ac:dyDescent="0.25">
      <c r="M80" s="364"/>
      <c r="N80" s="365"/>
      <c r="O80" s="557" t="s">
        <v>253</v>
      </c>
      <c r="P80" s="558"/>
      <c r="Q80" s="559"/>
      <c r="R80" s="53"/>
      <c r="U80" s="340"/>
      <c r="V80" s="14">
        <f>'Adubos e corretivos'!C111</f>
        <v>0</v>
      </c>
      <c r="W80" s="14">
        <f>'Adubos e corretivos'!D111</f>
        <v>0</v>
      </c>
      <c r="X80" s="14">
        <f>'Adubos e corretivos'!E111</f>
        <v>0</v>
      </c>
      <c r="Y80" s="14">
        <f>'Adubos e corretivos'!F111</f>
        <v>0</v>
      </c>
      <c r="Z80" s="14">
        <f>'Adubos e corretivos'!G111</f>
        <v>0</v>
      </c>
      <c r="AS80" s="25"/>
      <c r="AT80" s="25"/>
      <c r="AU80" s="25"/>
      <c r="AV80" s="25"/>
      <c r="AW80" s="25"/>
      <c r="AX80" s="25"/>
    </row>
    <row r="81" spans="13:50" ht="19.5" customHeight="1" x14ac:dyDescent="0.25">
      <c r="M81" s="364"/>
      <c r="N81" s="365"/>
      <c r="O81" s="557" t="s">
        <v>251</v>
      </c>
      <c r="P81" s="558"/>
      <c r="Q81" s="559"/>
      <c r="R81" s="53"/>
      <c r="U81" s="340"/>
      <c r="V81" s="14">
        <f>'Adubos e corretivos'!C112</f>
        <v>0</v>
      </c>
      <c r="W81" s="14">
        <f>'Adubos e corretivos'!D112</f>
        <v>0</v>
      </c>
      <c r="X81" s="14">
        <f>'Adubos e corretivos'!E112</f>
        <v>0</v>
      </c>
      <c r="Y81" s="14">
        <f>'Adubos e corretivos'!F112</f>
        <v>0</v>
      </c>
      <c r="Z81" s="14">
        <f>'Adubos e corretivos'!G112</f>
        <v>0</v>
      </c>
      <c r="AS81" s="25"/>
      <c r="AT81" s="25"/>
      <c r="AU81" s="25"/>
      <c r="AV81" s="25"/>
      <c r="AW81" s="25"/>
      <c r="AX81" s="25"/>
    </row>
    <row r="82" spans="13:50" ht="19.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S82" s="25"/>
      <c r="AT82" s="25"/>
      <c r="AU82" s="25"/>
      <c r="AV82" s="25"/>
      <c r="AW82" s="25"/>
      <c r="AX82" s="25"/>
    </row>
    <row r="83" spans="13:50" ht="19.5" customHeight="1" x14ac:dyDescent="0.25">
      <c r="M83" s="364"/>
      <c r="N83" s="365"/>
      <c r="O83" s="448" t="s">
        <v>116</v>
      </c>
      <c r="P83" s="448"/>
      <c r="Q83" s="92">
        <v>0.5</v>
      </c>
      <c r="R83" s="53"/>
      <c r="AS83" s="25"/>
      <c r="AT83" s="25"/>
      <c r="AU83" s="25"/>
      <c r="AV83" s="25"/>
      <c r="AW83" s="25"/>
      <c r="AX83" s="25"/>
    </row>
    <row r="84" spans="13:50" ht="19.5" customHeight="1" x14ac:dyDescent="0.25">
      <c r="M84" s="364"/>
      <c r="N84" s="365"/>
      <c r="O84" s="448"/>
      <c r="P84" s="448"/>
      <c r="Q84" s="92"/>
      <c r="R84" s="53"/>
      <c r="AS84" s="25"/>
      <c r="AT84" s="25"/>
      <c r="AU84" s="25"/>
      <c r="AV84" s="25"/>
      <c r="AW84" s="25"/>
      <c r="AX84" s="25"/>
    </row>
    <row r="85" spans="13:50" ht="19.5" customHeight="1" x14ac:dyDescent="0.25">
      <c r="M85" s="364"/>
      <c r="N85" s="365"/>
      <c r="O85" s="37"/>
      <c r="P85" s="37"/>
      <c r="Q85" s="37"/>
      <c r="R85" s="53"/>
      <c r="U85" s="464" t="s">
        <v>136</v>
      </c>
      <c r="V85" s="464" t="s">
        <v>76</v>
      </c>
      <c r="W85" s="464" t="s">
        <v>77</v>
      </c>
      <c r="X85" s="464" t="s">
        <v>78</v>
      </c>
      <c r="Y85" s="464"/>
      <c r="Z85" s="464"/>
      <c r="AA85" s="464"/>
      <c r="AB85" s="464"/>
      <c r="AC85" s="464"/>
      <c r="AD85" s="464"/>
      <c r="AE85" s="464"/>
      <c r="AS85" s="25"/>
      <c r="AT85" s="25"/>
      <c r="AU85" s="25"/>
      <c r="AV85" s="25"/>
      <c r="AW85" s="25"/>
      <c r="AX85" s="25"/>
    </row>
    <row r="86" spans="13:50" ht="19.5" customHeight="1" x14ac:dyDescent="0.25">
      <c r="M86" s="364"/>
      <c r="N86" s="365"/>
      <c r="O86" s="391" t="s">
        <v>264</v>
      </c>
      <c r="P86" s="391"/>
      <c r="Q86" s="391"/>
      <c r="R86" s="53"/>
      <c r="U86" s="464"/>
      <c r="V86" s="464"/>
      <c r="W86" s="464"/>
      <c r="X86" s="98" t="s">
        <v>117</v>
      </c>
      <c r="Y86" s="98" t="s">
        <v>79</v>
      </c>
      <c r="Z86" s="98" t="s">
        <v>66</v>
      </c>
      <c r="AA86" s="98" t="s">
        <v>80</v>
      </c>
      <c r="AB86" s="98" t="s">
        <v>67</v>
      </c>
      <c r="AC86" s="98" t="s">
        <v>191</v>
      </c>
      <c r="AD86" s="98" t="s">
        <v>192</v>
      </c>
      <c r="AE86" s="98" t="s">
        <v>204</v>
      </c>
      <c r="AS86" s="25"/>
      <c r="AT86" s="25"/>
      <c r="AU86" s="25"/>
      <c r="AV86" s="25"/>
      <c r="AW86" s="25"/>
      <c r="AX86" s="25"/>
    </row>
    <row r="87" spans="13:50" ht="19.5" customHeight="1" x14ac:dyDescent="0.25">
      <c r="M87" s="364"/>
      <c r="N87" s="365"/>
      <c r="O87" s="37"/>
      <c r="P87" s="37"/>
      <c r="Q87" s="37"/>
      <c r="R87" s="53"/>
      <c r="U87" s="466" t="s">
        <v>194</v>
      </c>
      <c r="V87" s="99" t="str">
        <f>V160</f>
        <v xml:space="preserve">Biotita Xisto (61) 3233-9368 </v>
      </c>
      <c r="W87" s="99">
        <f>W160</f>
        <v>0</v>
      </c>
      <c r="X87" s="99">
        <f>AL160</f>
        <v>57.8</v>
      </c>
      <c r="Y87" s="99">
        <f t="shared" ref="Y87:AB95" si="14">Y160</f>
        <v>8.7999999999999995E-2</v>
      </c>
      <c r="Z87" s="99">
        <f t="shared" si="14"/>
        <v>0.2</v>
      </c>
      <c r="AA87" s="99">
        <f t="shared" si="14"/>
        <v>2.83</v>
      </c>
      <c r="AB87" s="99">
        <f t="shared" si="14"/>
        <v>3.4</v>
      </c>
      <c r="AC87" s="100">
        <f>AC160*0.602</f>
        <v>1.5155244755244754</v>
      </c>
      <c r="AD87" s="100">
        <f>AD160*0.715</f>
        <v>5.4634551495016606</v>
      </c>
      <c r="AE87" s="100">
        <f t="shared" ref="AE87:AE95" si="15">AB87+AC87+AD87</f>
        <v>10.378979625026137</v>
      </c>
      <c r="AS87" s="25"/>
      <c r="AT87" s="25"/>
      <c r="AU87" s="25"/>
      <c r="AV87" s="25"/>
      <c r="AW87" s="25"/>
      <c r="AX87" s="25"/>
    </row>
    <row r="88" spans="13:50" ht="19.5" customHeight="1" x14ac:dyDescent="0.25">
      <c r="M88" s="364"/>
      <c r="N88" s="365"/>
      <c r="O88" s="557" t="s">
        <v>254</v>
      </c>
      <c r="P88" s="558"/>
      <c r="Q88" s="559"/>
      <c r="R88" s="53"/>
      <c r="U88" s="466"/>
      <c r="V88" s="99" t="str">
        <f t="shared" ref="V88:W95" si="16">V161</f>
        <v>Kamafugito</v>
      </c>
      <c r="W88" s="99">
        <f t="shared" si="16"/>
        <v>0</v>
      </c>
      <c r="X88" s="99">
        <f t="shared" ref="X88:X95" si="17">AL161</f>
        <v>0</v>
      </c>
      <c r="Y88" s="99">
        <f t="shared" si="14"/>
        <v>1.5069999999999999</v>
      </c>
      <c r="Z88" s="99">
        <f t="shared" si="14"/>
        <v>3.5</v>
      </c>
      <c r="AA88" s="99">
        <f t="shared" si="14"/>
        <v>3.3250000000000002</v>
      </c>
      <c r="AB88" s="99">
        <f t="shared" si="14"/>
        <v>4</v>
      </c>
      <c r="AC88" s="100">
        <f t="shared" ref="AC88:AC95" si="18">AC161*0.602</f>
        <v>1.7217199999999999</v>
      </c>
      <c r="AD88" s="100">
        <f t="shared" ref="AD88:AD95" si="19">AD161*0.715</f>
        <v>0</v>
      </c>
      <c r="AE88" s="100">
        <f t="shared" si="15"/>
        <v>5.7217199999999995</v>
      </c>
      <c r="AS88" s="25"/>
      <c r="AT88" s="25"/>
      <c r="AU88" s="25"/>
      <c r="AV88" s="25"/>
      <c r="AW88" s="25"/>
      <c r="AX88" s="25"/>
    </row>
    <row r="89" spans="13:50" ht="19.5" customHeight="1" x14ac:dyDescent="0.25">
      <c r="M89" s="364"/>
      <c r="N89" s="365"/>
      <c r="O89" s="557" t="s">
        <v>251</v>
      </c>
      <c r="P89" s="558"/>
      <c r="Q89" s="559"/>
      <c r="R89" s="53"/>
      <c r="U89" s="466"/>
      <c r="V89" s="99" t="str">
        <f t="shared" si="16"/>
        <v>Micaxisto (61) 3233-9368</v>
      </c>
      <c r="W89" s="99">
        <f t="shared" si="16"/>
        <v>0</v>
      </c>
      <c r="X89" s="99">
        <f t="shared" si="17"/>
        <v>0</v>
      </c>
      <c r="Y89" s="99">
        <f t="shared" si="14"/>
        <v>4.4999999999999998E-2</v>
      </c>
      <c r="Z89" s="99">
        <f t="shared" si="14"/>
        <v>0.1</v>
      </c>
      <c r="AA89" s="99">
        <f t="shared" si="14"/>
        <v>4.32</v>
      </c>
      <c r="AB89" s="99">
        <f t="shared" si="14"/>
        <v>5.2</v>
      </c>
      <c r="AC89" s="100">
        <f t="shared" si="18"/>
        <v>0.75776223776223772</v>
      </c>
      <c r="AD89" s="100">
        <f t="shared" si="19"/>
        <v>0.83139534883720934</v>
      </c>
      <c r="AE89" s="100">
        <f t="shared" si="15"/>
        <v>6.7891575865994476</v>
      </c>
      <c r="AS89" s="25"/>
      <c r="AT89" s="25"/>
      <c r="AU89" s="25"/>
      <c r="AV89" s="25"/>
      <c r="AW89" s="25"/>
      <c r="AX89" s="25"/>
    </row>
    <row r="90" spans="13:50" ht="19.5" customHeight="1" x14ac:dyDescent="0.25">
      <c r="M90" s="364"/>
      <c r="N90" s="365"/>
      <c r="O90" s="448" t="s">
        <v>93</v>
      </c>
      <c r="P90" s="448"/>
      <c r="Q90" s="92">
        <v>1</v>
      </c>
      <c r="R90" s="53"/>
      <c r="U90" s="466"/>
      <c r="V90" s="99" t="str">
        <f t="shared" si="16"/>
        <v xml:space="preserve">Pó de brita Fmx (62) 3924 8565 </v>
      </c>
      <c r="W90" s="99">
        <f t="shared" si="16"/>
        <v>0</v>
      </c>
      <c r="X90" s="99">
        <f t="shared" si="17"/>
        <v>0</v>
      </c>
      <c r="Y90" s="99">
        <f t="shared" si="14"/>
        <v>0</v>
      </c>
      <c r="Z90" s="99">
        <f t="shared" si="14"/>
        <v>0</v>
      </c>
      <c r="AA90" s="99">
        <f t="shared" si="14"/>
        <v>4.99</v>
      </c>
      <c r="AB90" s="99">
        <f t="shared" si="14"/>
        <v>6</v>
      </c>
      <c r="AC90" s="100">
        <f t="shared" si="18"/>
        <v>2.5258741258741257</v>
      </c>
      <c r="AD90" s="100">
        <f t="shared" si="19"/>
        <v>0.59385382059800662</v>
      </c>
      <c r="AE90" s="100">
        <f t="shared" si="15"/>
        <v>9.1197279464721319</v>
      </c>
      <c r="AS90" s="25"/>
      <c r="AT90" s="25"/>
      <c r="AU90" s="25"/>
      <c r="AV90" s="25"/>
      <c r="AW90" s="25"/>
      <c r="AX90" s="25"/>
    </row>
    <row r="91" spans="13:50" ht="19.5" customHeight="1" x14ac:dyDescent="0.25">
      <c r="M91" s="364"/>
      <c r="N91" s="365"/>
      <c r="O91" s="448"/>
      <c r="P91" s="448"/>
      <c r="Q91" s="92"/>
      <c r="R91" s="53"/>
      <c r="U91" s="466"/>
      <c r="V91" s="99" t="str">
        <f t="shared" si="16"/>
        <v>Remax Mistel (61) 99414-1975</v>
      </c>
      <c r="W91" s="99">
        <f t="shared" si="16"/>
        <v>0</v>
      </c>
      <c r="X91" s="99">
        <f t="shared" si="17"/>
        <v>43.8</v>
      </c>
      <c r="Y91" s="99">
        <f t="shared" si="14"/>
        <v>4.4999999999999998E-2</v>
      </c>
      <c r="Z91" s="99">
        <f t="shared" si="14"/>
        <v>0.1</v>
      </c>
      <c r="AA91" s="99">
        <f t="shared" si="14"/>
        <v>2.1949999999999998</v>
      </c>
      <c r="AB91" s="99">
        <f t="shared" si="14"/>
        <v>2.6</v>
      </c>
      <c r="AC91" s="100">
        <f t="shared" si="18"/>
        <v>11.282237762237763</v>
      </c>
      <c r="AD91" s="100">
        <f t="shared" si="19"/>
        <v>8.8959302325581397</v>
      </c>
      <c r="AE91" s="100">
        <f t="shared" si="15"/>
        <v>22.778167994795901</v>
      </c>
      <c r="AS91" s="25"/>
      <c r="AT91" s="25"/>
      <c r="AU91" s="25"/>
      <c r="AV91" s="25"/>
      <c r="AW91" s="25"/>
      <c r="AX91" s="25"/>
    </row>
    <row r="92" spans="13:50" ht="19.5" customHeight="1" x14ac:dyDescent="0.25">
      <c r="M92" s="364"/>
      <c r="N92" s="365"/>
      <c r="O92" s="448"/>
      <c r="P92" s="448"/>
      <c r="Q92" s="92"/>
      <c r="R92" s="53"/>
      <c r="U92" s="466"/>
      <c r="V92" s="99">
        <f t="shared" si="16"/>
        <v>0</v>
      </c>
      <c r="W92" s="99">
        <f t="shared" si="16"/>
        <v>0</v>
      </c>
      <c r="X92" s="99">
        <f t="shared" si="17"/>
        <v>0</v>
      </c>
      <c r="Y92" s="99">
        <f t="shared" si="14"/>
        <v>0</v>
      </c>
      <c r="Z92" s="99">
        <f t="shared" si="14"/>
        <v>0</v>
      </c>
      <c r="AA92" s="99">
        <f t="shared" si="14"/>
        <v>0</v>
      </c>
      <c r="AB92" s="99">
        <f t="shared" si="14"/>
        <v>0</v>
      </c>
      <c r="AC92" s="100">
        <f t="shared" si="18"/>
        <v>0</v>
      </c>
      <c r="AD92" s="100">
        <f t="shared" si="19"/>
        <v>0</v>
      </c>
      <c r="AE92" s="100">
        <f t="shared" si="15"/>
        <v>0</v>
      </c>
      <c r="AS92" s="25"/>
      <c r="AT92" s="25"/>
      <c r="AU92" s="25"/>
      <c r="AV92" s="25"/>
      <c r="AW92" s="25"/>
      <c r="AX92" s="25"/>
    </row>
    <row r="93" spans="13:50" ht="19.5" customHeight="1" x14ac:dyDescent="0.25">
      <c r="M93" s="101"/>
      <c r="N93" s="25"/>
      <c r="O93" s="25"/>
      <c r="P93" s="25"/>
      <c r="Q93" s="25"/>
      <c r="R93" s="53"/>
      <c r="U93" s="466"/>
      <c r="V93" s="99">
        <f t="shared" si="16"/>
        <v>0</v>
      </c>
      <c r="W93" s="99">
        <f t="shared" si="16"/>
        <v>0</v>
      </c>
      <c r="X93" s="99">
        <f t="shared" si="17"/>
        <v>0</v>
      </c>
      <c r="Y93" s="99">
        <f t="shared" si="14"/>
        <v>0</v>
      </c>
      <c r="Z93" s="99">
        <f t="shared" si="14"/>
        <v>0</v>
      </c>
      <c r="AA93" s="99">
        <f t="shared" si="14"/>
        <v>0</v>
      </c>
      <c r="AB93" s="99">
        <f t="shared" si="14"/>
        <v>0</v>
      </c>
      <c r="AC93" s="100">
        <f t="shared" si="18"/>
        <v>0</v>
      </c>
      <c r="AD93" s="100">
        <f t="shared" si="19"/>
        <v>0</v>
      </c>
      <c r="AE93" s="100">
        <f t="shared" si="15"/>
        <v>0</v>
      </c>
      <c r="AS93" s="25"/>
      <c r="AT93" s="25"/>
      <c r="AU93" s="25"/>
      <c r="AV93" s="25"/>
      <c r="AW93" s="25"/>
      <c r="AX93" s="25"/>
    </row>
    <row r="94" spans="13:50" ht="19.5" customHeight="1" x14ac:dyDescent="0.25">
      <c r="M94" s="101"/>
      <c r="N94" s="25"/>
      <c r="O94" s="365" t="s">
        <v>264</v>
      </c>
      <c r="P94" s="365"/>
      <c r="Q94" s="365"/>
      <c r="R94" s="53"/>
      <c r="U94" s="466"/>
      <c r="V94" s="99">
        <f t="shared" si="16"/>
        <v>0</v>
      </c>
      <c r="W94" s="99">
        <f t="shared" si="16"/>
        <v>0</v>
      </c>
      <c r="X94" s="99">
        <f t="shared" si="17"/>
        <v>0</v>
      </c>
      <c r="Y94" s="99">
        <f t="shared" si="14"/>
        <v>0</v>
      </c>
      <c r="Z94" s="99">
        <f t="shared" si="14"/>
        <v>0</v>
      </c>
      <c r="AA94" s="99">
        <f t="shared" si="14"/>
        <v>0</v>
      </c>
      <c r="AB94" s="99">
        <f t="shared" si="14"/>
        <v>0</v>
      </c>
      <c r="AC94" s="100">
        <f t="shared" si="18"/>
        <v>0</v>
      </c>
      <c r="AD94" s="100">
        <f t="shared" si="19"/>
        <v>0</v>
      </c>
      <c r="AE94" s="100">
        <f t="shared" si="15"/>
        <v>0</v>
      </c>
      <c r="AS94" s="25"/>
      <c r="AT94" s="25"/>
      <c r="AU94" s="25"/>
      <c r="AV94" s="25"/>
      <c r="AW94" s="25"/>
      <c r="AX94" s="25"/>
    </row>
    <row r="95" spans="13:50" ht="19.5" customHeight="1" thickBot="1" x14ac:dyDescent="0.3">
      <c r="M95" s="69"/>
      <c r="N95" s="70"/>
      <c r="O95" s="70"/>
      <c r="P95" s="70"/>
      <c r="Q95" s="70"/>
      <c r="R95" s="71"/>
      <c r="U95" s="466"/>
      <c r="V95" s="99">
        <f t="shared" si="16"/>
        <v>0</v>
      </c>
      <c r="W95" s="99">
        <f t="shared" si="16"/>
        <v>0</v>
      </c>
      <c r="X95" s="99">
        <f t="shared" si="17"/>
        <v>0</v>
      </c>
      <c r="Y95" s="99">
        <f t="shared" si="14"/>
        <v>0</v>
      </c>
      <c r="Z95" s="99">
        <f t="shared" si="14"/>
        <v>0</v>
      </c>
      <c r="AA95" s="99">
        <f t="shared" si="14"/>
        <v>0</v>
      </c>
      <c r="AB95" s="99">
        <f t="shared" si="14"/>
        <v>0</v>
      </c>
      <c r="AC95" s="100">
        <f t="shared" si="18"/>
        <v>0</v>
      </c>
      <c r="AD95" s="100">
        <f t="shared" si="19"/>
        <v>0</v>
      </c>
      <c r="AE95" s="100">
        <f t="shared" si="15"/>
        <v>0</v>
      </c>
      <c r="AS95" s="25"/>
      <c r="AT95" s="25"/>
      <c r="AU95" s="25"/>
      <c r="AV95" s="25"/>
      <c r="AW95" s="25"/>
      <c r="AX95" s="25"/>
    </row>
    <row r="96" spans="13:50" ht="19.5" customHeight="1" thickBot="1" x14ac:dyDescent="0.3">
      <c r="AS96" s="25"/>
      <c r="AT96" s="25"/>
      <c r="AU96" s="25"/>
      <c r="AV96" s="25"/>
      <c r="AW96" s="25"/>
      <c r="AX96" s="25"/>
    </row>
    <row r="97" spans="1:50" ht="19.5" customHeight="1" x14ac:dyDescent="0.25">
      <c r="A97" s="26"/>
      <c r="M97" s="48"/>
      <c r="N97" s="49"/>
      <c r="O97" s="49"/>
      <c r="P97" s="49"/>
      <c r="Q97" s="49"/>
      <c r="R97" s="50"/>
      <c r="AS97" s="25"/>
      <c r="AT97" s="25"/>
      <c r="AU97" s="25"/>
      <c r="AV97" s="25"/>
      <c r="AW97" s="25"/>
      <c r="AX97" s="25"/>
    </row>
    <row r="98" spans="1:50" ht="19.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c r="AS98" s="25"/>
      <c r="AT98" s="25"/>
      <c r="AU98" s="25"/>
      <c r="AV98" s="25"/>
      <c r="AW98" s="25"/>
      <c r="AX98" s="25"/>
    </row>
    <row r="99" spans="1:50" ht="19.5" customHeight="1" x14ac:dyDescent="0.25">
      <c r="A99" s="94"/>
      <c r="M99" s="364" t="s">
        <v>262</v>
      </c>
      <c r="N99" s="453"/>
      <c r="O99" s="103">
        <f>$AC$30</f>
        <v>864</v>
      </c>
      <c r="P99" s="103">
        <f>$AC$31</f>
        <v>158.4</v>
      </c>
      <c r="Q99" s="103">
        <f>$AC$32</f>
        <v>705.6</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c r="AS99" s="25"/>
      <c r="AT99" s="25"/>
      <c r="AU99" s="25"/>
      <c r="AV99" s="25"/>
      <c r="AW99" s="25"/>
      <c r="AX99" s="25"/>
    </row>
    <row r="100" spans="1:50" ht="19.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c r="AS100" s="25"/>
      <c r="AT100" s="25"/>
      <c r="AU100" s="25"/>
      <c r="AV100" s="25"/>
      <c r="AW100" s="25"/>
      <c r="AX100" s="25"/>
    </row>
    <row r="101" spans="1:50" ht="19.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c r="AS101" s="25"/>
      <c r="AT101" s="25"/>
      <c r="AU101" s="25"/>
      <c r="AV101" s="25"/>
      <c r="AW101" s="25"/>
      <c r="AX101" s="25"/>
    </row>
    <row r="102" spans="1:50" ht="19.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c r="AS102" s="25"/>
      <c r="AT102" s="25"/>
      <c r="AU102" s="25"/>
      <c r="AV102" s="25"/>
      <c r="AW102" s="25"/>
      <c r="AX102" s="25"/>
    </row>
    <row r="103" spans="1:50" ht="19.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c r="AS103" s="25"/>
      <c r="AT103" s="25"/>
      <c r="AU103" s="25"/>
      <c r="AV103" s="25"/>
      <c r="AW103" s="25"/>
      <c r="AX103" s="25"/>
    </row>
    <row r="104" spans="1:50" ht="19.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c r="AS104" s="25"/>
      <c r="AT104" s="25"/>
      <c r="AU104" s="25"/>
      <c r="AV104" s="25"/>
      <c r="AW104" s="25"/>
      <c r="AX104" s="25"/>
    </row>
    <row r="105" spans="1:50" ht="19.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c r="AS105" s="25"/>
      <c r="AT105" s="25"/>
      <c r="AU105" s="25"/>
      <c r="AV105" s="25"/>
      <c r="AW105" s="25"/>
      <c r="AX105" s="25"/>
    </row>
    <row r="106" spans="1:50" ht="19.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50" ht="19.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50" ht="19.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50" ht="19.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50" ht="19.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50" ht="19.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50" ht="19.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19.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19.5" customHeight="1" x14ac:dyDescent="0.25">
      <c r="M114" s="101" t="s">
        <v>262</v>
      </c>
      <c r="N114" s="103">
        <f>AS26</f>
        <v>4.8</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19.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19.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19.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19.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19.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19.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19.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19.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19.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19.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19.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19.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19.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19.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19.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19.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19.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19.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19.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19.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19.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19.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19.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19.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19.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19.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19.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19.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19.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19.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19.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19.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19.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19.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19.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19.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19.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19.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19.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19.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19.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19.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19.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19.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19.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19.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19.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19.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19.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19.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19.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19.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19.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19.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19.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19.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19.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19.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19.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19.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19.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19.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19.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19.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19.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0">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V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phoneticPr fontId="8" type="noConversion"/>
  <dataValidations count="5">
    <dataValidation type="list" allowBlank="1" showInputMessage="1" showErrorMessage="1" sqref="O42:Q42">
      <formula1>$AK$29:$AK$38</formula1>
    </dataValidation>
    <dataValidation type="list" allowBlank="1" showInputMessage="1" showErrorMessage="1" sqref="Q82:Q84 Q90:Q92 Q74:Q76 Q47 Q50">
      <formula1>$AI$29:$AI$40</formula1>
    </dataValidation>
    <dataValidation type="list" allowBlank="1" showInputMessage="1" showErrorMessage="1" sqref="P39:Q39">
      <formula1>$AE$31:$AE$34</formula1>
    </dataValidation>
    <dataValidation type="list" allowBlank="1" showInputMessage="1" showErrorMessage="1" sqref="O68 O176 N159 O174">
      <formula1>$AG$29:$AG$30</formula1>
    </dataValidation>
    <dataValidation type="list" allowBlank="1" showInputMessage="1" showErrorMessage="1" sqref="O105:Q109">
      <formula1>$V$170:$V$179</formula1>
    </dataValidation>
  </dataValidations>
  <hyperlinks>
    <hyperlink ref="M4" location="Apresentação!A1" display="Voltar"/>
    <hyperlink ref="M4:N4" location="Painel!A1" display="Voltar"/>
  </hyperlinks>
  <pageMargins left="0.19685039370078741" right="0.11811023622047245" top="0.59055118110236227" bottom="0.39370078740157483" header="0.19685039370078741" footer="0"/>
  <pageSetup paperSize="9" scale="6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corretivos'!$C$87:$C$99</xm:f>
          </x14:formula1>
          <xm:sqref>O47:P47</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corretivos'!$C$3:$C$62</xm:f>
          </x14:formula1>
          <xm:sqref>O74:P76 O82:P84 O90:P92</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179"/>
  <sheetViews>
    <sheetView zoomScale="55" zoomScaleNormal="55" workbookViewId="0">
      <selection activeCell="BJ15" sqref="BJ15"/>
    </sheetView>
  </sheetViews>
  <sheetFormatPr defaultRowHeight="20.25" customHeight="1" outlineLevelCol="1" x14ac:dyDescent="0.25"/>
  <cols>
    <col min="1" max="1" width="2.42578125" style="11" customWidth="1"/>
    <col min="2" max="2" width="37.28515625" style="11" customWidth="1"/>
    <col min="3" max="3" width="29.5703125" style="11" customWidth="1"/>
    <col min="4" max="9" width="16.7109375" style="11" customWidth="1"/>
    <col min="10" max="10" width="5.85546875" style="46" customWidth="1"/>
    <col min="11" max="12" width="9.140625" style="11" hidden="1" customWidth="1"/>
    <col min="13" max="13" width="36.7109375" style="11" bestFit="1" customWidth="1"/>
    <col min="14" max="14" width="11.42578125" style="11" customWidth="1"/>
    <col min="15" max="15" width="29.85546875" style="11" customWidth="1"/>
    <col min="16" max="16" width="18.7109375" style="11" customWidth="1"/>
    <col min="17" max="17" width="49.28515625" style="11" customWidth="1"/>
    <col min="18" max="18" width="8.7109375" style="11" customWidth="1"/>
    <col min="19" max="19" width="11.42578125" style="11" bestFit="1" customWidth="1"/>
    <col min="20" max="20" width="30.140625" style="11" hidden="1" customWidth="1" outlineLevel="1"/>
    <col min="21" max="21" width="43.42578125" style="11" hidden="1" customWidth="1" outlineLevel="1"/>
    <col min="22" max="22" width="65" style="11" hidden="1" customWidth="1" outlineLevel="1"/>
    <col min="23" max="23" width="21.28515625" style="11" hidden="1" customWidth="1" outlineLevel="1"/>
    <col min="24" max="24" width="20.28515625" style="11" hidden="1" customWidth="1" outlineLevel="1"/>
    <col min="25" max="25" width="22.42578125" style="11" hidden="1" customWidth="1" outlineLevel="1"/>
    <col min="26" max="26" width="18.85546875" style="11" hidden="1" customWidth="1" outlineLevel="1"/>
    <col min="27" max="27" width="16.85546875" style="11" hidden="1" customWidth="1" outlineLevel="1"/>
    <col min="28" max="28" width="21.5703125" style="11" hidden="1" customWidth="1" outlineLevel="1"/>
    <col min="29" max="29" width="16.85546875" style="11" hidden="1" customWidth="1" outlineLevel="1"/>
    <col min="30" max="30" width="24.42578125" style="11" hidden="1" customWidth="1" outlineLevel="1"/>
    <col min="31" max="31" width="25.42578125" style="11" hidden="1" customWidth="1" outlineLevel="1"/>
    <col min="32" max="32" width="25.5703125" style="11" hidden="1" customWidth="1" outlineLevel="1"/>
    <col min="33" max="33" width="21.42578125" style="11" hidden="1" customWidth="1" outlineLevel="1"/>
    <col min="34" max="34" width="21.5703125" style="11" hidden="1" customWidth="1" outlineLevel="1"/>
    <col min="35" max="36" width="14.28515625" style="11" hidden="1" customWidth="1" outlineLevel="1"/>
    <col min="37" max="37" width="31.42578125" style="11" hidden="1" customWidth="1" outlineLevel="1"/>
    <col min="38" max="38" width="11.42578125" style="11" hidden="1" customWidth="1" outlineLevel="1"/>
    <col min="39" max="39" width="34.28515625" style="11" hidden="1" customWidth="1" outlineLevel="1"/>
    <col min="40" max="40" width="20.85546875" style="11" hidden="1" customWidth="1" outlineLevel="1"/>
    <col min="41" max="41" width="21.28515625" style="11" hidden="1" customWidth="1" outlineLevel="1"/>
    <col min="42" max="42" width="65" style="11" hidden="1" customWidth="1" outlineLevel="1"/>
    <col min="43" max="43" width="16.7109375" style="11" hidden="1" customWidth="1" outlineLevel="1"/>
    <col min="44" max="44" width="45.85546875" style="11" hidden="1" customWidth="1" outlineLevel="1"/>
    <col min="45" max="45" width="16.7109375" style="11" hidden="1" customWidth="1" outlineLevel="1"/>
    <col min="46" max="46" width="29.28515625" style="11" hidden="1" customWidth="1" outlineLevel="1"/>
    <col min="47" max="48" width="23.85546875" style="11" hidden="1" customWidth="1" outlineLevel="1"/>
    <col min="49" max="49" width="23.5703125" style="11" hidden="1" customWidth="1" outlineLevel="1"/>
    <col min="50" max="50" width="22.42578125" style="11" hidden="1" customWidth="1" outlineLevel="1"/>
    <col min="51" max="51" width="28.5703125" style="11" hidden="1" customWidth="1" outlineLevel="1"/>
    <col min="52" max="52" width="23" style="11" hidden="1" customWidth="1" outlineLevel="1"/>
    <col min="53" max="54" width="16.7109375" style="11" hidden="1" customWidth="1" outlineLevel="1"/>
    <col min="55" max="55" width="9.140625" style="11" hidden="1" customWidth="1" outlineLevel="1"/>
    <col min="56" max="56" width="9.140625" style="11" collapsed="1"/>
    <col min="57" max="16384" width="9.140625" style="11"/>
  </cols>
  <sheetData>
    <row r="1" spans="1:54" ht="20.25" customHeight="1" thickBot="1" x14ac:dyDescent="0.3">
      <c r="A1" s="23"/>
    </row>
    <row r="2" spans="1:54" ht="20.25" customHeight="1" thickBot="1" x14ac:dyDescent="0.3">
      <c r="M2" s="478" t="s">
        <v>271</v>
      </c>
      <c r="N2" s="479"/>
      <c r="O2" s="479"/>
      <c r="P2" s="479"/>
      <c r="Q2" s="479"/>
      <c r="R2" s="480"/>
      <c r="AO2" s="47"/>
      <c r="AP2" s="47"/>
      <c r="AQ2" s="47"/>
      <c r="AR2" s="47"/>
      <c r="AS2" s="47"/>
      <c r="AT2" s="47"/>
      <c r="AU2" s="47"/>
      <c r="AV2" s="47"/>
      <c r="AW2" s="47"/>
      <c r="AX2" s="47"/>
      <c r="AY2" s="47"/>
      <c r="AZ2" s="47"/>
      <c r="BA2" s="47"/>
      <c r="BB2" s="47"/>
    </row>
    <row r="3" spans="1:54" ht="20.25" customHeight="1" x14ac:dyDescent="0.25">
      <c r="M3" s="48"/>
      <c r="N3" s="49"/>
      <c r="O3" s="49"/>
      <c r="P3" s="49"/>
      <c r="Q3" s="49"/>
      <c r="R3" s="50"/>
      <c r="U3" s="519" t="s">
        <v>56</v>
      </c>
      <c r="V3" s="519"/>
      <c r="W3" s="519"/>
      <c r="X3" s="519"/>
      <c r="Y3" s="457" t="s">
        <v>59</v>
      </c>
      <c r="Z3" s="457"/>
      <c r="AA3" s="457"/>
      <c r="AB3" s="457"/>
      <c r="AC3" s="457"/>
      <c r="AD3" s="457"/>
      <c r="AO3" s="47"/>
      <c r="AP3" s="47"/>
      <c r="AQ3" s="47"/>
      <c r="AR3" s="47"/>
      <c r="AS3" s="47"/>
      <c r="AT3" s="47"/>
      <c r="AU3" s="47"/>
      <c r="AV3" s="47"/>
      <c r="AW3" s="47"/>
      <c r="AX3" s="47"/>
      <c r="AY3" s="47"/>
      <c r="AZ3" s="47"/>
      <c r="BA3" s="47"/>
      <c r="BB3" s="47"/>
    </row>
    <row r="4" spans="1:54" ht="20.25" customHeight="1" x14ac:dyDescent="0.25">
      <c r="M4" s="520" t="s">
        <v>311</v>
      </c>
      <c r="N4" s="346"/>
      <c r="O4" s="489" t="s">
        <v>196</v>
      </c>
      <c r="P4" s="489"/>
      <c r="Q4" s="52" t="s">
        <v>0</v>
      </c>
      <c r="R4" s="53"/>
      <c r="U4" s="519"/>
      <c r="V4" s="519"/>
      <c r="W4" s="519"/>
      <c r="X4" s="519"/>
      <c r="Y4" s="457"/>
      <c r="Z4" s="457"/>
      <c r="AA4" s="457"/>
      <c r="AB4" s="457"/>
      <c r="AC4" s="457"/>
      <c r="AD4" s="457"/>
      <c r="AO4" s="47"/>
      <c r="AP4" s="447" t="s">
        <v>258</v>
      </c>
      <c r="AQ4" s="447" t="s">
        <v>259</v>
      </c>
      <c r="AR4" s="447"/>
      <c r="AS4" s="54" t="s">
        <v>33</v>
      </c>
      <c r="AT4" s="54" t="s">
        <v>223</v>
      </c>
      <c r="AU4" s="54" t="s">
        <v>224</v>
      </c>
      <c r="AV4" s="508" t="s">
        <v>260</v>
      </c>
      <c r="AW4" s="47"/>
      <c r="AX4" s="47"/>
      <c r="AY4" s="47"/>
      <c r="AZ4" s="47"/>
      <c r="BA4" s="47"/>
      <c r="BB4" s="47"/>
    </row>
    <row r="5" spans="1:54" ht="20.25" customHeight="1" x14ac:dyDescent="0.25">
      <c r="M5" s="364" t="s">
        <v>210</v>
      </c>
      <c r="N5" s="453"/>
      <c r="O5" s="51" t="s">
        <v>1</v>
      </c>
      <c r="P5" s="32">
        <v>5.5</v>
      </c>
      <c r="Q5" s="51" t="s">
        <v>2</v>
      </c>
      <c r="R5" s="53"/>
      <c r="U5" s="519"/>
      <c r="V5" s="519"/>
      <c r="W5" s="519"/>
      <c r="X5" s="519"/>
      <c r="Y5" s="457"/>
      <c r="Z5" s="457"/>
      <c r="AA5" s="457"/>
      <c r="AB5" s="457"/>
      <c r="AC5" s="457"/>
      <c r="AD5" s="457"/>
      <c r="AO5" s="47"/>
      <c r="AP5" s="447"/>
      <c r="AQ5" s="447"/>
      <c r="AR5" s="447"/>
      <c r="AS5" s="55">
        <f>$AC$30</f>
        <v>100</v>
      </c>
      <c r="AT5" s="55">
        <f>$AC$31</f>
        <v>0</v>
      </c>
      <c r="AU5" s="55">
        <f>$AC$32</f>
        <v>100</v>
      </c>
      <c r="AV5" s="509"/>
      <c r="AW5" s="47"/>
      <c r="AX5" s="47"/>
      <c r="AY5" s="47"/>
      <c r="AZ5" s="47"/>
      <c r="BA5" s="47"/>
      <c r="BB5" s="47"/>
    </row>
    <row r="6" spans="1:54" ht="20.25" customHeight="1" x14ac:dyDescent="0.25">
      <c r="M6" s="364"/>
      <c r="N6" s="453"/>
      <c r="O6" s="51" t="s">
        <v>3</v>
      </c>
      <c r="P6" s="56">
        <v>1</v>
      </c>
      <c r="Q6" s="51" t="s">
        <v>55</v>
      </c>
      <c r="R6" s="53"/>
      <c r="U6" s="51" t="s">
        <v>29</v>
      </c>
      <c r="V6" s="457" t="s">
        <v>51</v>
      </c>
      <c r="W6" s="457"/>
      <c r="X6" s="457"/>
      <c r="Y6" s="457"/>
      <c r="Z6" s="457"/>
      <c r="AA6" s="457"/>
      <c r="AB6" s="457"/>
      <c r="AC6" s="457"/>
      <c r="AD6" s="457"/>
      <c r="AO6" s="47"/>
      <c r="AP6" s="54">
        <v>1</v>
      </c>
      <c r="AQ6" s="517" t="str">
        <f>O74</f>
        <v>Termofosfato YOORIN</v>
      </c>
      <c r="AR6" s="518"/>
      <c r="AS6" s="55">
        <f>IFERROR((VLOOKUP(AQ6,$V$100:$AB$179,3,0)*0.01)*AV6,0)</f>
        <v>0</v>
      </c>
      <c r="AT6" s="55">
        <f>IFERROR((VLOOKUP(AQ6,$V$100:$AB$179,5,0)*0.01)*AV6,0)</f>
        <v>0</v>
      </c>
      <c r="AU6" s="55">
        <f>IFERROR((VLOOKUP(AQ6,$V$100:$AB$179,7,0)*0.01)*AV6,0)</f>
        <v>0</v>
      </c>
      <c r="AV6" s="55">
        <f>IFERROR($AT$5*Q74/(VLOOKUP(AQ6,$V$100:$AB$179,5,0)/100),0)</f>
        <v>0</v>
      </c>
      <c r="AW6" s="47"/>
      <c r="AX6" s="47"/>
      <c r="AY6" s="47"/>
      <c r="AZ6" s="47"/>
      <c r="BA6" s="47"/>
      <c r="BB6" s="47"/>
    </row>
    <row r="7" spans="1:54" ht="20.25" customHeight="1" x14ac:dyDescent="0.25">
      <c r="M7" s="364"/>
      <c r="N7" s="453"/>
      <c r="O7" s="51" t="s">
        <v>4</v>
      </c>
      <c r="P7" s="32">
        <v>1</v>
      </c>
      <c r="Q7" s="51" t="s">
        <v>55</v>
      </c>
      <c r="R7" s="53"/>
      <c r="U7" s="51" t="s">
        <v>23</v>
      </c>
      <c r="V7" s="51" t="s">
        <v>25</v>
      </c>
      <c r="W7" s="51" t="s">
        <v>26</v>
      </c>
      <c r="X7" s="51" t="s">
        <v>31</v>
      </c>
      <c r="Y7" s="51" t="s">
        <v>53</v>
      </c>
      <c r="Z7" s="457" t="s">
        <v>54</v>
      </c>
      <c r="AA7" s="457"/>
      <c r="AB7" s="457"/>
      <c r="AC7" s="51" t="s">
        <v>57</v>
      </c>
      <c r="AD7" s="51" t="s">
        <v>58</v>
      </c>
      <c r="AF7" s="511" t="s">
        <v>247</v>
      </c>
      <c r="AG7" s="511"/>
      <c r="AH7" s="511"/>
      <c r="AI7" s="511"/>
      <c r="AJ7" s="511"/>
      <c r="AK7" s="511"/>
      <c r="AL7" s="511"/>
      <c r="AM7" s="511"/>
      <c r="AO7" s="47"/>
      <c r="AP7" s="54">
        <v>2</v>
      </c>
      <c r="AQ7" s="517" t="str">
        <f>O75</f>
        <v>Superfosfato simples</v>
      </c>
      <c r="AR7" s="518"/>
      <c r="AS7" s="55">
        <f>IFERROR((VLOOKUP(AQ7,$V$100:$AB$179,3,0)*0.01)*AV7,0)</f>
        <v>0</v>
      </c>
      <c r="AT7" s="55">
        <f>IFERROR((VLOOKUP(AQ7,$V$100:$AB$179,5,0)*0.01)*AV7,0)</f>
        <v>0</v>
      </c>
      <c r="AU7" s="55">
        <f>IFERROR((VLOOKUP(AQ7,$V$100:$AB$179,7,0)*0.01)*AV7,0)</f>
        <v>0</v>
      </c>
      <c r="AV7" s="55">
        <f>IFERROR($AT$5*Q75/(VLOOKUP(AQ7,$V$100:$AB$179,5,0)/100),0)</f>
        <v>0</v>
      </c>
      <c r="AW7" s="47"/>
      <c r="AX7" s="47"/>
      <c r="AY7" s="47"/>
      <c r="AZ7" s="47"/>
      <c r="BA7" s="47"/>
      <c r="BB7" s="47"/>
    </row>
    <row r="8" spans="1:54" ht="20.25" customHeight="1" thickBot="1" x14ac:dyDescent="0.3">
      <c r="M8" s="364"/>
      <c r="N8" s="453"/>
      <c r="O8" s="51" t="s">
        <v>5</v>
      </c>
      <c r="P8" s="56">
        <v>0.05</v>
      </c>
      <c r="Q8" s="57" t="s">
        <v>55</v>
      </c>
      <c r="R8" s="53"/>
      <c r="U8" s="51" t="s">
        <v>37</v>
      </c>
      <c r="V8" s="51" t="s">
        <v>39</v>
      </c>
      <c r="W8" s="51" t="s">
        <v>30</v>
      </c>
      <c r="X8" s="51" t="s">
        <v>43</v>
      </c>
      <c r="Y8" s="51" t="str">
        <f>IF($P$21&lt;=15.99,"correto","erro")</f>
        <v>erro</v>
      </c>
      <c r="Z8" s="51" t="str">
        <f>IF($P$13&lt;=12,"baixo","erro")</f>
        <v>baixo</v>
      </c>
      <c r="AA8" s="51" t="str">
        <f>IF(AND($P$13&gt;=12.01,$P$13&lt;=18),"medio","erro")</f>
        <v>erro</v>
      </c>
      <c r="AB8" s="51" t="str">
        <f>IF($P$13&gt;18,"adequado","erro")</f>
        <v>erro</v>
      </c>
      <c r="AC8" s="51" t="str">
        <f>IF(Z8="baixo","baixo",IF(AA8="medio","medio",IF(AB8="adequado","adequado",0)))</f>
        <v>baixo</v>
      </c>
      <c r="AD8" s="457" t="str">
        <f>VLOOKUP("correto",Y8:AC11,5,0)</f>
        <v>baixo</v>
      </c>
      <c r="AF8" s="51" t="s">
        <v>250</v>
      </c>
      <c r="AG8" s="511" t="s">
        <v>248</v>
      </c>
      <c r="AH8" s="511"/>
      <c r="AI8" s="457" t="s">
        <v>249</v>
      </c>
      <c r="AJ8" s="457"/>
      <c r="AK8" s="51" t="s">
        <v>58</v>
      </c>
      <c r="AL8" s="51" t="s">
        <v>263</v>
      </c>
      <c r="AM8" s="51" t="s">
        <v>266</v>
      </c>
      <c r="AO8" s="47"/>
      <c r="AP8" s="54">
        <v>3</v>
      </c>
      <c r="AQ8" s="517">
        <f>O76</f>
        <v>0</v>
      </c>
      <c r="AR8" s="518"/>
      <c r="AS8" s="55">
        <f>IFERROR((VLOOKUP(AQ8,$V$100:$AB$179,3,0)*0.01)*AV8,0)</f>
        <v>0</v>
      </c>
      <c r="AT8" s="55">
        <f>IFERROR((VLOOKUP(AQ8,$V$100:$AB$179,5,0)*0.01)*AV8,0)</f>
        <v>0</v>
      </c>
      <c r="AU8" s="55">
        <f>IFERROR((VLOOKUP(AQ8,$V$100:$AB$179,7,0)*0.01)*AV8,0)</f>
        <v>0</v>
      </c>
      <c r="AV8" s="55">
        <f>IFERROR($AT$5*Q76/(VLOOKUP(AQ8,$V$100:$AB$179,5,0)/100),0)</f>
        <v>0</v>
      </c>
      <c r="AW8" s="47"/>
      <c r="AX8" s="47"/>
      <c r="AY8" s="47"/>
      <c r="AZ8" s="47"/>
      <c r="BA8" s="47"/>
      <c r="BB8" s="47"/>
    </row>
    <row r="9" spans="1:54" ht="20.25" customHeight="1" thickBot="1" x14ac:dyDescent="0.3">
      <c r="A9" s="18"/>
      <c r="B9" s="348" t="s">
        <v>119</v>
      </c>
      <c r="C9" s="349"/>
      <c r="D9" s="349"/>
      <c r="E9" s="349"/>
      <c r="F9" s="349"/>
      <c r="G9" s="349"/>
      <c r="H9" s="349"/>
      <c r="I9" s="350"/>
      <c r="M9" s="364"/>
      <c r="N9" s="453"/>
      <c r="O9" s="51" t="s">
        <v>6</v>
      </c>
      <c r="P9" s="32">
        <v>0.44</v>
      </c>
      <c r="Q9" s="51" t="s">
        <v>55</v>
      </c>
      <c r="R9" s="53"/>
      <c r="U9" s="51" t="s">
        <v>27</v>
      </c>
      <c r="V9" s="51" t="s">
        <v>40</v>
      </c>
      <c r="W9" s="51" t="s">
        <v>44</v>
      </c>
      <c r="X9" s="51" t="s">
        <v>47</v>
      </c>
      <c r="Y9" s="51" t="str">
        <f>IF(AND($P$21&gt;15.99,P21&lt;34.99),"correto","erro")</f>
        <v>erro</v>
      </c>
      <c r="Z9" s="51" t="str">
        <f>IF($P$13&lt;=10,"baixo","erro")</f>
        <v>baixo</v>
      </c>
      <c r="AA9" s="51" t="str">
        <f>IF(AND($P$13&gt;=10.01,$P$13&lt;=15),"medio","erro")</f>
        <v>erro</v>
      </c>
      <c r="AB9" s="51" t="str">
        <f>IF($P$13&gt;15,"adequado","erro")</f>
        <v>erro</v>
      </c>
      <c r="AC9" s="51" t="str">
        <f>IF(Z9="baixo","baixo",IF(AA9="medio","medio",IF(AB9="adequado","adequado",0)))</f>
        <v>baixo</v>
      </c>
      <c r="AD9" s="457"/>
      <c r="AF9" s="511" t="s">
        <v>246</v>
      </c>
      <c r="AG9" s="58" t="s">
        <v>25</v>
      </c>
      <c r="AH9" s="58" t="s">
        <v>242</v>
      </c>
      <c r="AI9" s="51" t="str">
        <f>IF($P$14&lt;=0.2,"baixo","erro")</f>
        <v>baixo</v>
      </c>
      <c r="AJ9" s="457" t="str">
        <f>IF($AI$9="baixo","baixo",IF($AI$10="medio","medio",IF($AI$11="adequado","adequado",0)))</f>
        <v>baixo</v>
      </c>
      <c r="AK9" s="457">
        <f>IF(AJ9="Baixo",AL9,0)</f>
        <v>0.9</v>
      </c>
      <c r="AL9" s="457">
        <f>(AM9*1000)/$E$18</f>
        <v>0.9</v>
      </c>
      <c r="AM9" s="456">
        <v>2</v>
      </c>
      <c r="AO9" s="47"/>
      <c r="AP9" s="47"/>
      <c r="AQ9" s="47"/>
      <c r="AR9" s="47"/>
      <c r="AS9" s="59">
        <f>AS5-(SUM(AS6:AS8))</f>
        <v>100</v>
      </c>
      <c r="AT9" s="59">
        <f>AT5-(SUM(AT6:AT8))</f>
        <v>0</v>
      </c>
      <c r="AU9" s="59">
        <f>AU5-(SUM(AU6:AU8))</f>
        <v>100</v>
      </c>
      <c r="AV9" s="59"/>
      <c r="AW9" s="47"/>
      <c r="AX9" s="47"/>
      <c r="AY9" s="47"/>
      <c r="AZ9" s="47"/>
      <c r="BA9" s="47"/>
      <c r="BB9" s="47"/>
    </row>
    <row r="10" spans="1:54" ht="20.25" customHeight="1" x14ac:dyDescent="0.25">
      <c r="M10" s="364"/>
      <c r="N10" s="453"/>
      <c r="O10" s="51" t="s">
        <v>7</v>
      </c>
      <c r="P10" s="56">
        <v>0.1</v>
      </c>
      <c r="Q10" s="51" t="s">
        <v>55</v>
      </c>
      <c r="R10" s="53"/>
      <c r="U10" s="51" t="s">
        <v>28</v>
      </c>
      <c r="V10" s="51" t="s">
        <v>41</v>
      </c>
      <c r="W10" s="51" t="s">
        <v>45</v>
      </c>
      <c r="X10" s="51" t="s">
        <v>48</v>
      </c>
      <c r="Y10" s="51" t="str">
        <f>IF(AND($P$21&gt;34.99,P21&lt;59.99),"correto","erro")</f>
        <v>correto</v>
      </c>
      <c r="Z10" s="51" t="str">
        <f>IF($P$13&lt;=5,"baixo","erro")</f>
        <v>baixo</v>
      </c>
      <c r="AA10" s="51" t="str">
        <f>IF(AND($P$13&gt;=5.01,$P$13&lt;=8),"medio","erro")</f>
        <v>erro</v>
      </c>
      <c r="AB10" s="51" t="str">
        <f>IF($P$13&gt;8,"adequado","erro")</f>
        <v>erro</v>
      </c>
      <c r="AC10" s="51" t="str">
        <f>IF(Z10="baixo","baixo",IF(AA10="medio","medio",IF(AB10="adequado","adequado",0)))</f>
        <v>baixo</v>
      </c>
      <c r="AD10" s="457"/>
      <c r="AF10" s="511"/>
      <c r="AG10" s="58" t="s">
        <v>26</v>
      </c>
      <c r="AH10" s="58" t="s">
        <v>238</v>
      </c>
      <c r="AI10" s="51" t="str">
        <f>IF(AND($P$14&gt;=0.201,$P$14&lt;=0.5),"medio","erro")</f>
        <v>erro</v>
      </c>
      <c r="AJ10" s="457"/>
      <c r="AK10" s="457"/>
      <c r="AL10" s="457"/>
      <c r="AM10" s="456"/>
      <c r="AO10" s="47"/>
      <c r="AP10" s="447" t="s">
        <v>258</v>
      </c>
      <c r="AQ10" s="447" t="s">
        <v>259</v>
      </c>
      <c r="AR10" s="447"/>
      <c r="AS10" s="54" t="s">
        <v>33</v>
      </c>
      <c r="AT10" s="54" t="s">
        <v>223</v>
      </c>
      <c r="AU10" s="54" t="s">
        <v>224</v>
      </c>
      <c r="AV10" s="508" t="s">
        <v>260</v>
      </c>
      <c r="AW10" s="47" t="s">
        <v>310</v>
      </c>
      <c r="AX10" s="47"/>
      <c r="AY10" s="47"/>
      <c r="AZ10" s="47"/>
      <c r="BA10" s="47"/>
      <c r="BB10" s="47"/>
    </row>
    <row r="11" spans="1:54" ht="20.25" customHeight="1" x14ac:dyDescent="0.25">
      <c r="B11" s="51" t="s">
        <v>120</v>
      </c>
      <c r="C11" s="353"/>
      <c r="D11" s="353"/>
      <c r="E11" s="353"/>
      <c r="F11" s="353"/>
      <c r="G11" s="353"/>
      <c r="H11" s="353"/>
      <c r="I11" s="354"/>
      <c r="M11" s="364"/>
      <c r="N11" s="453"/>
      <c r="O11" s="51" t="s">
        <v>8</v>
      </c>
      <c r="P11" s="32">
        <v>2.7</v>
      </c>
      <c r="Q11" s="51" t="s">
        <v>55</v>
      </c>
      <c r="R11" s="53"/>
      <c r="U11" s="51" t="s">
        <v>38</v>
      </c>
      <c r="V11" s="51" t="s">
        <v>42</v>
      </c>
      <c r="W11" s="51" t="s">
        <v>46</v>
      </c>
      <c r="X11" s="51" t="s">
        <v>49</v>
      </c>
      <c r="Y11" s="51" t="str">
        <f>IF($P$21&gt;59.99,"correto","erro")</f>
        <v>erro</v>
      </c>
      <c r="Z11" s="51" t="str">
        <f>IF($P$13&lt;=3,"baixo","erro")</f>
        <v>erro</v>
      </c>
      <c r="AA11" s="51" t="str">
        <f>IF(AND($P$13&gt;=3.01,$P$13&lt;=6),"medio","erro")</f>
        <v>medio</v>
      </c>
      <c r="AB11" s="51" t="str">
        <f>IF($P$13&gt;6,"adequado","erro")</f>
        <v>erro</v>
      </c>
      <c r="AC11" s="51" t="str">
        <f>IF(Z11="baixo","baixo",IF(AA11="medio","medio",IF(AB11="adequado","adequado",0)))</f>
        <v>medio</v>
      </c>
      <c r="AD11" s="457"/>
      <c r="AF11" s="511"/>
      <c r="AG11" s="58" t="s">
        <v>234</v>
      </c>
      <c r="AH11" s="58" t="s">
        <v>233</v>
      </c>
      <c r="AI11" s="51" t="str">
        <f>IF($P$14&gt;0.5,"adequado","erro")</f>
        <v>erro</v>
      </c>
      <c r="AJ11" s="457"/>
      <c r="AK11" s="457"/>
      <c r="AL11" s="457"/>
      <c r="AM11" s="456"/>
      <c r="AO11" s="47"/>
      <c r="AP11" s="447"/>
      <c r="AQ11" s="447"/>
      <c r="AR11" s="447"/>
      <c r="AS11" s="55">
        <f>AS9</f>
        <v>100</v>
      </c>
      <c r="AT11" s="55">
        <f t="shared" ref="AT11:AU11" si="0">AT9</f>
        <v>0</v>
      </c>
      <c r="AU11" s="55">
        <f t="shared" si="0"/>
        <v>100</v>
      </c>
      <c r="AV11" s="509"/>
      <c r="AW11" s="47"/>
      <c r="AX11" s="47"/>
      <c r="AY11" s="47"/>
      <c r="AZ11" s="47"/>
      <c r="BA11" s="47"/>
      <c r="BB11" s="47"/>
    </row>
    <row r="12" spans="1:54" ht="20.25" customHeight="1" x14ac:dyDescent="0.25">
      <c r="B12" s="62" t="s">
        <v>121</v>
      </c>
      <c r="C12" s="352"/>
      <c r="D12" s="353"/>
      <c r="E12" s="353"/>
      <c r="F12" s="353"/>
      <c r="G12" s="353"/>
      <c r="H12" s="353"/>
      <c r="I12" s="354"/>
      <c r="M12" s="364"/>
      <c r="N12" s="453"/>
      <c r="O12" s="51" t="s">
        <v>9</v>
      </c>
      <c r="P12" s="56">
        <v>27.7</v>
      </c>
      <c r="Q12" s="51" t="s">
        <v>10</v>
      </c>
      <c r="R12" s="53"/>
      <c r="AF12" s="511" t="s">
        <v>245</v>
      </c>
      <c r="AG12" s="58" t="s">
        <v>25</v>
      </c>
      <c r="AH12" s="58" t="s">
        <v>241</v>
      </c>
      <c r="AI12" s="51" t="str">
        <f>IF($P$16&lt;=0.4,"baixo","erro")</f>
        <v>erro</v>
      </c>
      <c r="AJ12" s="457" t="str">
        <f>IF($AI$12="baixo","baixo",IF($AI$13="medio","medio",IF($AI$14="adequado","adequado",0)))</f>
        <v>adequado</v>
      </c>
      <c r="AK12" s="457">
        <f>IF(AJ12="Baixo",AL12,0)</f>
        <v>0</v>
      </c>
      <c r="AL12" s="457">
        <f>(AM12*1000)/$E$18</f>
        <v>0.9</v>
      </c>
      <c r="AM12" s="456">
        <v>2</v>
      </c>
      <c r="AO12" s="47"/>
      <c r="AP12" s="54">
        <v>7</v>
      </c>
      <c r="AQ12" s="447" t="str">
        <f>O82</f>
        <v>Cloreto de potássio</v>
      </c>
      <c r="AR12" s="447"/>
      <c r="AS12" s="55">
        <f>IFERROR((VLOOKUP(AQ12,$V$100:$AB$179,3,0)*0.01)*AV12,0)</f>
        <v>0</v>
      </c>
      <c r="AT12" s="55">
        <f>IFERROR((VLOOKUP(AQ12,$V$100:$AB$179,5,0)*0.01)*AV12,0)</f>
        <v>0</v>
      </c>
      <c r="AU12" s="55">
        <f>IFERROR((VLOOKUP(AQ12,$V$100:$AB$179,7,0)*0.01)*AV12,0)</f>
        <v>50.000000000000007</v>
      </c>
      <c r="AV12" s="55">
        <f>IFERROR($AU$11*Q82/(VLOOKUP(AQ12,$V$100:$AB$179,7,0)/100),0)</f>
        <v>83.333333333333343</v>
      </c>
      <c r="AW12" s="47"/>
      <c r="AX12" s="47"/>
      <c r="AY12" s="47"/>
      <c r="AZ12" s="47"/>
      <c r="BA12" s="47"/>
      <c r="BB12" s="47"/>
    </row>
    <row r="13" spans="1:54" ht="20.25" customHeight="1" x14ac:dyDescent="0.25">
      <c r="B13" s="62" t="s">
        <v>122</v>
      </c>
      <c r="C13" s="352"/>
      <c r="D13" s="353"/>
      <c r="E13" s="353"/>
      <c r="F13" s="353"/>
      <c r="G13" s="353"/>
      <c r="H13" s="353"/>
      <c r="I13" s="354"/>
      <c r="M13" s="364"/>
      <c r="N13" s="453"/>
      <c r="O13" s="51" t="s">
        <v>11</v>
      </c>
      <c r="P13" s="32">
        <v>5</v>
      </c>
      <c r="Q13" s="51" t="s">
        <v>12</v>
      </c>
      <c r="R13" s="53"/>
      <c r="AF13" s="511"/>
      <c r="AG13" s="58" t="s">
        <v>26</v>
      </c>
      <c r="AH13" s="58" t="s">
        <v>237</v>
      </c>
      <c r="AI13" s="51" t="str">
        <f>IF(AND($P$16&gt;=0.401,$P$16&lt;=0.8),"medio","erro")</f>
        <v>erro</v>
      </c>
      <c r="AJ13" s="457"/>
      <c r="AK13" s="457"/>
      <c r="AL13" s="457"/>
      <c r="AM13" s="456"/>
      <c r="AO13" s="47"/>
      <c r="AP13" s="54">
        <v>8</v>
      </c>
      <c r="AQ13" s="447" t="str">
        <f>O83</f>
        <v>EkoSil</v>
      </c>
      <c r="AR13" s="447"/>
      <c r="AS13" s="55">
        <f>IFERROR((VLOOKUP(AQ13,$V$100:$AB$179,3,0)*0.01)*AV13,0)</f>
        <v>0</v>
      </c>
      <c r="AT13" s="55">
        <f>IFERROR((VLOOKUP(AQ13,$V$100:$AB$179,5,0)*0.01)*AV13,0)</f>
        <v>0</v>
      </c>
      <c r="AU13" s="55">
        <f>IFERROR((VLOOKUP(AQ13,$V$100:$AB$179,7,0)*0.01)*AV13,0)</f>
        <v>50</v>
      </c>
      <c r="AV13" s="55">
        <f>IFERROR($AU$11*Q83/(VLOOKUP(AQ13,$V$100:$AB$179,7,0)/100),0)</f>
        <v>625</v>
      </c>
      <c r="AW13" s="47"/>
      <c r="AX13" s="47"/>
      <c r="AY13" s="47"/>
      <c r="AZ13" s="47"/>
      <c r="BA13" s="47"/>
      <c r="BB13" s="47"/>
    </row>
    <row r="14" spans="1:54" ht="20.25" customHeight="1" x14ac:dyDescent="0.25">
      <c r="B14" s="62" t="s">
        <v>123</v>
      </c>
      <c r="C14" s="352"/>
      <c r="D14" s="353"/>
      <c r="E14" s="353"/>
      <c r="F14" s="353"/>
      <c r="G14" s="354"/>
      <c r="H14" s="21" t="s">
        <v>124</v>
      </c>
      <c r="I14" s="22">
        <f ca="1">TODAY()</f>
        <v>44057</v>
      </c>
      <c r="M14" s="364"/>
      <c r="N14" s="453"/>
      <c r="O14" s="51" t="s">
        <v>13</v>
      </c>
      <c r="P14" s="56">
        <v>0.04</v>
      </c>
      <c r="Q14" s="51" t="s">
        <v>12</v>
      </c>
      <c r="R14" s="53"/>
      <c r="AF14" s="511"/>
      <c r="AG14" s="58" t="s">
        <v>234</v>
      </c>
      <c r="AH14" s="58" t="s">
        <v>232</v>
      </c>
      <c r="AI14" s="51" t="str">
        <f>IF($P$16&gt;0.8,"adequado","erro")</f>
        <v>adequado</v>
      </c>
      <c r="AJ14" s="457"/>
      <c r="AK14" s="457"/>
      <c r="AL14" s="457"/>
      <c r="AM14" s="456"/>
      <c r="AO14" s="47"/>
      <c r="AP14" s="54">
        <v>9</v>
      </c>
      <c r="AQ14" s="447">
        <f>O84</f>
        <v>0</v>
      </c>
      <c r="AR14" s="447"/>
      <c r="AS14" s="55">
        <f>IFERROR((VLOOKUP(AQ14,$V$100:$AB$179,3,0)*0.01)*AV14,0)</f>
        <v>0</v>
      </c>
      <c r="AT14" s="55">
        <f>IFERROR((VLOOKUP(AQ14,$V$100:$AB$179,5,0)*0.01)*AV14,0)</f>
        <v>0</v>
      </c>
      <c r="AU14" s="55">
        <f>IFERROR((VLOOKUP(AQ14,$V$100:$AB$179,7,0)*0.01)*AV14,0)</f>
        <v>0</v>
      </c>
      <c r="AV14" s="55">
        <f>IFERROR($AU$11*Q84/(VLOOKUP(AQ14,$V$100:$AB$179,7,0)/100),0)</f>
        <v>0</v>
      </c>
      <c r="AW14" s="47"/>
      <c r="AX14" s="47"/>
      <c r="AY14" s="47"/>
      <c r="AZ14" s="47"/>
      <c r="BA14" s="47"/>
      <c r="BB14" s="47"/>
    </row>
    <row r="15" spans="1:54" ht="20.25" customHeight="1" thickBot="1" x14ac:dyDescent="0.3">
      <c r="M15" s="364"/>
      <c r="N15" s="453"/>
      <c r="O15" s="51" t="s">
        <v>14</v>
      </c>
      <c r="P15" s="32">
        <v>20</v>
      </c>
      <c r="Q15" s="51" t="s">
        <v>12</v>
      </c>
      <c r="R15" s="53"/>
      <c r="AF15" s="511" t="s">
        <v>244</v>
      </c>
      <c r="AG15" s="58" t="s">
        <v>25</v>
      </c>
      <c r="AH15" s="58" t="s">
        <v>240</v>
      </c>
      <c r="AI15" s="51" t="str">
        <f>IF($P$18&lt;=1.9,"baixo","erro")</f>
        <v>erro</v>
      </c>
      <c r="AJ15" s="457" t="str">
        <f>IF($AI$15="baixo","baixo",IF($AI$16="medio","medio",IF($AI$17="adequado","adequado",0)))</f>
        <v>adequado</v>
      </c>
      <c r="AK15" s="457">
        <f>IF(AJ15="Baixo",AL15,0)</f>
        <v>0</v>
      </c>
      <c r="AL15" s="457">
        <f>(AM15*1000)/$E$18</f>
        <v>2.7</v>
      </c>
      <c r="AM15" s="456">
        <v>6</v>
      </c>
      <c r="AO15" s="47"/>
      <c r="AP15" s="47"/>
      <c r="AQ15" s="47"/>
      <c r="AR15" s="47"/>
      <c r="AS15" s="59">
        <f>AS11-(SUM(AS12:AS14))</f>
        <v>100</v>
      </c>
      <c r="AT15" s="59">
        <f>AT11-(SUM(AT12:AT14))</f>
        <v>0</v>
      </c>
      <c r="AU15" s="59">
        <f>AU11-(SUM(AU12:AU14))</f>
        <v>0</v>
      </c>
      <c r="AV15" s="47"/>
      <c r="AW15" s="47"/>
      <c r="AX15" s="47"/>
      <c r="AY15" s="47"/>
      <c r="AZ15" s="47"/>
      <c r="BA15" s="47"/>
      <c r="BB15" s="47"/>
    </row>
    <row r="16" spans="1:54" ht="20.25" customHeight="1" thickBot="1" x14ac:dyDescent="0.3">
      <c r="B16" s="355" t="s">
        <v>309</v>
      </c>
      <c r="C16" s="356"/>
      <c r="D16" s="356"/>
      <c r="E16" s="356"/>
      <c r="F16" s="356"/>
      <c r="G16" s="356"/>
      <c r="H16" s="356"/>
      <c r="I16" s="357"/>
      <c r="M16" s="364"/>
      <c r="N16" s="453"/>
      <c r="O16" s="51" t="s">
        <v>15</v>
      </c>
      <c r="P16" s="56">
        <v>4</v>
      </c>
      <c r="Q16" s="51" t="s">
        <v>12</v>
      </c>
      <c r="R16" s="53"/>
      <c r="AF16" s="511"/>
      <c r="AG16" s="58" t="s">
        <v>26</v>
      </c>
      <c r="AH16" s="58" t="s">
        <v>236</v>
      </c>
      <c r="AI16" s="51" t="str">
        <f>IF(AND($P$18&gt;=1.901,$P$18&lt;=5),"medio","erro")</f>
        <v>erro</v>
      </c>
      <c r="AJ16" s="457"/>
      <c r="AK16" s="457"/>
      <c r="AL16" s="457"/>
      <c r="AM16" s="456"/>
      <c r="AO16" s="47"/>
      <c r="AP16" s="447" t="s">
        <v>258</v>
      </c>
      <c r="AQ16" s="447" t="s">
        <v>259</v>
      </c>
      <c r="AR16" s="447"/>
      <c r="AS16" s="54" t="s">
        <v>33</v>
      </c>
      <c r="AT16" s="54" t="s">
        <v>223</v>
      </c>
      <c r="AU16" s="54" t="s">
        <v>224</v>
      </c>
      <c r="AV16" s="508" t="s">
        <v>260</v>
      </c>
      <c r="AW16" s="47"/>
      <c r="AX16" s="47"/>
      <c r="AY16" s="47"/>
      <c r="AZ16" s="47"/>
      <c r="BA16" s="47"/>
      <c r="BB16" s="47"/>
    </row>
    <row r="17" spans="2:54" ht="20.25" customHeight="1" x14ac:dyDescent="0.25">
      <c r="M17" s="364"/>
      <c r="N17" s="453"/>
      <c r="O17" s="51" t="s">
        <v>16</v>
      </c>
      <c r="P17" s="32">
        <v>58.4</v>
      </c>
      <c r="Q17" s="51" t="s">
        <v>12</v>
      </c>
      <c r="R17" s="53"/>
      <c r="U17" s="519" t="s">
        <v>60</v>
      </c>
      <c r="V17" s="519"/>
      <c r="W17" s="519"/>
      <c r="X17" s="519"/>
      <c r="Y17" s="457" t="s">
        <v>59</v>
      </c>
      <c r="Z17" s="457"/>
      <c r="AA17" s="457"/>
      <c r="AB17" s="457"/>
      <c r="AC17" s="457"/>
      <c r="AD17" s="457"/>
      <c r="AF17" s="511"/>
      <c r="AG17" s="58" t="s">
        <v>234</v>
      </c>
      <c r="AH17" s="58" t="s">
        <v>231</v>
      </c>
      <c r="AI17" s="51" t="str">
        <f>IF($P$18&gt;5,"adequado","erro")</f>
        <v>adequado</v>
      </c>
      <c r="AJ17" s="457"/>
      <c r="AK17" s="457"/>
      <c r="AL17" s="457"/>
      <c r="AM17" s="456"/>
      <c r="AO17" s="47"/>
      <c r="AP17" s="447"/>
      <c r="AQ17" s="447"/>
      <c r="AR17" s="447"/>
      <c r="AS17" s="55">
        <f>AS15</f>
        <v>100</v>
      </c>
      <c r="AT17" s="55">
        <f t="shared" ref="AT17:AU17" si="1">AT15</f>
        <v>0</v>
      </c>
      <c r="AU17" s="55">
        <f t="shared" si="1"/>
        <v>0</v>
      </c>
      <c r="AV17" s="509"/>
      <c r="AW17" s="47"/>
      <c r="AX17" s="47"/>
      <c r="AY17" s="47"/>
      <c r="AZ17" s="47"/>
      <c r="BA17" s="47"/>
      <c r="BB17" s="47"/>
    </row>
    <row r="18" spans="2:54" ht="20.25" customHeight="1" x14ac:dyDescent="0.25">
      <c r="B18" s="457" t="s">
        <v>134</v>
      </c>
      <c r="C18" s="457"/>
      <c r="D18" s="457"/>
      <c r="E18" s="60">
        <f>IFERROR(IF(ISERR(P35),Q35,IF(ISERR(Q35),P35)),"-")</f>
        <v>2222.2222222222222</v>
      </c>
      <c r="F18" s="457" t="s">
        <v>125</v>
      </c>
      <c r="G18" s="457"/>
      <c r="H18" s="457"/>
      <c r="I18" s="51">
        <f>O34</f>
        <v>0</v>
      </c>
      <c r="M18" s="364"/>
      <c r="N18" s="453"/>
      <c r="O18" s="51" t="s">
        <v>17</v>
      </c>
      <c r="P18" s="56">
        <v>43.1</v>
      </c>
      <c r="Q18" s="51" t="s">
        <v>12</v>
      </c>
      <c r="R18" s="53"/>
      <c r="U18" s="519"/>
      <c r="V18" s="519"/>
      <c r="W18" s="519"/>
      <c r="X18" s="519"/>
      <c r="Y18" s="457"/>
      <c r="Z18" s="457"/>
      <c r="AA18" s="457"/>
      <c r="AB18" s="457"/>
      <c r="AC18" s="457"/>
      <c r="AD18" s="457"/>
      <c r="AF18" s="511" t="s">
        <v>243</v>
      </c>
      <c r="AG18" s="58" t="s">
        <v>25</v>
      </c>
      <c r="AH18" s="58" t="s">
        <v>239</v>
      </c>
      <c r="AI18" s="51" t="str">
        <f>IF($P$19&lt;=1,"baixo","erro")</f>
        <v>erro</v>
      </c>
      <c r="AJ18" s="457" t="str">
        <f>IF($AI$18="baixo","baixo",IF($AI$19="medio","medio",IF($AI$20="adequado","adequado",0)))</f>
        <v>adequado</v>
      </c>
      <c r="AK18" s="457">
        <f>IF(AJ18="Baixo",AL18,0)</f>
        <v>0</v>
      </c>
      <c r="AL18" s="457">
        <f>(AM18*1000)/$E$18</f>
        <v>2.7</v>
      </c>
      <c r="AM18" s="456">
        <v>6</v>
      </c>
      <c r="AO18" s="47"/>
      <c r="AP18" s="54">
        <v>13</v>
      </c>
      <c r="AQ18" s="447" t="str">
        <f>O90</f>
        <v>Nitrato de Amônio</v>
      </c>
      <c r="AR18" s="447"/>
      <c r="AS18" s="55">
        <f>IFERROR((VLOOKUP(AQ18,$V$100:$AB$179,3,0)*0.01)*AV18,0)</f>
        <v>100</v>
      </c>
      <c r="AT18" s="55">
        <f>IFERROR((VLOOKUP(AQ18,$V$100:$AB$179,5,0)*0.01)*AV18,0)</f>
        <v>0</v>
      </c>
      <c r="AU18" s="55">
        <f>IFERROR((VLOOKUP(AQ18,$V$100:$AB$179,7,0)*0.01)*AV18,0)</f>
        <v>0</v>
      </c>
      <c r="AV18" s="55">
        <f>IFERROR($AS$17*Q90/(VLOOKUP(AQ18,$V$100:$AB$179,3,0)/100),0)</f>
        <v>344.82758620689657</v>
      </c>
      <c r="AW18" s="47"/>
      <c r="AX18" s="47"/>
      <c r="AY18" s="47"/>
      <c r="AZ18" s="47"/>
      <c r="BA18" s="47"/>
      <c r="BB18" s="47"/>
    </row>
    <row r="19" spans="2:54" ht="20.25" customHeight="1" x14ac:dyDescent="0.25">
      <c r="M19" s="364"/>
      <c r="N19" s="453"/>
      <c r="O19" s="51" t="s">
        <v>18</v>
      </c>
      <c r="P19" s="32">
        <v>20.100000000000001</v>
      </c>
      <c r="Q19" s="51" t="s">
        <v>12</v>
      </c>
      <c r="R19" s="53"/>
      <c r="S19" s="61"/>
      <c r="U19" s="519"/>
      <c r="V19" s="519"/>
      <c r="W19" s="519"/>
      <c r="X19" s="519"/>
      <c r="Y19" s="457"/>
      <c r="Z19" s="457"/>
      <c r="AA19" s="457"/>
      <c r="AB19" s="457"/>
      <c r="AC19" s="457"/>
      <c r="AD19" s="457"/>
      <c r="AF19" s="511"/>
      <c r="AG19" s="58" t="s">
        <v>26</v>
      </c>
      <c r="AH19" s="58" t="s">
        <v>235</v>
      </c>
      <c r="AI19" s="51" t="str">
        <f>IF(AND($P$19&gt;=1.01,$P$19&lt;=1.6),"medio","erro")</f>
        <v>erro</v>
      </c>
      <c r="AJ19" s="457"/>
      <c r="AK19" s="457"/>
      <c r="AL19" s="457"/>
      <c r="AM19" s="456"/>
      <c r="AO19" s="47"/>
      <c r="AP19" s="54">
        <v>14</v>
      </c>
      <c r="AQ19" s="447">
        <f>O91</f>
        <v>0</v>
      </c>
      <c r="AR19" s="447"/>
      <c r="AS19" s="55">
        <f>IFERROR((VLOOKUP(AQ19,$V$100:$AB$179,3,0)*0.01)*AV19,0)</f>
        <v>0</v>
      </c>
      <c r="AT19" s="55">
        <f>IFERROR((VLOOKUP(AQ19,$V$100:$AB$179,5,0)*0.01)*AV19,0)</f>
        <v>0</v>
      </c>
      <c r="AU19" s="55">
        <f>IFERROR((VLOOKUP(AQ19,$V$100:$AB$179,7,0)*0.01)*AV19,0)</f>
        <v>0</v>
      </c>
      <c r="AV19" s="55">
        <f>IFERROR($AS$17*Q91/(VLOOKUP(AQ19,$V$100:$AB$179,3,0)/100),0)</f>
        <v>0</v>
      </c>
      <c r="AW19" s="47"/>
      <c r="AX19" s="47"/>
      <c r="AY19" s="47"/>
      <c r="AZ19" s="47"/>
      <c r="BA19" s="47"/>
      <c r="BB19" s="47"/>
    </row>
    <row r="20" spans="2:54" ht="20.25" customHeight="1" x14ac:dyDescent="0.25">
      <c r="B20" s="459" t="s">
        <v>183</v>
      </c>
      <c r="C20" s="512"/>
      <c r="D20" s="512"/>
      <c r="E20" s="460"/>
      <c r="F20" s="63" t="s">
        <v>126</v>
      </c>
      <c r="G20" s="63">
        <f>P24</f>
        <v>47.97687861271676</v>
      </c>
      <c r="H20" s="63" t="s">
        <v>52</v>
      </c>
      <c r="I20" s="60">
        <f>P21</f>
        <v>47.5</v>
      </c>
      <c r="M20" s="364"/>
      <c r="N20" s="453"/>
      <c r="O20" s="51" t="s">
        <v>19</v>
      </c>
      <c r="P20" s="56">
        <v>27.5</v>
      </c>
      <c r="Q20" s="57" t="s">
        <v>23</v>
      </c>
      <c r="R20" s="53"/>
      <c r="U20" s="51" t="s">
        <v>29</v>
      </c>
      <c r="V20" s="457" t="s">
        <v>74</v>
      </c>
      <c r="W20" s="457"/>
      <c r="X20" s="457"/>
      <c r="Y20" s="457"/>
      <c r="Z20" s="457"/>
      <c r="AA20" s="457"/>
      <c r="AB20" s="457"/>
      <c r="AC20" s="457"/>
      <c r="AD20" s="457"/>
      <c r="AF20" s="511"/>
      <c r="AG20" s="58" t="s">
        <v>234</v>
      </c>
      <c r="AH20" s="58" t="s">
        <v>230</v>
      </c>
      <c r="AI20" s="51" t="str">
        <f>IF($P$19&gt;1.6,"adequado","erro")</f>
        <v>adequado</v>
      </c>
      <c r="AJ20" s="457"/>
      <c r="AK20" s="457"/>
      <c r="AL20" s="457"/>
      <c r="AM20" s="456"/>
      <c r="AO20" s="47"/>
      <c r="AP20" s="54">
        <v>15</v>
      </c>
      <c r="AQ20" s="447">
        <f>O92</f>
        <v>0</v>
      </c>
      <c r="AR20" s="447"/>
      <c r="AS20" s="55">
        <f>IFERROR((VLOOKUP(AQ20,$V$100:$AB$179,3,0)*0.01)*AV20,0)</f>
        <v>0</v>
      </c>
      <c r="AT20" s="55">
        <f>IFERROR((VLOOKUP(AQ20,$V$100:$AB$179,5,0)*0.01)*AV20,0)</f>
        <v>0</v>
      </c>
      <c r="AU20" s="55">
        <f>IFERROR((VLOOKUP(AQ20,$V$100:$AB$179,7,0)*0.01)*AV20,0)</f>
        <v>0</v>
      </c>
      <c r="AV20" s="55">
        <f>IFERROR($AS$17*Q92/(VLOOKUP(AQ20,$V$100:$AB$179,3,0)/100),0)</f>
        <v>0</v>
      </c>
      <c r="AW20" s="47"/>
      <c r="AX20" s="47"/>
      <c r="AY20" s="47"/>
      <c r="AZ20" s="47"/>
      <c r="BA20" s="47"/>
      <c r="BB20" s="47"/>
    </row>
    <row r="21" spans="2:54" ht="20.25" customHeight="1" x14ac:dyDescent="0.25">
      <c r="B21" s="64" t="s">
        <v>1</v>
      </c>
      <c r="C21" s="65">
        <f>P5</f>
        <v>5.5</v>
      </c>
      <c r="D21" s="63" t="s">
        <v>127</v>
      </c>
      <c r="E21" s="63">
        <f>P9</f>
        <v>0.44</v>
      </c>
      <c r="F21" s="63" t="s">
        <v>128</v>
      </c>
      <c r="G21" s="63">
        <f>P23</f>
        <v>47.6</v>
      </c>
      <c r="H21" s="63" t="s">
        <v>85</v>
      </c>
      <c r="I21" s="63">
        <f>P18</f>
        <v>43.1</v>
      </c>
      <c r="M21" s="364"/>
      <c r="N21" s="453"/>
      <c r="O21" s="51" t="s">
        <v>52</v>
      </c>
      <c r="P21" s="32">
        <v>47.5</v>
      </c>
      <c r="Q21" s="57" t="s">
        <v>23</v>
      </c>
      <c r="R21" s="53"/>
      <c r="S21" s="61"/>
      <c r="U21" s="51" t="s">
        <v>23</v>
      </c>
      <c r="V21" s="51" t="s">
        <v>25</v>
      </c>
      <c r="W21" s="51" t="s">
        <v>26</v>
      </c>
      <c r="X21" s="51" t="s">
        <v>31</v>
      </c>
      <c r="Y21" s="51" t="s">
        <v>53</v>
      </c>
      <c r="Z21" s="457" t="s">
        <v>62</v>
      </c>
      <c r="AA21" s="457"/>
      <c r="AB21" s="457"/>
      <c r="AC21" s="51" t="s">
        <v>57</v>
      </c>
      <c r="AD21" s="51" t="s">
        <v>58</v>
      </c>
      <c r="AO21" s="47"/>
      <c r="AP21" s="47"/>
      <c r="AQ21" s="47"/>
      <c r="AR21" s="47"/>
      <c r="AS21" s="59">
        <f>AS17-(SUM(AS18:AS20))</f>
        <v>0</v>
      </c>
      <c r="AT21" s="59">
        <f t="shared" ref="AT21:AU21" si="2">AT17-(SUM(AT18:AT20))</f>
        <v>0</v>
      </c>
      <c r="AU21" s="59">
        <f t="shared" si="2"/>
        <v>0</v>
      </c>
      <c r="AV21" s="59"/>
      <c r="AW21" s="47"/>
      <c r="AX21" s="47"/>
      <c r="AY21" s="47"/>
      <c r="AZ21" s="47"/>
      <c r="BA21" s="47"/>
      <c r="BB21" s="47"/>
    </row>
    <row r="22" spans="2:54" ht="20.25" customHeight="1" x14ac:dyDescent="0.25">
      <c r="B22" s="64" t="s">
        <v>81</v>
      </c>
      <c r="C22" s="65">
        <f>P6</f>
        <v>1</v>
      </c>
      <c r="D22" s="63" t="s">
        <v>79</v>
      </c>
      <c r="E22" s="63">
        <f>P13</f>
        <v>5</v>
      </c>
      <c r="F22" s="63" t="s">
        <v>84</v>
      </c>
      <c r="G22" s="63">
        <f>P14</f>
        <v>0.04</v>
      </c>
      <c r="H22" s="63" t="s">
        <v>86</v>
      </c>
      <c r="I22" s="63">
        <f>P19</f>
        <v>20.100000000000001</v>
      </c>
      <c r="M22" s="364"/>
      <c r="N22" s="453"/>
      <c r="O22" s="51" t="s">
        <v>20</v>
      </c>
      <c r="P22" s="32">
        <v>25</v>
      </c>
      <c r="Q22" s="57" t="s">
        <v>23</v>
      </c>
      <c r="R22" s="53"/>
      <c r="U22" s="51" t="s">
        <v>50</v>
      </c>
      <c r="V22" s="51" t="s">
        <v>274</v>
      </c>
      <c r="W22" s="51" t="s">
        <v>276</v>
      </c>
      <c r="X22" s="51" t="s">
        <v>277</v>
      </c>
      <c r="Y22" s="51" t="str">
        <f>IF($P$21&lt;=20,"correto","erro")</f>
        <v>erro</v>
      </c>
      <c r="Z22" s="51" t="str">
        <f>IF($P$8&lt;=0.04,"baixo","erro")</f>
        <v>erro</v>
      </c>
      <c r="AA22" s="51" t="str">
        <f>IF(AND($P$8&gt;=0.041,$P$8&lt;=0.1),"medio","erro")</f>
        <v>medio</v>
      </c>
      <c r="AB22" s="51" t="str">
        <f>IF($P$8&gt;0.101,"adequado","erro")</f>
        <v>erro</v>
      </c>
      <c r="AC22" s="51" t="str">
        <f>IF(Z22="baixo","baixo",IF(AA22="medio","medio",IF(AB22="adequado","adequado",0)))</f>
        <v>medio</v>
      </c>
      <c r="AD22" s="510" t="str">
        <f>VLOOKUP("correto",Y22:AC23,5,0)</f>
        <v>baixo</v>
      </c>
      <c r="AO22" s="47"/>
      <c r="AP22" s="47"/>
      <c r="AQ22" s="47"/>
      <c r="AR22" s="47"/>
      <c r="AS22" s="47"/>
      <c r="AT22" s="47"/>
      <c r="AU22" s="47"/>
      <c r="AV22" s="47"/>
      <c r="AW22" s="47"/>
      <c r="AX22" s="47"/>
      <c r="AY22" s="47"/>
      <c r="AZ22" s="47"/>
      <c r="BA22" s="47"/>
      <c r="BB22" s="47"/>
    </row>
    <row r="23" spans="2:54" ht="20.25" customHeight="1" x14ac:dyDescent="0.25">
      <c r="B23" s="64" t="s">
        <v>82</v>
      </c>
      <c r="C23" s="65">
        <f>P7</f>
        <v>1</v>
      </c>
      <c r="D23" s="63" t="s">
        <v>129</v>
      </c>
      <c r="E23" s="63">
        <f>P11</f>
        <v>2.7</v>
      </c>
      <c r="F23" s="63" t="s">
        <v>87</v>
      </c>
      <c r="G23" s="63">
        <f>P16</f>
        <v>4</v>
      </c>
      <c r="H23" s="63" t="s">
        <v>83</v>
      </c>
      <c r="I23" s="63">
        <f>P15</f>
        <v>20</v>
      </c>
      <c r="J23" s="66"/>
      <c r="M23" s="364"/>
      <c r="N23" s="453"/>
      <c r="O23" s="51" t="s">
        <v>21</v>
      </c>
      <c r="P23" s="32">
        <v>47.6</v>
      </c>
      <c r="Q23" s="51" t="s">
        <v>10</v>
      </c>
      <c r="R23" s="53"/>
      <c r="U23" s="51" t="s">
        <v>61</v>
      </c>
      <c r="V23" s="51" t="s">
        <v>275</v>
      </c>
      <c r="W23" s="51" t="s">
        <v>278</v>
      </c>
      <c r="X23" s="51" t="s">
        <v>279</v>
      </c>
      <c r="Y23" s="51" t="str">
        <f>IF($P$21&gt;20,"correto","erro")</f>
        <v>correto</v>
      </c>
      <c r="Z23" s="51" t="str">
        <f>IF($P$8&lt;=0.06,"baixo","erro")</f>
        <v>baixo</v>
      </c>
      <c r="AA23" s="51" t="str">
        <f>IF(AND($P$8&gt;=0.061,$P$8&lt;=0.2),"medio","erro")</f>
        <v>erro</v>
      </c>
      <c r="AB23" s="51" t="str">
        <f>IF($P$8&gt;0.201,"adequado","erro")</f>
        <v>erro</v>
      </c>
      <c r="AC23" s="51" t="str">
        <f>IF(Z23="baixo","baixo",IF(AA23="medio","medio",IF(AB23="adequado","adequado",0)))</f>
        <v>baixo</v>
      </c>
      <c r="AD23" s="370"/>
      <c r="AO23" s="47"/>
      <c r="AP23" s="47"/>
      <c r="AQ23" s="47"/>
      <c r="AR23" s="47"/>
      <c r="AS23" s="47"/>
      <c r="AT23" s="47"/>
      <c r="AU23" s="47"/>
      <c r="AV23" s="47"/>
      <c r="AW23" s="47"/>
      <c r="AX23" s="47"/>
      <c r="AY23" s="47"/>
      <c r="AZ23" s="47"/>
      <c r="BA23" s="47"/>
      <c r="BB23" s="47"/>
    </row>
    <row r="24" spans="2:54" ht="20.25" customHeight="1" x14ac:dyDescent="0.25">
      <c r="B24" s="64" t="s">
        <v>80</v>
      </c>
      <c r="C24" s="65">
        <f>P8</f>
        <v>0.05</v>
      </c>
      <c r="D24" s="63" t="s">
        <v>130</v>
      </c>
      <c r="E24" s="63">
        <f>P10</f>
        <v>0.1</v>
      </c>
      <c r="F24" s="63" t="s">
        <v>89</v>
      </c>
      <c r="G24" s="63">
        <f>P17</f>
        <v>58.4</v>
      </c>
      <c r="H24" s="63" t="s">
        <v>131</v>
      </c>
      <c r="I24" s="63">
        <f>P25</f>
        <v>5.1899999999999995</v>
      </c>
      <c r="J24" s="66"/>
      <c r="M24" s="364"/>
      <c r="N24" s="453"/>
      <c r="O24" s="51" t="s">
        <v>22</v>
      </c>
      <c r="P24" s="63">
        <f>100*(P6+P7+P8+P9)/P25</f>
        <v>47.97687861271676</v>
      </c>
      <c r="Q24" s="51" t="s">
        <v>23</v>
      </c>
      <c r="R24" s="53"/>
      <c r="AO24" s="47"/>
      <c r="AP24" s="47"/>
      <c r="AQ24" s="47"/>
      <c r="AR24" s="47"/>
      <c r="AS24" s="59">
        <f>AS26-(SUM(AS27:AS36))</f>
        <v>0.89977586206896554</v>
      </c>
      <c r="AT24" s="59">
        <f t="shared" ref="AT24:AV24" si="3">AT26-(SUM(AT27:AT36))</f>
        <v>-2.2413793103448273E-4</v>
      </c>
      <c r="AU24" s="59">
        <f t="shared" si="3"/>
        <v>-4.3103448275862074E-4</v>
      </c>
      <c r="AV24" s="59">
        <f t="shared" si="3"/>
        <v>-4.8275862068965523E-5</v>
      </c>
      <c r="AW24" s="47"/>
      <c r="AX24" s="47"/>
      <c r="AY24" s="47"/>
      <c r="AZ24" s="47"/>
      <c r="BA24" s="47"/>
      <c r="BB24" s="47"/>
    </row>
    <row r="25" spans="2:54" ht="20.25" customHeight="1" thickBot="1" x14ac:dyDescent="0.3">
      <c r="J25" s="66"/>
      <c r="M25" s="364"/>
      <c r="N25" s="453"/>
      <c r="O25" s="51" t="s">
        <v>24</v>
      </c>
      <c r="P25" s="67">
        <f>(P6+P7+P8+P9+P11)</f>
        <v>5.1899999999999995</v>
      </c>
      <c r="Q25" s="51" t="s">
        <v>55</v>
      </c>
      <c r="R25" s="53"/>
      <c r="AO25" s="47"/>
      <c r="AP25" s="461" t="s">
        <v>258</v>
      </c>
      <c r="AQ25" s="461" t="s">
        <v>259</v>
      </c>
      <c r="AR25" s="461"/>
      <c r="AS25" s="68" t="s">
        <v>84</v>
      </c>
      <c r="AT25" s="68" t="s">
        <v>87</v>
      </c>
      <c r="AU25" s="68" t="s">
        <v>85</v>
      </c>
      <c r="AV25" s="68" t="s">
        <v>86</v>
      </c>
      <c r="AW25" s="47"/>
      <c r="AX25" s="47"/>
      <c r="AY25" s="47"/>
      <c r="AZ25" s="47"/>
      <c r="BA25" s="47"/>
      <c r="BB25" s="47"/>
    </row>
    <row r="26" spans="2:54" ht="20.25" customHeight="1" thickBot="1" x14ac:dyDescent="0.3">
      <c r="B26" s="485" t="s">
        <v>272</v>
      </c>
      <c r="C26" s="486"/>
      <c r="D26" s="486"/>
      <c r="E26" s="486"/>
      <c r="F26" s="486"/>
      <c r="G26" s="486"/>
      <c r="H26" s="486"/>
      <c r="I26" s="487"/>
      <c r="J26" s="66"/>
      <c r="M26" s="69"/>
      <c r="N26" s="70"/>
      <c r="O26" s="70"/>
      <c r="P26" s="70"/>
      <c r="Q26" s="70"/>
      <c r="R26" s="71"/>
      <c r="U26" s="459" t="s">
        <v>312</v>
      </c>
      <c r="V26" s="512"/>
      <c r="W26" s="512"/>
      <c r="X26" s="512"/>
      <c r="Y26" s="512"/>
      <c r="Z26" s="460"/>
      <c r="AO26" s="47"/>
      <c r="AP26" s="461"/>
      <c r="AQ26" s="461"/>
      <c r="AR26" s="461"/>
      <c r="AS26" s="72">
        <f>AK9</f>
        <v>0.9</v>
      </c>
      <c r="AT26" s="72">
        <f>AK12</f>
        <v>0</v>
      </c>
      <c r="AU26" s="72">
        <f>AK15</f>
        <v>0</v>
      </c>
      <c r="AV26" s="72">
        <f>AK18</f>
        <v>0</v>
      </c>
      <c r="AW26" s="47"/>
      <c r="AX26" s="47"/>
      <c r="AY26" s="47"/>
      <c r="AZ26" s="47"/>
      <c r="BA26" s="47"/>
      <c r="BB26" s="47"/>
    </row>
    <row r="27" spans="2:54" ht="20.25" customHeight="1" thickBot="1" x14ac:dyDescent="0.3">
      <c r="B27" s="488" t="str">
        <f>IF($O$47&gt;0,$O$47,"-")</f>
        <v>ARAGUAIA Dolomítico</v>
      </c>
      <c r="C27" s="488"/>
      <c r="D27" s="73">
        <f>IF(J27&gt;0,J27,"-")</f>
        <v>0.35052241321199867</v>
      </c>
      <c r="E27" s="365" t="str">
        <f>IF(J27&gt;0,"toneladas por hectare ou,","-")</f>
        <v>toneladas por hectare ou,</v>
      </c>
      <c r="F27" s="365"/>
      <c r="G27" s="365"/>
      <c r="H27" s="365"/>
      <c r="I27" s="365"/>
      <c r="J27" s="74">
        <f>V51</f>
        <v>0.35052241321199867</v>
      </c>
      <c r="U27" s="51" t="s">
        <v>32</v>
      </c>
      <c r="V27" s="51" t="s">
        <v>64</v>
      </c>
      <c r="W27" s="51" t="s">
        <v>75</v>
      </c>
      <c r="X27" s="51" t="s">
        <v>71</v>
      </c>
      <c r="Y27" s="51" t="s">
        <v>36</v>
      </c>
      <c r="Z27" s="51" t="s">
        <v>35</v>
      </c>
      <c r="AO27" s="47"/>
      <c r="AP27" s="447" t="s">
        <v>261</v>
      </c>
      <c r="AQ27" s="447" t="str">
        <f>B29</f>
        <v>Remax Mistel (61) 99414-1975</v>
      </c>
      <c r="AR27" s="447"/>
      <c r="AS27" s="55">
        <f t="shared" ref="AS27:AS36" si="4">IFERROR(VLOOKUP(AQ27,$V$100:$AL$179,11,0)*0.01*VLOOKUP(AQ27,$B$27:$J$47,9,0),0)</f>
        <v>0</v>
      </c>
      <c r="AT27" s="55">
        <f t="shared" ref="AT27:AT36" si="5">IFERROR(VLOOKUP(AQ27,$V$100:$AL$179,12,0)*0.01*VLOOKUP(AQ27,$B$27:$J$47,9,0),0)</f>
        <v>0</v>
      </c>
      <c r="AU27" s="55">
        <f t="shared" ref="AU27:AU36" si="6">IFERROR(VLOOKUP(AQ27,$V$100:$AL$179,13,0)*0.01*VLOOKUP(AQ27,$B$27:$J$47,9,0),0)</f>
        <v>0</v>
      </c>
      <c r="AV27" s="55">
        <f t="shared" ref="AV27:AV36" si="7">IFERROR(VLOOKUP(AQ27,$V$100:$AL$179,14,0)*0.01*VLOOKUP(AQ27,$B$27:$J$47,9,0),0)</f>
        <v>0</v>
      </c>
      <c r="AW27" s="47"/>
      <c r="AX27" s="47"/>
      <c r="AY27" s="47"/>
      <c r="AZ27" s="47"/>
      <c r="BA27" s="47"/>
      <c r="BB27" s="47"/>
    </row>
    <row r="28" spans="2:54" ht="20.25" customHeight="1" x14ac:dyDescent="0.25">
      <c r="B28" s="488"/>
      <c r="C28" s="488"/>
      <c r="D28" s="73">
        <f>IF(J28&gt;0,J28,"-")</f>
        <v>3.505224132119987E-2</v>
      </c>
      <c r="E28" s="365" t="str">
        <f>IF(J28&gt;0,"quilos por metro quadrado","-")</f>
        <v>quilos por metro quadrado</v>
      </c>
      <c r="F28" s="365"/>
      <c r="G28" s="365"/>
      <c r="H28" s="365"/>
      <c r="I28" s="365"/>
      <c r="J28" s="74">
        <f>J27/10</f>
        <v>3.505224132119987E-2</v>
      </c>
      <c r="M28" s="48"/>
      <c r="N28" s="49"/>
      <c r="O28" s="49"/>
      <c r="P28" s="49"/>
      <c r="Q28" s="49"/>
      <c r="R28" s="50"/>
      <c r="U28" s="75">
        <v>0</v>
      </c>
      <c r="V28" s="75">
        <v>50</v>
      </c>
      <c r="W28" s="75" t="s">
        <v>68</v>
      </c>
      <c r="X28" s="75" t="str">
        <f>CONCATENATE(U28," - ",W28)</f>
        <v>0 - baixo</v>
      </c>
      <c r="Y28" s="75">
        <v>10</v>
      </c>
      <c r="Z28" s="75">
        <v>10</v>
      </c>
      <c r="AE28" s="51" t="s">
        <v>63</v>
      </c>
      <c r="AG28" s="51" t="s">
        <v>63</v>
      </c>
      <c r="AI28" s="76" t="s">
        <v>63</v>
      </c>
      <c r="AK28" s="76" t="s">
        <v>63</v>
      </c>
      <c r="AO28" s="47"/>
      <c r="AP28" s="447"/>
      <c r="AQ28" s="447" t="str">
        <f t="shared" ref="AQ28:AQ36" si="8">B41</f>
        <v>Termofosfato YOORIN</v>
      </c>
      <c r="AR28" s="447"/>
      <c r="AS28" s="55">
        <f t="shared" si="4"/>
        <v>0</v>
      </c>
      <c r="AT28" s="55">
        <f t="shared" si="5"/>
        <v>0</v>
      </c>
      <c r="AU28" s="55">
        <f t="shared" si="6"/>
        <v>0</v>
      </c>
      <c r="AV28" s="55">
        <f t="shared" si="7"/>
        <v>0</v>
      </c>
      <c r="AW28" s="47"/>
      <c r="AX28" s="47"/>
      <c r="AY28" s="47"/>
      <c r="AZ28" s="47"/>
      <c r="BA28" s="47"/>
      <c r="BB28" s="47"/>
    </row>
    <row r="29" spans="2:54" ht="20.25" customHeight="1" x14ac:dyDescent="0.25">
      <c r="B29" s="488" t="str">
        <f>IF($O$50&gt;0,$O$50,"-")</f>
        <v>Remax Mistel (61) 99414-1975</v>
      </c>
      <c r="C29" s="488"/>
      <c r="D29" s="73">
        <f>IF(J29&gt;0,J29,"-")</f>
        <v>0.71094986629715751</v>
      </c>
      <c r="E29" s="365" t="str">
        <f>IF(J29&gt;0,"toneladas por hectare ou,","-")</f>
        <v>toneladas por hectare ou,</v>
      </c>
      <c r="F29" s="365"/>
      <c r="G29" s="365"/>
      <c r="H29" s="365"/>
      <c r="I29" s="365"/>
      <c r="J29" s="74">
        <f>Z49</f>
        <v>0.71094986629715751</v>
      </c>
      <c r="M29" s="364" t="s">
        <v>211</v>
      </c>
      <c r="N29" s="453"/>
      <c r="O29" s="489" t="s">
        <v>197</v>
      </c>
      <c r="P29" s="489"/>
      <c r="Q29" s="489"/>
      <c r="R29" s="53"/>
      <c r="U29" s="75">
        <v>0</v>
      </c>
      <c r="V29" s="75">
        <v>50</v>
      </c>
      <c r="W29" s="75" t="s">
        <v>69</v>
      </c>
      <c r="X29" s="75" t="str">
        <f t="shared" ref="X29:X36" si="9">CONCATENATE(U29," - ",W29)</f>
        <v>0 - medio</v>
      </c>
      <c r="Y29" s="75">
        <v>10</v>
      </c>
      <c r="Z29" s="75">
        <v>10</v>
      </c>
      <c r="AB29" s="458" t="s">
        <v>65</v>
      </c>
      <c r="AC29" s="458"/>
      <c r="AE29" s="51" t="s">
        <v>32</v>
      </c>
      <c r="AG29" s="51" t="s">
        <v>189</v>
      </c>
      <c r="AI29" s="76"/>
      <c r="AK29" s="51" t="s">
        <v>286</v>
      </c>
      <c r="AO29" s="47"/>
      <c r="AP29" s="447"/>
      <c r="AQ29" s="447" t="str">
        <f t="shared" si="8"/>
        <v>Superfosfato simples</v>
      </c>
      <c r="AR29" s="447"/>
      <c r="AS29" s="55">
        <f t="shared" si="4"/>
        <v>0</v>
      </c>
      <c r="AT29" s="55">
        <f t="shared" si="5"/>
        <v>0</v>
      </c>
      <c r="AU29" s="55">
        <f t="shared" si="6"/>
        <v>0</v>
      </c>
      <c r="AV29" s="55">
        <f t="shared" si="7"/>
        <v>0</v>
      </c>
      <c r="AW29" s="47"/>
      <c r="AX29" s="47"/>
      <c r="AY29" s="47"/>
      <c r="AZ29" s="47"/>
      <c r="BA29" s="47"/>
      <c r="BB29" s="47"/>
    </row>
    <row r="30" spans="2:54" ht="20.25" customHeight="1" x14ac:dyDescent="0.25">
      <c r="B30" s="488"/>
      <c r="C30" s="488"/>
      <c r="D30" s="73">
        <f>IF(J30&gt;0,J30,"-")</f>
        <v>7.1094986629715751E-2</v>
      </c>
      <c r="E30" s="365" t="str">
        <f>IF(J30&gt;0,"quilos por metro quadrado","-")</f>
        <v>quilos por metro quadrado</v>
      </c>
      <c r="F30" s="365"/>
      <c r="G30" s="365"/>
      <c r="H30" s="365"/>
      <c r="I30" s="365"/>
      <c r="J30" s="74">
        <f>J29/10</f>
        <v>7.1094986629715751E-2</v>
      </c>
      <c r="M30" s="364"/>
      <c r="N30" s="453"/>
      <c r="O30" s="32">
        <v>3</v>
      </c>
      <c r="P30" s="77" t="s">
        <v>200</v>
      </c>
      <c r="Q30" s="32">
        <v>1.5</v>
      </c>
      <c r="R30" s="53"/>
      <c r="U30" s="75">
        <v>0</v>
      </c>
      <c r="V30" s="75">
        <v>50</v>
      </c>
      <c r="W30" s="75" t="s">
        <v>70</v>
      </c>
      <c r="X30" s="75" t="str">
        <f t="shared" si="9"/>
        <v>0 - adequado</v>
      </c>
      <c r="Y30" s="75">
        <v>10</v>
      </c>
      <c r="Z30" s="75">
        <v>10</v>
      </c>
      <c r="AB30" s="78" t="s">
        <v>33</v>
      </c>
      <c r="AC30" s="78">
        <f>VLOOKUP($P$39,$U$28:$V$36,2,0)</f>
        <v>100</v>
      </c>
      <c r="AE30" s="51" t="s">
        <v>34</v>
      </c>
      <c r="AG30" s="51" t="s">
        <v>190</v>
      </c>
      <c r="AI30" s="76">
        <v>0</v>
      </c>
      <c r="AK30" s="51" t="s">
        <v>293</v>
      </c>
      <c r="AO30" s="47"/>
      <c r="AP30" s="447"/>
      <c r="AQ30" s="447" t="str">
        <f t="shared" si="8"/>
        <v>-</v>
      </c>
      <c r="AR30" s="447"/>
      <c r="AS30" s="55">
        <f t="shared" si="4"/>
        <v>0</v>
      </c>
      <c r="AT30" s="55">
        <f t="shared" si="5"/>
        <v>0</v>
      </c>
      <c r="AU30" s="55">
        <f t="shared" si="6"/>
        <v>0</v>
      </c>
      <c r="AV30" s="55">
        <f t="shared" si="7"/>
        <v>0</v>
      </c>
      <c r="AW30" s="47"/>
      <c r="AX30" s="47"/>
      <c r="AY30" s="47"/>
      <c r="AZ30" s="47"/>
      <c r="BA30" s="47"/>
      <c r="BB30" s="47"/>
    </row>
    <row r="31" spans="2:54" ht="20.25" customHeight="1" x14ac:dyDescent="0.25">
      <c r="B31" s="514" t="s">
        <v>533</v>
      </c>
      <c r="C31" s="514"/>
      <c r="D31" s="514"/>
      <c r="E31" s="514"/>
      <c r="F31" s="514"/>
      <c r="G31" s="514"/>
      <c r="H31" s="514"/>
      <c r="I31" s="514"/>
      <c r="J31" s="74"/>
      <c r="M31" s="364"/>
      <c r="N31" s="365"/>
      <c r="O31" s="105"/>
      <c r="P31" s="105"/>
      <c r="Q31" s="105"/>
      <c r="R31" s="53"/>
      <c r="U31" s="75">
        <v>1</v>
      </c>
      <c r="V31" s="75">
        <v>100</v>
      </c>
      <c r="W31" s="75" t="s">
        <v>68</v>
      </c>
      <c r="X31" s="75" t="str">
        <f t="shared" si="9"/>
        <v>1 - baixo</v>
      </c>
      <c r="Y31" s="75">
        <v>0</v>
      </c>
      <c r="Z31" s="75">
        <v>100</v>
      </c>
      <c r="AB31" s="78" t="s">
        <v>66</v>
      </c>
      <c r="AC31" s="78">
        <f>VLOOKUP(AB36,X28:Z36,2,0)</f>
        <v>0</v>
      </c>
      <c r="AE31" s="51">
        <v>0</v>
      </c>
      <c r="AG31" s="79" t="e">
        <f>10000/((($O$32/2)+($P$32/2))*$Q$32)</f>
        <v>#DIV/0!</v>
      </c>
      <c r="AI31" s="76">
        <v>0.1</v>
      </c>
      <c r="AK31" s="51" t="s">
        <v>158</v>
      </c>
      <c r="AO31" s="47"/>
      <c r="AP31" s="447"/>
      <c r="AQ31" s="447" t="str">
        <f t="shared" si="8"/>
        <v>Cloreto de potássio</v>
      </c>
      <c r="AR31" s="447"/>
      <c r="AS31" s="55">
        <f t="shared" si="4"/>
        <v>0</v>
      </c>
      <c r="AT31" s="55">
        <f t="shared" si="5"/>
        <v>0</v>
      </c>
      <c r="AU31" s="55">
        <f t="shared" si="6"/>
        <v>0</v>
      </c>
      <c r="AV31" s="55">
        <f t="shared" si="7"/>
        <v>0</v>
      </c>
      <c r="AW31" s="47"/>
      <c r="AX31" s="47"/>
      <c r="AY31" s="47"/>
      <c r="AZ31" s="47"/>
      <c r="BA31" s="47"/>
      <c r="BB31" s="47"/>
    </row>
    <row r="32" spans="2:54" ht="20.25" customHeight="1" x14ac:dyDescent="0.25">
      <c r="B32" s="514"/>
      <c r="C32" s="514"/>
      <c r="D32" s="514"/>
      <c r="E32" s="514"/>
      <c r="F32" s="514"/>
      <c r="G32" s="514"/>
      <c r="H32" s="514"/>
      <c r="I32" s="514"/>
      <c r="J32" s="74"/>
      <c r="M32" s="364"/>
      <c r="N32" s="365"/>
      <c r="O32" s="80"/>
      <c r="P32" s="80"/>
      <c r="Q32" s="80"/>
      <c r="R32" s="53"/>
      <c r="U32" s="75">
        <v>1</v>
      </c>
      <c r="V32" s="75">
        <v>100</v>
      </c>
      <c r="W32" s="75" t="s">
        <v>69</v>
      </c>
      <c r="X32" s="75" t="str">
        <f t="shared" si="9"/>
        <v>1 - medio</v>
      </c>
      <c r="Y32" s="75">
        <v>0</v>
      </c>
      <c r="Z32" s="75">
        <v>60</v>
      </c>
      <c r="AB32" s="78" t="s">
        <v>67</v>
      </c>
      <c r="AC32" s="78">
        <f>VLOOKUP($AB$39,X28:Z36,3,0)</f>
        <v>100</v>
      </c>
      <c r="AE32" s="51">
        <v>1</v>
      </c>
      <c r="AI32" s="76">
        <v>0.2</v>
      </c>
      <c r="AK32" s="51" t="s">
        <v>292</v>
      </c>
      <c r="AO32" s="47"/>
      <c r="AP32" s="447"/>
      <c r="AQ32" s="447" t="str">
        <f t="shared" si="8"/>
        <v>EkoSil</v>
      </c>
      <c r="AR32" s="447"/>
      <c r="AS32" s="55">
        <f t="shared" si="4"/>
        <v>2.2413793103448273E-4</v>
      </c>
      <c r="AT32" s="55">
        <f t="shared" si="5"/>
        <v>2.2413793103448273E-4</v>
      </c>
      <c r="AU32" s="55">
        <f t="shared" si="6"/>
        <v>4.3103448275862074E-4</v>
      </c>
      <c r="AV32" s="55">
        <f t="shared" si="7"/>
        <v>4.8275862068965523E-5</v>
      </c>
      <c r="AW32" s="47"/>
      <c r="AX32" s="47"/>
      <c r="AY32" s="47"/>
      <c r="AZ32" s="47"/>
      <c r="BA32" s="47"/>
      <c r="BB32" s="47"/>
    </row>
    <row r="33" spans="2:57" ht="20.25" customHeight="1" thickBot="1" x14ac:dyDescent="0.3">
      <c r="B33" s="515"/>
      <c r="C33" s="515"/>
      <c r="D33" s="515"/>
      <c r="E33" s="515"/>
      <c r="F33" s="515"/>
      <c r="G33" s="515"/>
      <c r="H33" s="515"/>
      <c r="I33" s="515"/>
      <c r="J33" s="74"/>
      <c r="M33" s="364"/>
      <c r="N33" s="453"/>
      <c r="O33" s="489" t="s">
        <v>282</v>
      </c>
      <c r="P33" s="489"/>
      <c r="Q33" s="489"/>
      <c r="R33" s="53"/>
      <c r="U33" s="75">
        <v>1</v>
      </c>
      <c r="V33" s="75">
        <v>100</v>
      </c>
      <c r="W33" s="75" t="s">
        <v>70</v>
      </c>
      <c r="X33" s="75" t="str">
        <f t="shared" si="9"/>
        <v>1 - adequado</v>
      </c>
      <c r="Y33" s="75">
        <v>0</v>
      </c>
      <c r="Z33" s="75">
        <v>0</v>
      </c>
      <c r="AE33" s="51">
        <v>2</v>
      </c>
      <c r="AI33" s="76">
        <v>0.3</v>
      </c>
      <c r="AK33" s="51" t="s">
        <v>292</v>
      </c>
      <c r="AO33" s="47"/>
      <c r="AP33" s="447"/>
      <c r="AQ33" s="447" t="str">
        <f t="shared" si="8"/>
        <v>-</v>
      </c>
      <c r="AR33" s="447"/>
      <c r="AS33" s="55">
        <f t="shared" si="4"/>
        <v>0</v>
      </c>
      <c r="AT33" s="55">
        <f t="shared" si="5"/>
        <v>0</v>
      </c>
      <c r="AU33" s="55">
        <f t="shared" si="6"/>
        <v>0</v>
      </c>
      <c r="AV33" s="55">
        <f t="shared" si="7"/>
        <v>0</v>
      </c>
      <c r="AW33" s="47"/>
      <c r="AX33" s="47"/>
      <c r="AY33" s="47"/>
      <c r="AZ33" s="47"/>
      <c r="BA33" s="47"/>
      <c r="BB33" s="47"/>
    </row>
    <row r="34" spans="2:57" ht="20.25" customHeight="1" thickBot="1" x14ac:dyDescent="0.3">
      <c r="B34" s="485" t="s">
        <v>184</v>
      </c>
      <c r="C34" s="486"/>
      <c r="D34" s="486"/>
      <c r="E34" s="486"/>
      <c r="F34" s="486"/>
      <c r="G34" s="486"/>
      <c r="H34" s="486"/>
      <c r="I34" s="487"/>
      <c r="J34" s="81">
        <f>IF(O68="Sim",P21*7.5,0)</f>
        <v>356.25</v>
      </c>
      <c r="M34" s="364"/>
      <c r="N34" s="453"/>
      <c r="O34" s="448"/>
      <c r="P34" s="448"/>
      <c r="Q34" s="448"/>
      <c r="R34" s="53"/>
      <c r="U34" s="75">
        <v>2</v>
      </c>
      <c r="V34" s="75">
        <v>200</v>
      </c>
      <c r="W34" s="75" t="s">
        <v>68</v>
      </c>
      <c r="X34" s="75" t="str">
        <f t="shared" si="9"/>
        <v>2 - baixo</v>
      </c>
      <c r="Y34" s="75">
        <v>120</v>
      </c>
      <c r="Z34" s="75">
        <v>200</v>
      </c>
      <c r="AI34" s="76">
        <v>0.4</v>
      </c>
      <c r="AK34" s="51" t="s">
        <v>292</v>
      </c>
      <c r="AO34" s="47"/>
      <c r="AP34" s="447"/>
      <c r="AQ34" s="447" t="str">
        <f t="shared" si="8"/>
        <v>Nitrato de Amônio</v>
      </c>
      <c r="AR34" s="447"/>
      <c r="AS34" s="55">
        <f t="shared" si="4"/>
        <v>0</v>
      </c>
      <c r="AT34" s="55">
        <f t="shared" si="5"/>
        <v>0</v>
      </c>
      <c r="AU34" s="55">
        <f t="shared" si="6"/>
        <v>0</v>
      </c>
      <c r="AV34" s="55">
        <f t="shared" si="7"/>
        <v>0</v>
      </c>
      <c r="AW34" s="47"/>
      <c r="AX34" s="47"/>
      <c r="AY34" s="47"/>
      <c r="AZ34" s="47"/>
      <c r="BA34" s="47"/>
      <c r="BB34" s="47"/>
    </row>
    <row r="35" spans="2:57" ht="20.25" customHeight="1" thickBot="1" x14ac:dyDescent="0.3">
      <c r="B35" s="488" t="str">
        <f>IF($O$55&gt;0,$O$55,"-")</f>
        <v>Siligesso Agronelli</v>
      </c>
      <c r="C35" s="488"/>
      <c r="D35" s="73">
        <f>IF(J34&gt;0,J34,"-")</f>
        <v>356.25</v>
      </c>
      <c r="E35" s="365" t="str">
        <f>IF(J34&gt;0,"quilos por hectare ou,","-")</f>
        <v>quilos por hectare ou,</v>
      </c>
      <c r="F35" s="365"/>
      <c r="G35" s="365"/>
      <c r="H35" s="365"/>
      <c r="I35" s="365"/>
      <c r="J35" s="81">
        <f>J34/10</f>
        <v>35.625</v>
      </c>
      <c r="M35" s="69"/>
      <c r="N35" s="70"/>
      <c r="O35" s="70"/>
      <c r="P35" s="83">
        <f>10000/($O$30*$Q$30)</f>
        <v>2222.2222222222222</v>
      </c>
      <c r="Q35" s="83" t="e">
        <f>10000/((($O$32/2)+($P$32/2))*$Q$32)</f>
        <v>#DIV/0!</v>
      </c>
      <c r="R35" s="71"/>
      <c r="U35" s="75">
        <v>2</v>
      </c>
      <c r="V35" s="75">
        <v>200</v>
      </c>
      <c r="W35" s="75" t="s">
        <v>69</v>
      </c>
      <c r="X35" s="75" t="str">
        <f t="shared" si="9"/>
        <v>2 - medio</v>
      </c>
      <c r="Y35" s="75">
        <v>100</v>
      </c>
      <c r="Z35" s="75">
        <v>120</v>
      </c>
      <c r="AB35" s="457" t="s">
        <v>72</v>
      </c>
      <c r="AC35" s="457"/>
      <c r="AI35" s="76">
        <v>0.5</v>
      </c>
      <c r="AK35" s="51" t="s">
        <v>288</v>
      </c>
      <c r="AO35" s="47"/>
      <c r="AP35" s="447"/>
      <c r="AQ35" s="447" t="str">
        <f t="shared" si="8"/>
        <v>-</v>
      </c>
      <c r="AR35" s="447"/>
      <c r="AS35" s="55">
        <f t="shared" si="4"/>
        <v>0</v>
      </c>
      <c r="AT35" s="55">
        <f t="shared" si="5"/>
        <v>0</v>
      </c>
      <c r="AU35" s="55">
        <f t="shared" si="6"/>
        <v>0</v>
      </c>
      <c r="AV35" s="55">
        <f t="shared" si="7"/>
        <v>0</v>
      </c>
      <c r="AW35" s="47"/>
      <c r="AX35" s="47"/>
      <c r="AY35" s="47"/>
      <c r="AZ35" s="47"/>
      <c r="BA35" s="47"/>
      <c r="BB35" s="47"/>
    </row>
    <row r="36" spans="2:57" ht="20.25" customHeight="1" thickBot="1" x14ac:dyDescent="0.3">
      <c r="B36" s="488"/>
      <c r="C36" s="488"/>
      <c r="D36" s="84">
        <f>IF(J35&gt;0,J35,"-")</f>
        <v>35.625</v>
      </c>
      <c r="E36" s="365" t="str">
        <f>IF(J35&gt;0,"gramas por metro quadrado","-")</f>
        <v>gramas por metro quadrado</v>
      </c>
      <c r="F36" s="365"/>
      <c r="G36" s="365"/>
      <c r="H36" s="365"/>
      <c r="I36" s="365"/>
      <c r="J36" s="81"/>
      <c r="M36" s="368"/>
      <c r="N36" s="368"/>
      <c r="O36" s="368"/>
      <c r="P36" s="368"/>
      <c r="Q36" s="368"/>
      <c r="R36" s="368"/>
      <c r="U36" s="75">
        <v>2</v>
      </c>
      <c r="V36" s="75">
        <v>200</v>
      </c>
      <c r="W36" s="75" t="s">
        <v>70</v>
      </c>
      <c r="X36" s="75" t="str">
        <f t="shared" si="9"/>
        <v>2 - adequado</v>
      </c>
      <c r="Y36" s="75">
        <v>0</v>
      </c>
      <c r="Z36" s="75">
        <v>0</v>
      </c>
      <c r="AB36" s="457" t="str">
        <f>CONCATENATE($P$39," - ",$AD$8)</f>
        <v>1 - baixo</v>
      </c>
      <c r="AC36" s="457"/>
      <c r="AI36" s="76">
        <v>0.6</v>
      </c>
      <c r="AK36" s="51" t="s">
        <v>289</v>
      </c>
      <c r="AO36" s="47"/>
      <c r="AP36" s="447"/>
      <c r="AQ36" s="447" t="str">
        <f t="shared" si="8"/>
        <v>-</v>
      </c>
      <c r="AR36" s="447"/>
      <c r="AS36" s="55">
        <f t="shared" si="4"/>
        <v>0</v>
      </c>
      <c r="AT36" s="55">
        <f t="shared" si="5"/>
        <v>0</v>
      </c>
      <c r="AU36" s="55">
        <f t="shared" si="6"/>
        <v>0</v>
      </c>
      <c r="AV36" s="55">
        <f t="shared" si="7"/>
        <v>0</v>
      </c>
      <c r="AW36" s="47"/>
      <c r="AX36" s="47"/>
      <c r="AY36" s="47"/>
      <c r="AZ36" s="47"/>
      <c r="BA36" s="47"/>
      <c r="BB36" s="47"/>
    </row>
    <row r="37" spans="2:57" ht="20.25" customHeight="1" x14ac:dyDescent="0.25">
      <c r="B37" s="516" t="s">
        <v>534</v>
      </c>
      <c r="C37" s="516"/>
      <c r="D37" s="516"/>
      <c r="E37" s="516"/>
      <c r="F37" s="516"/>
      <c r="G37" s="516"/>
      <c r="H37" s="516"/>
      <c r="I37" s="516"/>
      <c r="J37" s="81"/>
      <c r="M37" s="48"/>
      <c r="N37" s="49"/>
      <c r="O37" s="49"/>
      <c r="P37" s="49"/>
      <c r="Q37" s="49"/>
      <c r="R37" s="50"/>
      <c r="AI37" s="76">
        <v>0.7</v>
      </c>
      <c r="AK37" s="51" t="s">
        <v>290</v>
      </c>
      <c r="AO37" s="85"/>
      <c r="AP37" s="85"/>
      <c r="AQ37" s="85"/>
      <c r="AR37" s="85"/>
      <c r="AS37" s="59">
        <f>IF(AS24&gt;0,AS24,0)</f>
        <v>0.89977586206896554</v>
      </c>
      <c r="AT37" s="59">
        <f>IF(AT24&gt;0,AT24,0)</f>
        <v>0</v>
      </c>
      <c r="AU37" s="59">
        <f>IF(AU24&gt;0,AU24,0)</f>
        <v>0</v>
      </c>
      <c r="AV37" s="59">
        <f>IF(AV24&gt;0,AV24,0)</f>
        <v>0</v>
      </c>
      <c r="AW37" s="47"/>
      <c r="AX37" s="47"/>
      <c r="AY37" s="47"/>
      <c r="AZ37" s="47"/>
      <c r="BA37" s="47"/>
      <c r="BB37" s="47"/>
    </row>
    <row r="38" spans="2:57" ht="20.25" customHeight="1" thickBot="1" x14ac:dyDescent="0.3">
      <c r="B38" s="516"/>
      <c r="C38" s="516"/>
      <c r="D38" s="516"/>
      <c r="E38" s="516"/>
      <c r="F38" s="516"/>
      <c r="G38" s="516"/>
      <c r="H38" s="516"/>
      <c r="I38" s="516"/>
      <c r="J38" s="81"/>
      <c r="M38" s="364" t="s">
        <v>212</v>
      </c>
      <c r="N38" s="365"/>
      <c r="O38" s="489" t="s">
        <v>198</v>
      </c>
      <c r="P38" s="489"/>
      <c r="Q38" s="489"/>
      <c r="R38" s="53"/>
      <c r="AB38" s="457" t="s">
        <v>73</v>
      </c>
      <c r="AC38" s="457"/>
      <c r="AI38" s="76">
        <v>0.8</v>
      </c>
      <c r="AK38" s="51"/>
      <c r="AO38" s="47"/>
      <c r="AP38" s="47"/>
      <c r="AQ38" s="47"/>
      <c r="AR38" s="47"/>
      <c r="AS38" s="47"/>
      <c r="AT38" s="47"/>
      <c r="AU38" s="47"/>
      <c r="AV38" s="47"/>
      <c r="AW38" s="47"/>
      <c r="AX38" s="47"/>
      <c r="AY38" s="47"/>
      <c r="AZ38" s="47"/>
      <c r="BA38" s="47"/>
      <c r="BB38" s="47"/>
    </row>
    <row r="39" spans="2:57" ht="20.25" customHeight="1" thickBot="1" x14ac:dyDescent="0.3">
      <c r="B39" s="355" t="s">
        <v>267</v>
      </c>
      <c r="C39" s="356"/>
      <c r="D39" s="356"/>
      <c r="E39" s="356"/>
      <c r="F39" s="356"/>
      <c r="G39" s="356"/>
      <c r="H39" s="356"/>
      <c r="I39" s="357"/>
      <c r="J39" s="81">
        <f>AV6</f>
        <v>0</v>
      </c>
      <c r="M39" s="364"/>
      <c r="N39" s="365"/>
      <c r="O39" s="51" t="s">
        <v>182</v>
      </c>
      <c r="P39" s="448">
        <v>1</v>
      </c>
      <c r="Q39" s="448"/>
      <c r="R39" s="53"/>
      <c r="AB39" s="457" t="str">
        <f>CONCATENATE($P$39," - ",$AD$22)</f>
        <v>1 - baixo</v>
      </c>
      <c r="AC39" s="457"/>
      <c r="AI39" s="76">
        <v>0.9</v>
      </c>
      <c r="AO39" s="47"/>
      <c r="AP39" s="447" t="s">
        <v>261</v>
      </c>
      <c r="AQ39" s="447"/>
      <c r="AR39" s="54" t="s">
        <v>84</v>
      </c>
      <c r="AS39" s="54" t="s">
        <v>87</v>
      </c>
      <c r="AT39" s="54" t="s">
        <v>85</v>
      </c>
      <c r="AU39" s="54" t="s">
        <v>86</v>
      </c>
      <c r="AV39" s="54" t="s">
        <v>225</v>
      </c>
      <c r="AW39" s="54" t="s">
        <v>84</v>
      </c>
      <c r="AX39" s="54" t="s">
        <v>87</v>
      </c>
      <c r="AY39" s="54" t="s">
        <v>85</v>
      </c>
      <c r="AZ39" s="54" t="s">
        <v>86</v>
      </c>
      <c r="BA39" s="47"/>
      <c r="BB39" s="47"/>
    </row>
    <row r="40" spans="2:57" ht="20.25" customHeight="1" x14ac:dyDescent="0.25">
      <c r="B40" s="449" t="str">
        <f>IF(O42&gt;0,O42,"-")</f>
        <v>Esterco Bovino curtido</v>
      </c>
      <c r="C40" s="449"/>
      <c r="D40" s="86">
        <f>IF(AQ59&gt;0,AQ59,"-")</f>
        <v>5</v>
      </c>
      <c r="E40" s="362" t="str">
        <f>IF(AQ59&gt;0,"quilos por cova ou planta","-")</f>
        <v>quilos por cova ou planta</v>
      </c>
      <c r="F40" s="362"/>
      <c r="G40" s="362"/>
      <c r="H40" s="362"/>
      <c r="I40" s="362"/>
      <c r="J40" s="81">
        <f>AV7</f>
        <v>0</v>
      </c>
      <c r="M40" s="364"/>
      <c r="N40" s="365"/>
      <c r="O40" s="25"/>
      <c r="P40" s="25"/>
      <c r="Q40" s="25"/>
      <c r="R40" s="53"/>
      <c r="AI40" s="76">
        <v>1</v>
      </c>
      <c r="AO40" s="47"/>
      <c r="AP40" s="447" t="str">
        <f>O105</f>
        <v>Ácido Bórico</v>
      </c>
      <c r="AQ40" s="447"/>
      <c r="AR40" s="55">
        <f>IFERROR($AS$37/((VLOOKUP(AP40,$V$100:$AO$179,11,0)*0.01)),0)</f>
        <v>5.1415763546798026</v>
      </c>
      <c r="AS40" s="55">
        <f>IFERROR($AT$37/((VLOOKUP(AP40,$V$100:$AO$179,14,0)*0.01)),0)</f>
        <v>0</v>
      </c>
      <c r="AT40" s="55">
        <f>IFERROR($AU$37/((VLOOKUP(AP40,$V$100:$AO$179,12,0)*0.01)),0)</f>
        <v>0</v>
      </c>
      <c r="AU40" s="55">
        <f>IFERROR($AV$37/((VLOOKUP(AP40,$V$100:$AO$179,13,0)*0.01)),0)</f>
        <v>0</v>
      </c>
      <c r="AV40" s="55">
        <f>MAX(AR40:AU40)</f>
        <v>5.1415763546798026</v>
      </c>
      <c r="AW40" s="55">
        <f>IFERROR(AV40*(VLOOKUP(AP40,$V$100:$AO$179,11,0)*0.01),0)</f>
        <v>0.89977586206896554</v>
      </c>
      <c r="AX40" s="55">
        <f>IFERROR(AV40*(VLOOKUP(AP40,$V$100:$AO$179,14,0)*0.01),0)</f>
        <v>0</v>
      </c>
      <c r="AY40" s="55">
        <f>IFERROR(AV40*(VLOOKUP(AP40,$V$100:$AO$179,12,0)*0.01),0)</f>
        <v>0</v>
      </c>
      <c r="AZ40" s="55">
        <f>IFERROR(AV40*(VLOOKUP(AP40,$V$100:$AO$179,13,0)*0.01),0)</f>
        <v>0</v>
      </c>
      <c r="BA40" s="47"/>
      <c r="BB40" s="47"/>
    </row>
    <row r="41" spans="2:57" ht="20.25" customHeight="1" x14ac:dyDescent="0.25">
      <c r="B41" s="449" t="str">
        <f>IF(AQ6&gt;0,AQ6,"-")</f>
        <v>Termofosfato YOORIN</v>
      </c>
      <c r="C41" s="449"/>
      <c r="D41" s="87" t="str">
        <f t="shared" ref="D41:D49" si="10">IF(J39&gt;0,J39,"-")</f>
        <v>-</v>
      </c>
      <c r="E41" s="365" t="str">
        <f t="shared" ref="E41:E49" si="11">IF(J39&gt;0,"gramas por planta","-")</f>
        <v>-</v>
      </c>
      <c r="F41" s="365"/>
      <c r="G41" s="365"/>
      <c r="H41" s="365"/>
      <c r="I41" s="365"/>
      <c r="J41" s="81">
        <f>AV8</f>
        <v>0</v>
      </c>
      <c r="M41" s="364"/>
      <c r="N41" s="365"/>
      <c r="O41" s="489" t="s">
        <v>308</v>
      </c>
      <c r="P41" s="489"/>
      <c r="Q41" s="489"/>
      <c r="R41" s="53"/>
      <c r="AO41" s="47"/>
      <c r="AP41" s="447" t="str">
        <f>O106</f>
        <v>Sulfato de cobre</v>
      </c>
      <c r="AQ41" s="447"/>
      <c r="AR41" s="55">
        <f>IFERROR($AS$37/((VLOOKUP(AP41,$V$100:$AO$179,11,0)*0.01)),0)</f>
        <v>0</v>
      </c>
      <c r="AS41" s="55">
        <f>IFERROR($AT$37/((VLOOKUP(AP41,$V$100:$AO$179,14,0)*0.01)),0)</f>
        <v>0</v>
      </c>
      <c r="AT41" s="55">
        <f>IFERROR($AU$37/((VLOOKUP(AP41,$V$100:$AO$179,12,0)*0.01)),0)</f>
        <v>0</v>
      </c>
      <c r="AU41" s="55">
        <f>IFERROR($AV$37/((VLOOKUP(AP41,$V$100:$AO$179,13,0)*0.01)),0)</f>
        <v>0</v>
      </c>
      <c r="AV41" s="55">
        <f t="shared" ref="AV41:AV43" si="12">MAX(AR41:AU41)</f>
        <v>0</v>
      </c>
      <c r="AW41" s="55">
        <f>IFERROR(AV41*(VLOOKUP(AP41,$V$100:$AO$179,11,0)*0.01),0)</f>
        <v>0</v>
      </c>
      <c r="AX41" s="55">
        <f>IFERROR(AV41*(VLOOKUP(AP41,$V$100:$AO$179,14,0)*0.01),0)</f>
        <v>0</v>
      </c>
      <c r="AY41" s="55">
        <f>IFERROR(AV41*(VLOOKUP(AP41,$V$100:$AO$179,12,0)*0.01),0)</f>
        <v>0</v>
      </c>
      <c r="AZ41" s="55">
        <f>IFERROR(AV41*(VLOOKUP(AP41,$V$100:$AO$179,13,0)*0.01),0)</f>
        <v>0</v>
      </c>
      <c r="BA41" s="47"/>
      <c r="BB41" s="88"/>
      <c r="BC41" s="25"/>
      <c r="BD41" s="25"/>
      <c r="BE41" s="25"/>
    </row>
    <row r="42" spans="2:57" ht="20.25" customHeight="1" x14ac:dyDescent="0.25">
      <c r="B42" s="449" t="str">
        <f>IF(AQ7&gt;0,AQ7,"-")</f>
        <v>Superfosfato simples</v>
      </c>
      <c r="C42" s="449"/>
      <c r="D42" s="87" t="str">
        <f t="shared" si="10"/>
        <v>-</v>
      </c>
      <c r="E42" s="365" t="str">
        <f t="shared" si="11"/>
        <v>-</v>
      </c>
      <c r="F42" s="365"/>
      <c r="G42" s="365"/>
      <c r="H42" s="365"/>
      <c r="I42" s="365"/>
      <c r="J42" s="81">
        <f>AV12</f>
        <v>83.333333333333343</v>
      </c>
      <c r="M42" s="364"/>
      <c r="N42" s="365"/>
      <c r="O42" s="483" t="s">
        <v>292</v>
      </c>
      <c r="P42" s="513"/>
      <c r="Q42" s="484"/>
      <c r="R42" s="53"/>
      <c r="AO42" s="47"/>
      <c r="AP42" s="447" t="str">
        <f>O107</f>
        <v>Sulfato de zinco</v>
      </c>
      <c r="AQ42" s="447"/>
      <c r="AR42" s="55">
        <f>IFERROR($AS$37/((VLOOKUP(AP42,$V$100:$AO$179,11,0)*0.01)),0)</f>
        <v>0</v>
      </c>
      <c r="AS42" s="55">
        <f>IFERROR($AT$37/((VLOOKUP(AP42,$V$100:$AO$179,14,0)*0.01)),0)</f>
        <v>0</v>
      </c>
      <c r="AT42" s="55">
        <f>IFERROR($AU$37/((VLOOKUP(AP42,$V$100:$AO$179,12,0)*0.01)),0)</f>
        <v>0</v>
      </c>
      <c r="AU42" s="55">
        <f>IFERROR($AV$37/((VLOOKUP(AP42,$V$100:$AO$179,13,0)*0.01)),0)</f>
        <v>0</v>
      </c>
      <c r="AV42" s="55">
        <f t="shared" si="12"/>
        <v>0</v>
      </c>
      <c r="AW42" s="55">
        <f>IFERROR(AV42*(VLOOKUP(AP42,$V$100:$AO$179,11,0)*0.01),0)</f>
        <v>0</v>
      </c>
      <c r="AX42" s="55">
        <f>IFERROR(AV42*(VLOOKUP(AP42,$V$100:$AO$179,14,0)*0.01),0)</f>
        <v>0</v>
      </c>
      <c r="AY42" s="55">
        <f>IFERROR(AV42*(VLOOKUP(AP42,$V$100:$AO$179,12,0)*0.01),0)</f>
        <v>0</v>
      </c>
      <c r="AZ42" s="55">
        <f>IFERROR(AV42*(VLOOKUP(AP42,$V$100:$AO$179,13,0)*0.01),0)</f>
        <v>0</v>
      </c>
      <c r="BA42" s="47"/>
      <c r="BB42" s="47"/>
    </row>
    <row r="43" spans="2:57" ht="20.25" customHeight="1" thickBot="1" x14ac:dyDescent="0.3">
      <c r="B43" s="449" t="str">
        <f>IF(AQ8&gt;0,AQ8,"-")</f>
        <v>-</v>
      </c>
      <c r="C43" s="449"/>
      <c r="D43" s="87" t="str">
        <f t="shared" si="10"/>
        <v>-</v>
      </c>
      <c r="E43" s="365" t="str">
        <f t="shared" si="11"/>
        <v>-</v>
      </c>
      <c r="F43" s="365"/>
      <c r="G43" s="365"/>
      <c r="H43" s="365"/>
      <c r="I43" s="365"/>
      <c r="J43" s="81">
        <f>AV13</f>
        <v>625</v>
      </c>
      <c r="M43" s="69"/>
      <c r="N43" s="70"/>
      <c r="O43" s="70"/>
      <c r="P43" s="70"/>
      <c r="Q43" s="70"/>
      <c r="R43" s="71"/>
      <c r="AO43" s="47"/>
      <c r="AP43" s="447" t="str">
        <f>O108</f>
        <v>Sulfato de manganês</v>
      </c>
      <c r="AQ43" s="447"/>
      <c r="AR43" s="55">
        <f>IFERROR($AS$37/((VLOOKUP(AP43,$V$100:$AO$179,11,0)*0.01)),0)</f>
        <v>0</v>
      </c>
      <c r="AS43" s="55">
        <f>IFERROR($AT$37/((VLOOKUP(AP43,$V$100:$AO$179,14,0)*0.01)),0)</f>
        <v>0</v>
      </c>
      <c r="AT43" s="55">
        <f>IFERROR($AU$37/((VLOOKUP(AP43,$V$100:$AO$179,12,0)*0.01)),0)</f>
        <v>0</v>
      </c>
      <c r="AU43" s="55">
        <f>IFERROR($AV$37/((VLOOKUP(AP43,$V$100:$AO$179,13,0)*0.01)),0)</f>
        <v>0</v>
      </c>
      <c r="AV43" s="55">
        <f t="shared" si="12"/>
        <v>0</v>
      </c>
      <c r="AW43" s="55">
        <f>IFERROR(AV43*(VLOOKUP(AP43,$V$100:$AO$179,11,0)*0.01),0)</f>
        <v>0</v>
      </c>
      <c r="AX43" s="55">
        <f>IFERROR(AV43*(VLOOKUP(AP43,$V$100:$AO$179,14,0)*0.01),0)</f>
        <v>0</v>
      </c>
      <c r="AY43" s="55">
        <f>IFERROR(AV43*(VLOOKUP(AP43,$V$100:$AO$179,12,0)*0.01),0)</f>
        <v>0</v>
      </c>
      <c r="AZ43" s="55">
        <f>IFERROR(AV43*(VLOOKUP(AP43,$V$100:$AO$179,13,0)*0.01),0)</f>
        <v>0</v>
      </c>
      <c r="BA43" s="47"/>
      <c r="BB43" s="47"/>
    </row>
    <row r="44" spans="2:57" ht="20.25" customHeight="1" thickBot="1" x14ac:dyDescent="0.3">
      <c r="B44" s="449" t="str">
        <f>IF(AQ12&gt;0,AQ12,"-")</f>
        <v>Cloreto de potássio</v>
      </c>
      <c r="C44" s="449"/>
      <c r="D44" s="87">
        <f t="shared" si="10"/>
        <v>83.333333333333343</v>
      </c>
      <c r="E44" s="365" t="str">
        <f t="shared" si="11"/>
        <v>gramas por planta</v>
      </c>
      <c r="F44" s="365"/>
      <c r="G44" s="365"/>
      <c r="H44" s="365"/>
      <c r="I44" s="365"/>
      <c r="J44" s="81">
        <f>AV14</f>
        <v>0</v>
      </c>
      <c r="M44" s="362"/>
      <c r="N44" s="362"/>
      <c r="O44" s="362"/>
      <c r="P44" s="362"/>
      <c r="Q44" s="362"/>
      <c r="R44" s="362"/>
      <c r="AO44" s="47"/>
      <c r="AP44" s="447">
        <f>O109</f>
        <v>0</v>
      </c>
      <c r="AQ44" s="447"/>
      <c r="AR44" s="55">
        <f>IFERROR($AS$37/((VLOOKUP(AP44,$V$100:$AO$179,11,0)*0.01)),0)</f>
        <v>0</v>
      </c>
      <c r="AS44" s="55">
        <f>IFERROR($AT$37/((VLOOKUP(AP44,$V$100:$AO$179,14,0)*0.01)),0)</f>
        <v>0</v>
      </c>
      <c r="AT44" s="55">
        <f>IFERROR($AU$37/((VLOOKUP(AP44,$V$100:$AO$179,12,0)*0.01)),0)</f>
        <v>0</v>
      </c>
      <c r="AU44" s="55">
        <f>IFERROR($AV$37/((VLOOKUP(AP44,$V$100:$AO$179,13,0)*0.01)),0)</f>
        <v>0</v>
      </c>
      <c r="AV44" s="55">
        <f>MAX(AR44:AU44)</f>
        <v>0</v>
      </c>
      <c r="AW44" s="55">
        <f>IFERROR(AV44*(VLOOKUP(AP44,$V$100:$AO$179,11,0)*0.01),0)</f>
        <v>0</v>
      </c>
      <c r="AX44" s="55">
        <f>IFERROR(AV44*(VLOOKUP(AP44,$V$100:$AO$179,14,0)*0.01),0)</f>
        <v>0</v>
      </c>
      <c r="AY44" s="55">
        <f>IFERROR(AV44*(VLOOKUP(AP44,$V$100:$AO$179,12,0)*0.01),0)</f>
        <v>0</v>
      </c>
      <c r="AZ44" s="55">
        <f>IFERROR(AV44*(VLOOKUP(AP44,$V$100:$AO$179,13,0)*0.01),0)</f>
        <v>0</v>
      </c>
      <c r="BA44" s="47"/>
      <c r="BB44" s="47"/>
    </row>
    <row r="45" spans="2:57" ht="20.25" customHeight="1" x14ac:dyDescent="0.25">
      <c r="B45" s="449" t="str">
        <f>IF(AQ13&gt;0,AQ13,"-")</f>
        <v>EkoSil</v>
      </c>
      <c r="C45" s="449"/>
      <c r="D45" s="87">
        <f t="shared" si="10"/>
        <v>625</v>
      </c>
      <c r="E45" s="365" t="str">
        <f t="shared" si="11"/>
        <v>gramas por planta</v>
      </c>
      <c r="F45" s="365"/>
      <c r="G45" s="365"/>
      <c r="H45" s="365"/>
      <c r="I45" s="365"/>
      <c r="J45" s="81">
        <f>AV18</f>
        <v>344.82758620689657</v>
      </c>
      <c r="M45" s="48"/>
      <c r="N45" s="49"/>
      <c r="O45" s="499" t="s">
        <v>305</v>
      </c>
      <c r="P45" s="500"/>
      <c r="Q45" s="501"/>
      <c r="R45" s="50"/>
      <c r="U45" s="459" t="s">
        <v>108</v>
      </c>
      <c r="V45" s="460"/>
      <c r="X45" s="457" t="s">
        <v>202</v>
      </c>
      <c r="Y45" s="457"/>
      <c r="Z45" s="457"/>
      <c r="AO45" s="47"/>
      <c r="AP45" s="47"/>
      <c r="AQ45" s="47"/>
      <c r="AR45" s="47"/>
      <c r="AS45" s="47"/>
      <c r="AT45" s="47"/>
      <c r="AU45" s="47"/>
      <c r="AV45" s="47"/>
      <c r="AW45" s="59">
        <f>AS37-(SUM(AW40:AW44))</f>
        <v>0</v>
      </c>
      <c r="AX45" s="59">
        <f>AT37-(SUM(AX40:AX44))</f>
        <v>0</v>
      </c>
      <c r="AY45" s="59">
        <f>AU37-(SUM(AY40:AY44))</f>
        <v>0</v>
      </c>
      <c r="AZ45" s="59">
        <f>AV37-(SUM(AZ40:AZ44))</f>
        <v>0</v>
      </c>
      <c r="BA45" s="47"/>
      <c r="BB45" s="47"/>
    </row>
    <row r="46" spans="2:57" ht="20.25" customHeight="1" x14ac:dyDescent="0.25">
      <c r="B46" s="449" t="str">
        <f>IF(AQ14&gt;0,AQ14,"-")</f>
        <v>-</v>
      </c>
      <c r="C46" s="449"/>
      <c r="D46" s="87" t="str">
        <f t="shared" si="10"/>
        <v>-</v>
      </c>
      <c r="E46" s="365" t="str">
        <f t="shared" si="11"/>
        <v>-</v>
      </c>
      <c r="F46" s="365"/>
      <c r="G46" s="365"/>
      <c r="H46" s="365"/>
      <c r="I46" s="365"/>
      <c r="J46" s="81">
        <f>AV19</f>
        <v>0</v>
      </c>
      <c r="M46" s="364" t="s">
        <v>213</v>
      </c>
      <c r="N46" s="365"/>
      <c r="O46" s="502"/>
      <c r="P46" s="503"/>
      <c r="Q46" s="504"/>
      <c r="R46" s="53"/>
      <c r="U46" s="75" t="s">
        <v>109</v>
      </c>
      <c r="V46" s="89">
        <v>60</v>
      </c>
      <c r="X46" s="455" t="s">
        <v>268</v>
      </c>
      <c r="Y46" s="455"/>
      <c r="Z46" s="63">
        <f>IFERROR(VLOOKUP(O50,$V$87:$AE$95,10,0),0)</f>
        <v>22.778167994795901</v>
      </c>
      <c r="AO46" s="47"/>
      <c r="AP46" s="47"/>
      <c r="AQ46" s="47"/>
      <c r="AR46" s="47"/>
      <c r="AS46" s="47"/>
      <c r="AT46" s="47"/>
      <c r="AU46" s="47"/>
      <c r="AV46" s="47"/>
      <c r="AW46" s="47"/>
      <c r="AX46" s="47"/>
      <c r="AY46" s="47"/>
      <c r="AZ46" s="47"/>
      <c r="BA46" s="47"/>
      <c r="BB46" s="47"/>
    </row>
    <row r="47" spans="2:57" ht="20.25" customHeight="1" x14ac:dyDescent="0.25">
      <c r="B47" s="449" t="str">
        <f>IF(AQ18&gt;0,AQ18,"-")</f>
        <v>Nitrato de Amônio</v>
      </c>
      <c r="C47" s="449"/>
      <c r="D47" s="87">
        <f t="shared" si="10"/>
        <v>344.82758620689657</v>
      </c>
      <c r="E47" s="365" t="str">
        <f t="shared" si="11"/>
        <v>gramas por planta</v>
      </c>
      <c r="F47" s="365"/>
      <c r="G47" s="365"/>
      <c r="H47" s="365"/>
      <c r="I47" s="365"/>
      <c r="J47" s="81">
        <f>AV20</f>
        <v>0</v>
      </c>
      <c r="M47" s="364"/>
      <c r="N47" s="365"/>
      <c r="O47" s="481" t="s">
        <v>138</v>
      </c>
      <c r="P47" s="482"/>
      <c r="Q47" s="90">
        <v>0.5</v>
      </c>
      <c r="R47" s="53"/>
      <c r="U47" s="51" t="s">
        <v>111</v>
      </c>
      <c r="V47" s="63">
        <f>IFERROR((((V46-P24)*P25)/V49),0)</f>
        <v>0.70104482642399735</v>
      </c>
      <c r="X47" s="455" t="s">
        <v>203</v>
      </c>
      <c r="Y47" s="455"/>
      <c r="Z47" s="63">
        <f>IFERROR((($V$50/$Z$46)*$V$47),0)</f>
        <v>1.421899732594315</v>
      </c>
      <c r="AO47" s="47"/>
      <c r="BA47" s="47"/>
      <c r="BB47" s="47"/>
    </row>
    <row r="48" spans="2:57" ht="20.25" customHeight="1" x14ac:dyDescent="0.25">
      <c r="B48" s="449" t="str">
        <f>IF(AQ19&gt;0,AQ19,"-")</f>
        <v>-</v>
      </c>
      <c r="C48" s="449"/>
      <c r="D48" s="87" t="str">
        <f t="shared" si="10"/>
        <v>-</v>
      </c>
      <c r="E48" s="365" t="str">
        <f t="shared" si="11"/>
        <v>-</v>
      </c>
      <c r="F48" s="365"/>
      <c r="G48" s="365"/>
      <c r="H48" s="365"/>
      <c r="I48" s="365"/>
      <c r="J48" s="91"/>
      <c r="M48" s="364"/>
      <c r="N48" s="365"/>
      <c r="O48" s="603" t="s">
        <v>306</v>
      </c>
      <c r="P48" s="575"/>
      <c r="Q48" s="604"/>
      <c r="R48" s="53"/>
      <c r="U48" s="51" t="s">
        <v>201</v>
      </c>
      <c r="V48" s="63">
        <f>IF(V47&lt;0,(0),IF(V47&gt;=0,(V47)))</f>
        <v>0.70104482642399735</v>
      </c>
      <c r="X48" s="455" t="s">
        <v>201</v>
      </c>
      <c r="Y48" s="455"/>
      <c r="Z48" s="63">
        <f>IFERROR(IF(Z47&lt;0,(0),IF(Z47&gt;=0,(Z47))),0)</f>
        <v>1.421899732594315</v>
      </c>
    </row>
    <row r="49" spans="2:50" ht="20.25" customHeight="1" x14ac:dyDescent="0.25">
      <c r="B49" s="449" t="str">
        <f>IF(AQ20&gt;0,AQ20,"-")</f>
        <v>-</v>
      </c>
      <c r="C49" s="449"/>
      <c r="D49" s="87" t="str">
        <f t="shared" si="10"/>
        <v>-</v>
      </c>
      <c r="E49" s="365" t="str">
        <f t="shared" si="11"/>
        <v>-</v>
      </c>
      <c r="F49" s="365"/>
      <c r="G49" s="365"/>
      <c r="H49" s="365"/>
      <c r="I49" s="365"/>
      <c r="M49" s="364"/>
      <c r="N49" s="365"/>
      <c r="O49" s="605"/>
      <c r="P49" s="576"/>
      <c r="Q49" s="606"/>
      <c r="R49" s="53"/>
      <c r="U49" s="51" t="s">
        <v>110</v>
      </c>
      <c r="V49" s="63">
        <f>IFERROR(VLOOKUP($O$47,$V$56:$AA$68,5,0),0)</f>
        <v>89.01</v>
      </c>
      <c r="X49" s="455" t="s">
        <v>273</v>
      </c>
      <c r="Y49" s="455"/>
      <c r="Z49" s="63">
        <f>Z48*$Q$50</f>
        <v>0.71094986629715751</v>
      </c>
    </row>
    <row r="50" spans="2:50" ht="20.25" customHeight="1" x14ac:dyDescent="0.25">
      <c r="B50" s="476" t="s">
        <v>535</v>
      </c>
      <c r="C50" s="476"/>
      <c r="D50" s="476"/>
      <c r="E50" s="476"/>
      <c r="F50" s="476"/>
      <c r="G50" s="476"/>
      <c r="H50" s="476"/>
      <c r="I50" s="476"/>
      <c r="M50" s="364"/>
      <c r="N50" s="365"/>
      <c r="O50" s="483" t="s">
        <v>493</v>
      </c>
      <c r="P50" s="484"/>
      <c r="Q50" s="92">
        <v>0.5</v>
      </c>
      <c r="R50" s="53"/>
      <c r="U50" s="51" t="s">
        <v>193</v>
      </c>
      <c r="V50" s="63">
        <f>IFERROR(VLOOKUP($O$47,$V$56:$AA$68,6,0),0)</f>
        <v>46.2</v>
      </c>
      <c r="AT50" s="457" t="s">
        <v>280</v>
      </c>
      <c r="AU50" s="457"/>
      <c r="AV50" s="457"/>
      <c r="AW50" s="457"/>
    </row>
    <row r="51" spans="2:50" ht="20.25" customHeight="1" thickBot="1" x14ac:dyDescent="0.3">
      <c r="B51" s="476"/>
      <c r="C51" s="476"/>
      <c r="D51" s="476"/>
      <c r="E51" s="476"/>
      <c r="F51" s="476"/>
      <c r="G51" s="476"/>
      <c r="H51" s="476"/>
      <c r="I51" s="476"/>
      <c r="M51" s="69"/>
      <c r="N51" s="70"/>
      <c r="O51" s="70"/>
      <c r="P51" s="70"/>
      <c r="Q51" s="70"/>
      <c r="R51" s="71"/>
      <c r="U51" s="51" t="s">
        <v>273</v>
      </c>
      <c r="V51" s="63">
        <f>V48*$Q$47</f>
        <v>0.35052241321199867</v>
      </c>
      <c r="AT51" s="51">
        <v>0</v>
      </c>
      <c r="AU51" s="93" t="s">
        <v>286</v>
      </c>
      <c r="AV51" s="93" t="str">
        <f>CONCATENATE(AT51," - ",AU51)</f>
        <v>0 - Composto de lixo (COL)</v>
      </c>
      <c r="AW51" s="51">
        <v>15</v>
      </c>
    </row>
    <row r="52" spans="2:50" ht="20.25" customHeight="1" thickBot="1" x14ac:dyDescent="0.3">
      <c r="B52" s="476"/>
      <c r="C52" s="476"/>
      <c r="D52" s="476"/>
      <c r="E52" s="476"/>
      <c r="F52" s="476"/>
      <c r="G52" s="476"/>
      <c r="H52" s="476"/>
      <c r="I52" s="476"/>
      <c r="AT52" s="51">
        <v>1</v>
      </c>
      <c r="AU52" s="93" t="s">
        <v>286</v>
      </c>
      <c r="AV52" s="93" t="str">
        <f t="shared" ref="AV52:AV95" si="13">CONCATENATE(AT52," - ",AU52)</f>
        <v>1 - Composto de lixo (COL)</v>
      </c>
      <c r="AW52" s="51">
        <v>5</v>
      </c>
    </row>
    <row r="53" spans="2:50" ht="20.25" customHeight="1" thickBot="1" x14ac:dyDescent="0.3">
      <c r="B53" s="477"/>
      <c r="C53" s="477"/>
      <c r="D53" s="477"/>
      <c r="E53" s="477"/>
      <c r="F53" s="477"/>
      <c r="G53" s="477"/>
      <c r="H53" s="477"/>
      <c r="I53" s="477"/>
      <c r="M53" s="48"/>
      <c r="N53" s="49"/>
      <c r="O53" s="49"/>
      <c r="P53" s="49"/>
      <c r="Q53" s="49"/>
      <c r="R53" s="50"/>
      <c r="AP53" s="108"/>
      <c r="AQ53" s="108"/>
      <c r="AS53" s="108"/>
      <c r="AT53" s="51">
        <v>2</v>
      </c>
      <c r="AU53" s="93" t="s">
        <v>286</v>
      </c>
      <c r="AV53" s="93" t="str">
        <f t="shared" si="13"/>
        <v>2 - Composto de lixo (COL)</v>
      </c>
      <c r="AW53" s="51">
        <v>10</v>
      </c>
    </row>
    <row r="54" spans="2:50" ht="20.25" customHeight="1" thickBot="1" x14ac:dyDescent="0.3">
      <c r="B54" s="485" t="s">
        <v>256</v>
      </c>
      <c r="C54" s="486"/>
      <c r="D54" s="486"/>
      <c r="E54" s="486"/>
      <c r="F54" s="486"/>
      <c r="G54" s="486"/>
      <c r="H54" s="486"/>
      <c r="I54" s="487"/>
      <c r="M54" s="364" t="s">
        <v>214</v>
      </c>
      <c r="N54" s="365"/>
      <c r="O54" s="473" t="s">
        <v>307</v>
      </c>
      <c r="P54" s="474"/>
      <c r="Q54" s="475"/>
      <c r="R54" s="53"/>
      <c r="U54" s="344" t="s">
        <v>136</v>
      </c>
      <c r="V54" s="344" t="s">
        <v>76</v>
      </c>
      <c r="W54" s="344" t="s">
        <v>77</v>
      </c>
      <c r="X54" s="344" t="s">
        <v>78</v>
      </c>
      <c r="Y54" s="344"/>
      <c r="Z54" s="344"/>
      <c r="AA54" s="344"/>
      <c r="AP54" s="465"/>
      <c r="AQ54" s="465"/>
      <c r="AS54" s="465"/>
      <c r="AT54" s="51">
        <v>3</v>
      </c>
      <c r="AU54" s="93" t="s">
        <v>286</v>
      </c>
      <c r="AV54" s="93" t="str">
        <f t="shared" si="13"/>
        <v>3 - Composto de lixo (COL)</v>
      </c>
      <c r="AW54" s="51">
        <v>15</v>
      </c>
    </row>
    <row r="55" spans="2:50" ht="20.25" customHeight="1" x14ac:dyDescent="0.25">
      <c r="B55" s="449" t="str">
        <f>IF(AP40&gt;0,AP40,"-")</f>
        <v>Ácido Bórico</v>
      </c>
      <c r="C55" s="449"/>
      <c r="D55" s="87">
        <f>IF(AV40&gt;0,AV40,"-")</f>
        <v>5.1415763546798026</v>
      </c>
      <c r="E55" s="365" t="str">
        <f>IF(AV40&gt;0,"gramas por planta","-")</f>
        <v>gramas por planta</v>
      </c>
      <c r="F55" s="365"/>
      <c r="G55" s="365"/>
      <c r="H55" s="365"/>
      <c r="I55" s="365"/>
      <c r="M55" s="364"/>
      <c r="N55" s="365"/>
      <c r="O55" s="448" t="s">
        <v>153</v>
      </c>
      <c r="P55" s="448"/>
      <c r="Q55" s="448"/>
      <c r="R55" s="53"/>
      <c r="U55" s="344"/>
      <c r="V55" s="344"/>
      <c r="W55" s="344"/>
      <c r="X55" s="95" t="s">
        <v>105</v>
      </c>
      <c r="Y55" s="95" t="s">
        <v>106</v>
      </c>
      <c r="Z55" s="95" t="s">
        <v>107</v>
      </c>
      <c r="AA55" s="95" t="s">
        <v>195</v>
      </c>
      <c r="AP55" s="465"/>
      <c r="AQ55" s="465"/>
      <c r="AS55" s="465"/>
      <c r="AT55" s="51">
        <v>4</v>
      </c>
      <c r="AU55" s="93" t="s">
        <v>286</v>
      </c>
      <c r="AV55" s="93" t="str">
        <f t="shared" si="13"/>
        <v>4 - Composto de lixo (COL)</v>
      </c>
      <c r="AW55" s="51">
        <v>5</v>
      </c>
    </row>
    <row r="56" spans="2:50" ht="20.25" customHeight="1" x14ac:dyDescent="0.25">
      <c r="B56" s="449" t="str">
        <f>IF(AP41&gt;0,AP41,"-")</f>
        <v>Sulfato de cobre</v>
      </c>
      <c r="C56" s="449"/>
      <c r="D56" s="87" t="str">
        <f>IF(AV41&gt;0,AV41,"-")</f>
        <v>-</v>
      </c>
      <c r="E56" s="365" t="str">
        <f>IF(AV41&gt;0,"gramas por planta","-")</f>
        <v>-</v>
      </c>
      <c r="F56" s="365"/>
      <c r="G56" s="365"/>
      <c r="H56" s="365"/>
      <c r="I56" s="365"/>
      <c r="M56" s="364"/>
      <c r="N56" s="365"/>
      <c r="O56" s="490" t="s">
        <v>304</v>
      </c>
      <c r="P56" s="491"/>
      <c r="Q56" s="492"/>
      <c r="R56" s="53"/>
      <c r="U56" s="345" t="s">
        <v>185</v>
      </c>
      <c r="V56" s="96" t="str">
        <f>'Adubos e corretivos'!C87</f>
        <v>ARAGUAIA Calcítico</v>
      </c>
      <c r="W56" s="96">
        <f>'Adubos e corretivos'!D87</f>
        <v>0</v>
      </c>
      <c r="X56" s="96">
        <f>'Adubos e corretivos'!E87</f>
        <v>51.8</v>
      </c>
      <c r="Y56" s="96">
        <f>'Adubos e corretivos'!F87</f>
        <v>1</v>
      </c>
      <c r="Z56" s="96">
        <f>'Adubos e corretivos'!G87</f>
        <v>90.16</v>
      </c>
      <c r="AA56" s="96">
        <f>'Adubos e corretivos'!H87</f>
        <v>52.8</v>
      </c>
      <c r="AP56" s="25"/>
      <c r="AQ56" s="25"/>
      <c r="AS56" s="25"/>
      <c r="AT56" s="75">
        <v>0</v>
      </c>
      <c r="AU56" s="97" t="s">
        <v>293</v>
      </c>
      <c r="AV56" s="97" t="str">
        <f t="shared" si="13"/>
        <v>0 - Cama de frango corte</v>
      </c>
      <c r="AW56" s="75">
        <v>4</v>
      </c>
      <c r="AX56" s="25"/>
    </row>
    <row r="57" spans="2:50" ht="20.25" customHeight="1" x14ac:dyDescent="0.25">
      <c r="B57" s="449" t="str">
        <f>IF(AP42&gt;0,AP42,"-")</f>
        <v>Sulfato de zinco</v>
      </c>
      <c r="C57" s="449"/>
      <c r="D57" s="87" t="str">
        <f>IF(AV42&gt;0,AV42,"-")</f>
        <v>-</v>
      </c>
      <c r="E57" s="365" t="str">
        <f t="shared" ref="E57:E59" si="14">IF(AV42&gt;0,"gramas por planta","-")</f>
        <v>-</v>
      </c>
      <c r="F57" s="365"/>
      <c r="G57" s="365"/>
      <c r="H57" s="365"/>
      <c r="I57" s="365"/>
      <c r="M57" s="364"/>
      <c r="N57" s="365"/>
      <c r="O57" s="493"/>
      <c r="P57" s="494"/>
      <c r="Q57" s="495"/>
      <c r="R57" s="53"/>
      <c r="U57" s="345"/>
      <c r="V57" s="96" t="str">
        <f>'Adubos e corretivos'!C88</f>
        <v>ARAGUAIA Dolomítico</v>
      </c>
      <c r="W57" s="96">
        <f>'Adubos e corretivos'!D88</f>
        <v>0</v>
      </c>
      <c r="X57" s="96">
        <f>'Adubos e corretivos'!E88</f>
        <v>28.8</v>
      </c>
      <c r="Y57" s="96">
        <f>'Adubos e corretivos'!F88</f>
        <v>17.399999999999999</v>
      </c>
      <c r="Z57" s="96">
        <f>'Adubos e corretivos'!G88</f>
        <v>89.01</v>
      </c>
      <c r="AA57" s="96">
        <f>'Adubos e corretivos'!H88</f>
        <v>46.2</v>
      </c>
      <c r="AP57" s="25"/>
      <c r="AQ57" s="463" t="s">
        <v>294</v>
      </c>
      <c r="AR57" s="463"/>
      <c r="AS57" s="25"/>
      <c r="AT57" s="75">
        <v>1</v>
      </c>
      <c r="AU57" s="97" t="s">
        <v>293</v>
      </c>
      <c r="AV57" s="97" t="str">
        <f t="shared" si="13"/>
        <v>1 - Cama de frango corte</v>
      </c>
      <c r="AW57" s="75">
        <v>1</v>
      </c>
    </row>
    <row r="58" spans="2:50" ht="20.25" customHeight="1" x14ac:dyDescent="0.25">
      <c r="B58" s="449" t="str">
        <f>IF(AP43&gt;0,AP43,"-")</f>
        <v>Sulfato de manganês</v>
      </c>
      <c r="C58" s="449"/>
      <c r="D58" s="87" t="str">
        <f>IF(AV43&gt;0,AV43,"-")</f>
        <v>-</v>
      </c>
      <c r="E58" s="365" t="str">
        <f t="shared" si="14"/>
        <v>-</v>
      </c>
      <c r="F58" s="365"/>
      <c r="G58" s="365"/>
      <c r="H58" s="365"/>
      <c r="I58" s="365"/>
      <c r="M58" s="364"/>
      <c r="N58" s="365"/>
      <c r="O58" s="493"/>
      <c r="P58" s="494"/>
      <c r="Q58" s="495"/>
      <c r="R58" s="53"/>
      <c r="U58" s="345"/>
      <c r="V58" s="96" t="str">
        <f>'Adubos e corretivos'!C89</f>
        <v>BRICCAL Calcítico</v>
      </c>
      <c r="W58" s="96">
        <f>'Adubos e corretivos'!D89</f>
        <v>0</v>
      </c>
      <c r="X58" s="96">
        <f>'Adubos e corretivos'!E89</f>
        <v>41.78</v>
      </c>
      <c r="Y58" s="96">
        <f>'Adubos e corretivos'!F89</f>
        <v>2.2200000000000002</v>
      </c>
      <c r="Z58" s="96">
        <f>'Adubos e corretivos'!G89</f>
        <v>80.239999999999995</v>
      </c>
      <c r="AA58" s="96">
        <f>'Adubos e corretivos'!H89</f>
        <v>44</v>
      </c>
      <c r="AP58" s="25"/>
      <c r="AQ58" s="463" t="str">
        <f>CONCATENATE($P$39," - ",$O$42)</f>
        <v>1 - Esterco Bovino curtido</v>
      </c>
      <c r="AR58" s="463"/>
      <c r="AS58" s="25"/>
      <c r="AT58" s="75">
        <v>2</v>
      </c>
      <c r="AU58" s="97" t="s">
        <v>293</v>
      </c>
      <c r="AV58" s="97" t="str">
        <f t="shared" si="13"/>
        <v>2 - Cama de frango corte</v>
      </c>
      <c r="AW58" s="75">
        <v>3</v>
      </c>
    </row>
    <row r="59" spans="2:50" ht="20.25" customHeight="1" x14ac:dyDescent="0.25">
      <c r="B59" s="449" t="str">
        <f>IF(AP44&gt;0,AP44,"-")</f>
        <v>-</v>
      </c>
      <c r="C59" s="449"/>
      <c r="D59" s="87" t="str">
        <f>IF(AV44&gt;0,AV44,"-")</f>
        <v>-</v>
      </c>
      <c r="E59" s="365" t="str">
        <f t="shared" si="14"/>
        <v>-</v>
      </c>
      <c r="F59" s="365"/>
      <c r="G59" s="365"/>
      <c r="H59" s="365"/>
      <c r="I59" s="365"/>
      <c r="M59" s="364"/>
      <c r="N59" s="365"/>
      <c r="O59" s="493"/>
      <c r="P59" s="494"/>
      <c r="Q59" s="495"/>
      <c r="R59" s="53"/>
      <c r="U59" s="345"/>
      <c r="V59" s="96" t="str">
        <f>'Adubos e corretivos'!C90</f>
        <v>BRITACAL Dolomítico</v>
      </c>
      <c r="W59" s="96">
        <f>'Adubos e corretivos'!D90</f>
        <v>0</v>
      </c>
      <c r="X59" s="96">
        <f>'Adubos e corretivos'!E90</f>
        <v>28</v>
      </c>
      <c r="Y59" s="96">
        <f>'Adubos e corretivos'!F90</f>
        <v>15</v>
      </c>
      <c r="Z59" s="96">
        <f>'Adubos e corretivos'!G90</f>
        <v>80</v>
      </c>
      <c r="AA59" s="96">
        <f>'Adubos e corretivos'!H90</f>
        <v>43</v>
      </c>
      <c r="AP59" s="25"/>
      <c r="AQ59" s="456">
        <f>IFERROR(VLOOKUP(AQ58,AV51:AW95,2,0),0)</f>
        <v>5</v>
      </c>
      <c r="AR59" s="456"/>
      <c r="AS59" s="25"/>
      <c r="AT59" s="75">
        <v>3</v>
      </c>
      <c r="AU59" s="97" t="s">
        <v>293</v>
      </c>
      <c r="AV59" s="97" t="str">
        <f t="shared" si="13"/>
        <v>3 - Cama de frango corte</v>
      </c>
      <c r="AW59" s="75">
        <v>4</v>
      </c>
    </row>
    <row r="60" spans="2:50" ht="20.25" customHeight="1" x14ac:dyDescent="0.25">
      <c r="B60" s="476" t="s">
        <v>536</v>
      </c>
      <c r="C60" s="476"/>
      <c r="D60" s="476"/>
      <c r="E60" s="476"/>
      <c r="F60" s="476"/>
      <c r="G60" s="476"/>
      <c r="H60" s="476"/>
      <c r="I60" s="476"/>
      <c r="M60" s="364"/>
      <c r="N60" s="365"/>
      <c r="O60" s="493"/>
      <c r="P60" s="494"/>
      <c r="Q60" s="495"/>
      <c r="R60" s="53"/>
      <c r="U60" s="345"/>
      <c r="V60" s="96" t="str">
        <f>'Adubos e corretivos'!C91</f>
        <v>BRITACAL Filler</v>
      </c>
      <c r="W60" s="96">
        <f>'Adubos e corretivos'!D91</f>
        <v>0</v>
      </c>
      <c r="X60" s="96">
        <f>'Adubos e corretivos'!E91</f>
        <v>32</v>
      </c>
      <c r="Y60" s="96">
        <f>'Adubos e corretivos'!F91</f>
        <v>15</v>
      </c>
      <c r="Z60" s="96">
        <f>'Adubos e corretivos'!G91</f>
        <v>94</v>
      </c>
      <c r="AA60" s="96">
        <f>'Adubos e corretivos'!H91</f>
        <v>47</v>
      </c>
      <c r="AP60" s="25"/>
      <c r="AQ60" s="25"/>
      <c r="AS60" s="25"/>
      <c r="AT60" s="75">
        <v>4</v>
      </c>
      <c r="AU60" s="97" t="s">
        <v>293</v>
      </c>
      <c r="AV60" s="97" t="str">
        <f t="shared" si="13"/>
        <v>4 - Cama de frango corte</v>
      </c>
      <c r="AW60" s="75">
        <v>1</v>
      </c>
    </row>
    <row r="61" spans="2:50" ht="20.25" customHeight="1" x14ac:dyDescent="0.25">
      <c r="B61" s="476"/>
      <c r="C61" s="476"/>
      <c r="D61" s="476"/>
      <c r="E61" s="476"/>
      <c r="F61" s="476"/>
      <c r="G61" s="476"/>
      <c r="H61" s="476"/>
      <c r="I61" s="476"/>
      <c r="M61" s="364"/>
      <c r="N61" s="365"/>
      <c r="O61" s="493"/>
      <c r="P61" s="494"/>
      <c r="Q61" s="495"/>
      <c r="R61" s="53"/>
      <c r="U61" s="345"/>
      <c r="V61" s="96" t="str">
        <f>'Adubos e corretivos'!C92</f>
        <v>BRITACAL Calcítico</v>
      </c>
      <c r="W61" s="96">
        <f>'Adubos e corretivos'!D92</f>
        <v>0</v>
      </c>
      <c r="X61" s="96">
        <f>'Adubos e corretivos'!E92</f>
        <v>51.6</v>
      </c>
      <c r="Y61" s="96">
        <f>'Adubos e corretivos'!F92</f>
        <v>2</v>
      </c>
      <c r="Z61" s="96">
        <f>'Adubos e corretivos'!G92</f>
        <v>82.1</v>
      </c>
      <c r="AA61" s="96">
        <f>'Adubos e corretivos'!H92</f>
        <v>53.6</v>
      </c>
      <c r="AP61" s="25"/>
      <c r="AQ61" s="25"/>
      <c r="AS61" s="25"/>
      <c r="AT61" s="51">
        <v>0</v>
      </c>
      <c r="AU61" s="93" t="s">
        <v>158</v>
      </c>
      <c r="AV61" s="93" t="str">
        <f t="shared" si="13"/>
        <v>0 - Esterco de galinha</v>
      </c>
      <c r="AW61" s="51">
        <v>6</v>
      </c>
    </row>
    <row r="62" spans="2:50" ht="20.25" customHeight="1" x14ac:dyDescent="0.25">
      <c r="B62" s="476"/>
      <c r="C62" s="476"/>
      <c r="D62" s="476"/>
      <c r="E62" s="476"/>
      <c r="F62" s="476"/>
      <c r="G62" s="476"/>
      <c r="H62" s="476"/>
      <c r="I62" s="476"/>
      <c r="M62" s="364"/>
      <c r="N62" s="365"/>
      <c r="O62" s="493"/>
      <c r="P62" s="494"/>
      <c r="Q62" s="495"/>
      <c r="R62" s="53"/>
      <c r="U62" s="345"/>
      <c r="V62" s="96" t="str">
        <f>'Adubos e corretivos'!C93</f>
        <v>PIRECAL Dolomítico</v>
      </c>
      <c r="W62" s="96">
        <f>'Adubos e corretivos'!D93</f>
        <v>0</v>
      </c>
      <c r="X62" s="96">
        <f>'Adubos e corretivos'!E93</f>
        <v>29.7</v>
      </c>
      <c r="Y62" s="96">
        <f>'Adubos e corretivos'!F93</f>
        <v>21.6</v>
      </c>
      <c r="Z62" s="96">
        <f>'Adubos e corretivos'!G93</f>
        <v>99.3</v>
      </c>
      <c r="AA62" s="96">
        <f>'Adubos e corretivos'!H93</f>
        <v>51.3</v>
      </c>
      <c r="AT62" s="51">
        <v>1</v>
      </c>
      <c r="AU62" s="93" t="s">
        <v>158</v>
      </c>
      <c r="AV62" s="93" t="str">
        <f t="shared" si="13"/>
        <v>1 - Esterco de galinha</v>
      </c>
      <c r="AW62" s="51">
        <v>2</v>
      </c>
    </row>
    <row r="63" spans="2:50" ht="20.25" customHeight="1" thickBot="1" x14ac:dyDescent="0.3">
      <c r="B63" s="477"/>
      <c r="C63" s="477"/>
      <c r="D63" s="477"/>
      <c r="E63" s="477"/>
      <c r="F63" s="477"/>
      <c r="G63" s="477"/>
      <c r="H63" s="477"/>
      <c r="I63" s="477"/>
      <c r="M63" s="364"/>
      <c r="N63" s="365"/>
      <c r="O63" s="493"/>
      <c r="P63" s="494"/>
      <c r="Q63" s="495"/>
      <c r="R63" s="53"/>
      <c r="U63" s="345"/>
      <c r="V63" s="96" t="str">
        <f>'Adubos e corretivos'!C94</f>
        <v>Calcário Itaú Filler</v>
      </c>
      <c r="W63" s="96">
        <f>'Adubos e corretivos'!D94</f>
        <v>0</v>
      </c>
      <c r="X63" s="96">
        <f>'Adubos e corretivos'!E94</f>
        <v>40</v>
      </c>
      <c r="Y63" s="96">
        <f>'Adubos e corretivos'!F94</f>
        <v>20</v>
      </c>
      <c r="Z63" s="96">
        <f>'Adubos e corretivos'!G94</f>
        <v>96</v>
      </c>
      <c r="AA63" s="96">
        <f>'Adubos e corretivos'!H94</f>
        <v>60</v>
      </c>
      <c r="AT63" s="51">
        <v>2</v>
      </c>
      <c r="AU63" s="93" t="s">
        <v>158</v>
      </c>
      <c r="AV63" s="93" t="str">
        <f t="shared" si="13"/>
        <v>2 - Esterco de galinha</v>
      </c>
      <c r="AW63" s="51">
        <v>4</v>
      </c>
    </row>
    <row r="64" spans="2:50" ht="20.25" customHeight="1" x14ac:dyDescent="0.25">
      <c r="B64" s="361"/>
      <c r="C64" s="362"/>
      <c r="D64" s="362"/>
      <c r="E64" s="363"/>
      <c r="F64" s="361"/>
      <c r="G64" s="362"/>
      <c r="H64" s="362"/>
      <c r="I64" s="363"/>
      <c r="M64" s="364"/>
      <c r="N64" s="365"/>
      <c r="O64" s="496"/>
      <c r="P64" s="497"/>
      <c r="Q64" s="498"/>
      <c r="R64" s="53"/>
      <c r="U64" s="345"/>
      <c r="V64" s="96" t="str">
        <f>'Adubos e corretivos'!C95</f>
        <v>PIRINEUS Dolomítico</v>
      </c>
      <c r="W64" s="96">
        <f>'Adubos e corretivos'!D95</f>
        <v>0</v>
      </c>
      <c r="X64" s="96">
        <f>'Adubos e corretivos'!E95</f>
        <v>34.299999999999997</v>
      </c>
      <c r="Y64" s="96">
        <f>'Adubos e corretivos'!F95</f>
        <v>16.2</v>
      </c>
      <c r="Z64" s="96">
        <f>'Adubos e corretivos'!G95</f>
        <v>95.25</v>
      </c>
      <c r="AA64" s="96">
        <f>'Adubos e corretivos'!H95</f>
        <v>50.5</v>
      </c>
      <c r="AT64" s="51">
        <v>3</v>
      </c>
      <c r="AU64" s="93" t="s">
        <v>158</v>
      </c>
      <c r="AV64" s="93" t="str">
        <f t="shared" si="13"/>
        <v>3 - Esterco de galinha</v>
      </c>
      <c r="AW64" s="51">
        <v>6</v>
      </c>
    </row>
    <row r="65" spans="2:49" ht="20.25" customHeight="1" x14ac:dyDescent="0.25">
      <c r="B65" s="364"/>
      <c r="C65" s="365"/>
      <c r="D65" s="365"/>
      <c r="E65" s="366"/>
      <c r="F65" s="364"/>
      <c r="G65" s="365"/>
      <c r="H65" s="365"/>
      <c r="I65" s="366"/>
      <c r="M65" s="364"/>
      <c r="N65" s="365"/>
      <c r="O65" s="25"/>
      <c r="P65" s="25"/>
      <c r="Q65" s="25"/>
      <c r="R65" s="53"/>
      <c r="U65" s="345"/>
      <c r="V65" s="96" t="str">
        <f>'Adubos e corretivos'!C96</f>
        <v>PIRINEUS Calcítico</v>
      </c>
      <c r="W65" s="96">
        <f>'Adubos e corretivos'!D96</f>
        <v>0</v>
      </c>
      <c r="X65" s="96">
        <f>'Adubos e corretivos'!E96</f>
        <v>53.2</v>
      </c>
      <c r="Y65" s="96">
        <f>'Adubos e corretivos'!F96</f>
        <v>1</v>
      </c>
      <c r="Z65" s="96">
        <f>'Adubos e corretivos'!G96</f>
        <v>90.52</v>
      </c>
      <c r="AA65" s="96">
        <f>'Adubos e corretivos'!H96</f>
        <v>54.2</v>
      </c>
      <c r="AT65" s="51">
        <v>4</v>
      </c>
      <c r="AU65" s="93" t="s">
        <v>158</v>
      </c>
      <c r="AV65" s="93" t="str">
        <f t="shared" si="13"/>
        <v>4 - Esterco de galinha</v>
      </c>
      <c r="AW65" s="51">
        <v>2</v>
      </c>
    </row>
    <row r="66" spans="2:49" ht="20.25" customHeight="1" thickBot="1" x14ac:dyDescent="0.3">
      <c r="B66" s="367"/>
      <c r="C66" s="368"/>
      <c r="D66" s="368"/>
      <c r="E66" s="369"/>
      <c r="F66" s="367"/>
      <c r="G66" s="368"/>
      <c r="H66" s="368"/>
      <c r="I66" s="369"/>
      <c r="M66" s="364"/>
      <c r="N66" s="365"/>
      <c r="O66" s="467" t="s">
        <v>199</v>
      </c>
      <c r="P66" s="468"/>
      <c r="Q66" s="469"/>
      <c r="R66" s="53"/>
      <c r="U66" s="345"/>
      <c r="V66" s="96" t="str">
        <f>'Adubos e corretivos'!C97</f>
        <v>TERRA BRANCA Calcítico</v>
      </c>
      <c r="W66" s="96">
        <f>'Adubos e corretivos'!D97</f>
        <v>0</v>
      </c>
      <c r="X66" s="96">
        <f>'Adubos e corretivos'!E97</f>
        <v>42.1</v>
      </c>
      <c r="Y66" s="96">
        <f>'Adubos e corretivos'!F97</f>
        <v>5.25</v>
      </c>
      <c r="Z66" s="96">
        <f>'Adubos e corretivos'!G97</f>
        <v>77.8</v>
      </c>
      <c r="AA66" s="96">
        <f>'Adubos e corretivos'!H97</f>
        <v>47.35</v>
      </c>
      <c r="AT66" s="75">
        <v>0</v>
      </c>
      <c r="AU66" s="97" t="s">
        <v>292</v>
      </c>
      <c r="AV66" s="97" t="str">
        <f t="shared" si="13"/>
        <v>0 - Esterco Bovino curtido</v>
      </c>
      <c r="AW66" s="75">
        <v>12</v>
      </c>
    </row>
    <row r="67" spans="2:49" ht="20.25" customHeight="1" x14ac:dyDescent="0.25">
      <c r="B67" s="370" t="s">
        <v>132</v>
      </c>
      <c r="C67" s="370"/>
      <c r="D67" s="370"/>
      <c r="E67" s="371"/>
      <c r="F67" s="370" t="s">
        <v>133</v>
      </c>
      <c r="G67" s="370"/>
      <c r="H67" s="370"/>
      <c r="I67" s="370"/>
      <c r="M67" s="364"/>
      <c r="N67" s="365"/>
      <c r="O67" s="470"/>
      <c r="P67" s="471"/>
      <c r="Q67" s="472"/>
      <c r="R67" s="53"/>
      <c r="U67" s="345"/>
      <c r="V67" s="96" t="str">
        <f>'Adubos e corretivos'!C98</f>
        <v>GOIAS Filler Calcítico</v>
      </c>
      <c r="W67" s="96">
        <f>'Adubos e corretivos'!D98</f>
        <v>0</v>
      </c>
      <c r="X67" s="96">
        <f>'Adubos e corretivos'!E98</f>
        <v>48</v>
      </c>
      <c r="Y67" s="96">
        <f>'Adubos e corretivos'!F98</f>
        <v>5</v>
      </c>
      <c r="Z67" s="96">
        <f>'Adubos e corretivos'!G98</f>
        <v>90.62</v>
      </c>
      <c r="AA67" s="96">
        <f>'Adubos e corretivos'!H98</f>
        <v>53</v>
      </c>
      <c r="AT67" s="75">
        <v>1</v>
      </c>
      <c r="AU67" s="97" t="s">
        <v>292</v>
      </c>
      <c r="AV67" s="97" t="str">
        <f t="shared" si="13"/>
        <v>1 - Esterco Bovino curtido</v>
      </c>
      <c r="AW67" s="75">
        <v>5</v>
      </c>
    </row>
    <row r="68" spans="2:49" ht="20.25" customHeight="1" x14ac:dyDescent="0.25">
      <c r="M68" s="364"/>
      <c r="N68" s="365"/>
      <c r="O68" s="448" t="s">
        <v>189</v>
      </c>
      <c r="P68" s="448"/>
      <c r="Q68" s="448"/>
      <c r="R68" s="53"/>
      <c r="U68" s="345"/>
      <c r="V68" s="96" t="str">
        <f>'Adubos e corretivos'!C99</f>
        <v>GOIAS Filler Dolomítico</v>
      </c>
      <c r="W68" s="96">
        <f>'Adubos e corretivos'!D99</f>
        <v>0</v>
      </c>
      <c r="X68" s="96">
        <f>'Adubos e corretivos'!E99</f>
        <v>36</v>
      </c>
      <c r="Y68" s="96">
        <f>'Adubos e corretivos'!F99</f>
        <v>15</v>
      </c>
      <c r="Z68" s="96">
        <f>'Adubos e corretivos'!G99</f>
        <v>92.54</v>
      </c>
      <c r="AA68" s="96">
        <f>'Adubos e corretivos'!H99</f>
        <v>51</v>
      </c>
      <c r="AT68" s="75">
        <v>2</v>
      </c>
      <c r="AU68" s="97" t="s">
        <v>292</v>
      </c>
      <c r="AV68" s="97" t="str">
        <f t="shared" si="13"/>
        <v>2 - Esterco Bovino curtido</v>
      </c>
      <c r="AW68" s="75">
        <v>7</v>
      </c>
    </row>
    <row r="69" spans="2:49" ht="20.25" customHeight="1" thickBot="1" x14ac:dyDescent="0.3">
      <c r="M69" s="69"/>
      <c r="N69" s="70"/>
      <c r="O69" s="70"/>
      <c r="P69" s="70"/>
      <c r="Q69" s="70"/>
      <c r="R69" s="71"/>
      <c r="AT69" s="75">
        <v>3</v>
      </c>
      <c r="AU69" s="97" t="s">
        <v>292</v>
      </c>
      <c r="AV69" s="97" t="str">
        <f t="shared" si="13"/>
        <v>3 - Esterco Bovino curtido</v>
      </c>
      <c r="AW69" s="75">
        <v>12</v>
      </c>
    </row>
    <row r="70" spans="2:49" ht="20.25" customHeight="1" thickBot="1" x14ac:dyDescent="0.3">
      <c r="AT70" s="75">
        <v>4</v>
      </c>
      <c r="AU70" s="97" t="s">
        <v>292</v>
      </c>
      <c r="AV70" s="97" t="str">
        <f t="shared" si="13"/>
        <v>4 - Esterco Bovino curtido</v>
      </c>
      <c r="AW70" s="75">
        <v>5</v>
      </c>
    </row>
    <row r="71" spans="2:49" ht="20.25" customHeight="1" x14ac:dyDescent="0.25">
      <c r="M71" s="48"/>
      <c r="N71" s="49"/>
      <c r="O71" s="49"/>
      <c r="P71" s="49"/>
      <c r="Q71" s="49"/>
      <c r="R71" s="50"/>
      <c r="U71" s="347" t="s">
        <v>136</v>
      </c>
      <c r="V71" s="347" t="s">
        <v>76</v>
      </c>
      <c r="W71" s="347" t="s">
        <v>77</v>
      </c>
      <c r="X71" s="347" t="s">
        <v>284</v>
      </c>
      <c r="Y71" s="347"/>
      <c r="Z71" s="347"/>
      <c r="AT71" s="51">
        <v>0</v>
      </c>
      <c r="AU71" s="93" t="s">
        <v>285</v>
      </c>
      <c r="AV71" s="93" t="str">
        <f t="shared" si="13"/>
        <v>0 - Esterco de equino</v>
      </c>
      <c r="AW71" s="51">
        <v>14</v>
      </c>
    </row>
    <row r="72" spans="2:49" ht="20.25" customHeight="1" x14ac:dyDescent="0.25">
      <c r="M72" s="364" t="s">
        <v>215</v>
      </c>
      <c r="N72" s="365"/>
      <c r="O72" s="450" t="s">
        <v>252</v>
      </c>
      <c r="P72" s="451"/>
      <c r="Q72" s="452"/>
      <c r="R72" s="53"/>
      <c r="U72" s="347"/>
      <c r="V72" s="347"/>
      <c r="W72" s="347"/>
      <c r="X72" s="13" t="s">
        <v>81</v>
      </c>
      <c r="Y72" s="13" t="s">
        <v>82</v>
      </c>
      <c r="Z72" s="13" t="s">
        <v>83</v>
      </c>
      <c r="AT72" s="51">
        <v>1</v>
      </c>
      <c r="AU72" s="93" t="s">
        <v>285</v>
      </c>
      <c r="AV72" s="93" t="str">
        <f t="shared" si="13"/>
        <v>1 - Esterco de equino</v>
      </c>
      <c r="AW72" s="51">
        <v>10</v>
      </c>
    </row>
    <row r="73" spans="2:49" ht="20.25" customHeight="1" x14ac:dyDescent="0.25">
      <c r="M73" s="364"/>
      <c r="N73" s="365"/>
      <c r="O73" s="450" t="s">
        <v>251</v>
      </c>
      <c r="P73" s="451"/>
      <c r="Q73" s="452"/>
      <c r="R73" s="53"/>
      <c r="U73" s="340" t="s">
        <v>152</v>
      </c>
      <c r="V73" s="14" t="str">
        <f>'Adubos e corretivos'!C104</f>
        <v>Gesso Nutrion</v>
      </c>
      <c r="W73" s="14">
        <f>'Adubos e corretivos'!D104</f>
        <v>0</v>
      </c>
      <c r="X73" s="14">
        <f>'Adubos e corretivos'!E104</f>
        <v>15</v>
      </c>
      <c r="Y73" s="14">
        <f>'Adubos e corretivos'!F104</f>
        <v>0</v>
      </c>
      <c r="Z73" s="14">
        <f>'Adubos e corretivos'!G104</f>
        <v>20</v>
      </c>
      <c r="AT73" s="51">
        <v>2</v>
      </c>
      <c r="AU73" s="93" t="s">
        <v>285</v>
      </c>
      <c r="AV73" s="93" t="str">
        <f t="shared" si="13"/>
        <v>2 - Esterco de equino</v>
      </c>
      <c r="AW73" s="51">
        <v>4</v>
      </c>
    </row>
    <row r="74" spans="2:49" ht="20.25" customHeight="1" x14ac:dyDescent="0.25">
      <c r="M74" s="364"/>
      <c r="N74" s="365"/>
      <c r="O74" s="448" t="s">
        <v>229</v>
      </c>
      <c r="P74" s="448"/>
      <c r="Q74" s="92">
        <v>0.5</v>
      </c>
      <c r="R74" s="53"/>
      <c r="U74" s="340"/>
      <c r="V74" s="14" t="str">
        <f>'Adubos e corretivos'!C105</f>
        <v>Gesso Votorantim</v>
      </c>
      <c r="W74" s="14">
        <f>'Adubos e corretivos'!D105</f>
        <v>0</v>
      </c>
      <c r="X74" s="14">
        <f>'Adubos e corretivos'!E105</f>
        <v>16</v>
      </c>
      <c r="Y74" s="14">
        <f>'Adubos e corretivos'!F105</f>
        <v>0</v>
      </c>
      <c r="Z74" s="14">
        <f>'Adubos e corretivos'!G105</f>
        <v>20</v>
      </c>
      <c r="AT74" s="51">
        <v>3</v>
      </c>
      <c r="AU74" s="93" t="s">
        <v>285</v>
      </c>
      <c r="AV74" s="93" t="str">
        <f t="shared" si="13"/>
        <v>3 - Esterco de equino</v>
      </c>
      <c r="AW74" s="51">
        <v>14</v>
      </c>
    </row>
    <row r="75" spans="2:49" ht="20.25" customHeight="1" x14ac:dyDescent="0.25">
      <c r="M75" s="364"/>
      <c r="N75" s="365"/>
      <c r="O75" s="448" t="s">
        <v>216</v>
      </c>
      <c r="P75" s="448"/>
      <c r="Q75" s="92">
        <v>0.5</v>
      </c>
      <c r="R75" s="53"/>
      <c r="U75" s="340"/>
      <c r="V75" s="14" t="str">
        <f>'Adubos e corretivos'!C106</f>
        <v>Gesso Agronelli</v>
      </c>
      <c r="W75" s="14">
        <f>'Adubos e corretivos'!D106</f>
        <v>0</v>
      </c>
      <c r="X75" s="14">
        <f>'Adubos e corretivos'!E106</f>
        <v>14</v>
      </c>
      <c r="Y75" s="14">
        <f>'Adubos e corretivos'!F106</f>
        <v>0</v>
      </c>
      <c r="Z75" s="14">
        <f>'Adubos e corretivos'!G106</f>
        <v>17</v>
      </c>
      <c r="AT75" s="51">
        <v>4</v>
      </c>
      <c r="AU75" s="93" t="s">
        <v>285</v>
      </c>
      <c r="AV75" s="93" t="str">
        <f t="shared" si="13"/>
        <v>4 - Esterco de equino</v>
      </c>
      <c r="AW75" s="51">
        <v>10</v>
      </c>
    </row>
    <row r="76" spans="2:49" ht="20.25" customHeight="1" x14ac:dyDescent="0.25">
      <c r="M76" s="364"/>
      <c r="N76" s="365"/>
      <c r="O76" s="448"/>
      <c r="P76" s="448"/>
      <c r="Q76" s="92"/>
      <c r="R76" s="53"/>
      <c r="U76" s="340"/>
      <c r="V76" s="14" t="str">
        <f>'Adubos e corretivos'!C107</f>
        <v>Siligesso Agronelli</v>
      </c>
      <c r="W76" s="14">
        <f>'Adubos e corretivos'!D107</f>
        <v>0</v>
      </c>
      <c r="X76" s="14">
        <f>'Adubos e corretivos'!E107</f>
        <v>9.9</v>
      </c>
      <c r="Y76" s="14">
        <f>'Adubos e corretivos'!F107</f>
        <v>0</v>
      </c>
      <c r="Z76" s="14">
        <f>'Adubos e corretivos'!G107</f>
        <v>20.3</v>
      </c>
      <c r="AT76" s="75">
        <v>0</v>
      </c>
      <c r="AU76" s="97" t="s">
        <v>287</v>
      </c>
      <c r="AV76" s="97" t="str">
        <f t="shared" si="13"/>
        <v>0 - Esterco de suínos</v>
      </c>
      <c r="AW76" s="75">
        <v>10</v>
      </c>
    </row>
    <row r="77" spans="2:49" ht="20.25" customHeight="1" x14ac:dyDescent="0.25">
      <c r="M77" s="364"/>
      <c r="N77" s="365"/>
      <c r="O77" s="37"/>
      <c r="P77" s="37"/>
      <c r="Q77" s="37"/>
      <c r="R77" s="53"/>
      <c r="U77" s="340"/>
      <c r="V77" s="14" t="str">
        <f>'Adubos e corretivos'!C108</f>
        <v>Nutrigesso Nutrion</v>
      </c>
      <c r="W77" s="14">
        <f>'Adubos e corretivos'!D108</f>
        <v>0</v>
      </c>
      <c r="X77" s="14">
        <f>'Adubos e corretivos'!E108</f>
        <v>13</v>
      </c>
      <c r="Y77" s="14">
        <f>'Adubos e corretivos'!F108</f>
        <v>0</v>
      </c>
      <c r="Z77" s="14">
        <f>'Adubos e corretivos'!G108</f>
        <v>16</v>
      </c>
      <c r="AT77" s="75">
        <v>1</v>
      </c>
      <c r="AU77" s="97" t="s">
        <v>287</v>
      </c>
      <c r="AV77" s="97" t="str">
        <f t="shared" si="13"/>
        <v>1 - Esterco de suínos</v>
      </c>
      <c r="AW77" s="75">
        <v>4</v>
      </c>
    </row>
    <row r="78" spans="2:49" ht="20.25" customHeight="1" x14ac:dyDescent="0.25">
      <c r="M78" s="364"/>
      <c r="N78" s="365"/>
      <c r="O78" s="391" t="s">
        <v>264</v>
      </c>
      <c r="P78" s="391"/>
      <c r="Q78" s="391"/>
      <c r="R78" s="53"/>
      <c r="U78" s="340"/>
      <c r="V78" s="14">
        <f>'Adubos e corretivos'!C109</f>
        <v>0</v>
      </c>
      <c r="W78" s="14">
        <f>'Adubos e corretivos'!D109</f>
        <v>0</v>
      </c>
      <c r="X78" s="14">
        <f>'Adubos e corretivos'!E109</f>
        <v>0</v>
      </c>
      <c r="Y78" s="14">
        <f>'Adubos e corretivos'!F109</f>
        <v>0</v>
      </c>
      <c r="Z78" s="14">
        <f>'Adubos e corretivos'!G109</f>
        <v>0</v>
      </c>
      <c r="AT78" s="75">
        <v>2</v>
      </c>
      <c r="AU78" s="97" t="s">
        <v>287</v>
      </c>
      <c r="AV78" s="97" t="str">
        <f t="shared" si="13"/>
        <v>2 - Esterco de suínos</v>
      </c>
      <c r="AW78" s="75">
        <v>6</v>
      </c>
    </row>
    <row r="79" spans="2:49" ht="20.25" customHeight="1" x14ac:dyDescent="0.25">
      <c r="M79" s="364"/>
      <c r="N79" s="365"/>
      <c r="O79" s="37"/>
      <c r="P79" s="37"/>
      <c r="Q79" s="37"/>
      <c r="R79" s="53"/>
      <c r="U79" s="340"/>
      <c r="V79" s="14">
        <f>'Adubos e corretivos'!C110</f>
        <v>0</v>
      </c>
      <c r="W79" s="14">
        <f>'Adubos e corretivos'!D110</f>
        <v>0</v>
      </c>
      <c r="X79" s="14">
        <f>'Adubos e corretivos'!E110</f>
        <v>0</v>
      </c>
      <c r="Y79" s="14">
        <f>'Adubos e corretivos'!F110</f>
        <v>0</v>
      </c>
      <c r="Z79" s="14">
        <f>'Adubos e corretivos'!G110</f>
        <v>0</v>
      </c>
      <c r="AT79" s="75">
        <v>3</v>
      </c>
      <c r="AU79" s="97" t="s">
        <v>287</v>
      </c>
      <c r="AV79" s="97" t="str">
        <f t="shared" si="13"/>
        <v>3 - Esterco de suínos</v>
      </c>
      <c r="AW79" s="75">
        <v>10</v>
      </c>
    </row>
    <row r="80" spans="2:49" ht="20.25" customHeight="1" x14ac:dyDescent="0.25">
      <c r="M80" s="364"/>
      <c r="N80" s="365"/>
      <c r="O80" s="557" t="s">
        <v>253</v>
      </c>
      <c r="P80" s="558"/>
      <c r="Q80" s="559"/>
      <c r="R80" s="53"/>
      <c r="U80" s="340"/>
      <c r="V80" s="14">
        <f>'Adubos e corretivos'!C111</f>
        <v>0</v>
      </c>
      <c r="W80" s="14">
        <f>'Adubos e corretivos'!D111</f>
        <v>0</v>
      </c>
      <c r="X80" s="14">
        <f>'Adubos e corretivos'!E111</f>
        <v>0</v>
      </c>
      <c r="Y80" s="14">
        <f>'Adubos e corretivos'!F111</f>
        <v>0</v>
      </c>
      <c r="Z80" s="14">
        <f>'Adubos e corretivos'!G111</f>
        <v>0</v>
      </c>
      <c r="AT80" s="75">
        <v>4</v>
      </c>
      <c r="AU80" s="97" t="s">
        <v>287</v>
      </c>
      <c r="AV80" s="97" t="str">
        <f t="shared" si="13"/>
        <v>4 - Esterco de suínos</v>
      </c>
      <c r="AW80" s="75">
        <v>4</v>
      </c>
    </row>
    <row r="81" spans="13:49" ht="20.25" customHeight="1" x14ac:dyDescent="0.25">
      <c r="M81" s="364"/>
      <c r="N81" s="365"/>
      <c r="O81" s="557" t="s">
        <v>251</v>
      </c>
      <c r="P81" s="558"/>
      <c r="Q81" s="559"/>
      <c r="R81" s="53"/>
      <c r="U81" s="340"/>
      <c r="V81" s="14">
        <f>'Adubos e corretivos'!C112</f>
        <v>0</v>
      </c>
      <c r="W81" s="14">
        <f>'Adubos e corretivos'!D112</f>
        <v>0</v>
      </c>
      <c r="X81" s="14">
        <f>'Adubos e corretivos'!E112</f>
        <v>0</v>
      </c>
      <c r="Y81" s="14">
        <f>'Adubos e corretivos'!F112</f>
        <v>0</v>
      </c>
      <c r="Z81" s="14">
        <f>'Adubos e corretivos'!G112</f>
        <v>0</v>
      </c>
      <c r="AT81" s="51">
        <v>0</v>
      </c>
      <c r="AU81" s="93" t="s">
        <v>288</v>
      </c>
      <c r="AV81" s="93" t="str">
        <f t="shared" si="13"/>
        <v>0 - Esterco de ovinos</v>
      </c>
      <c r="AW81" s="51">
        <v>10</v>
      </c>
    </row>
    <row r="82" spans="13:49" ht="20.25" customHeight="1" x14ac:dyDescent="0.25">
      <c r="M82" s="364"/>
      <c r="N82" s="365"/>
      <c r="O82" s="448" t="s">
        <v>205</v>
      </c>
      <c r="P82" s="448"/>
      <c r="Q82" s="92">
        <v>0.5</v>
      </c>
      <c r="R82" s="53"/>
      <c r="U82" s="340"/>
      <c r="V82" s="14">
        <f>'Adubos e corretivos'!C113</f>
        <v>0</v>
      </c>
      <c r="W82" s="14">
        <f>'Adubos e corretivos'!D113</f>
        <v>0</v>
      </c>
      <c r="X82" s="14">
        <f>'Adubos e corretivos'!E113</f>
        <v>0</v>
      </c>
      <c r="Y82" s="14">
        <f>'Adubos e corretivos'!F113</f>
        <v>0</v>
      </c>
      <c r="Z82" s="14">
        <f>'Adubos e corretivos'!G113</f>
        <v>0</v>
      </c>
      <c r="AT82" s="51">
        <v>1</v>
      </c>
      <c r="AU82" s="93" t="s">
        <v>288</v>
      </c>
      <c r="AV82" s="93" t="str">
        <f t="shared" si="13"/>
        <v>1 - Esterco de ovinos</v>
      </c>
      <c r="AW82" s="51">
        <v>4</v>
      </c>
    </row>
    <row r="83" spans="13:49" ht="20.25" customHeight="1" x14ac:dyDescent="0.25">
      <c r="M83" s="364"/>
      <c r="N83" s="365"/>
      <c r="O83" s="448" t="s">
        <v>116</v>
      </c>
      <c r="P83" s="448"/>
      <c r="Q83" s="92">
        <v>0.5</v>
      </c>
      <c r="R83" s="53"/>
      <c r="AT83" s="51">
        <v>2</v>
      </c>
      <c r="AU83" s="93" t="s">
        <v>288</v>
      </c>
      <c r="AV83" s="93" t="str">
        <f t="shared" si="13"/>
        <v>2 - Esterco de ovinos</v>
      </c>
      <c r="AW83" s="51">
        <v>6</v>
      </c>
    </row>
    <row r="84" spans="13:49" ht="20.25" customHeight="1" x14ac:dyDescent="0.25">
      <c r="M84" s="364"/>
      <c r="N84" s="365"/>
      <c r="O84" s="448"/>
      <c r="P84" s="448"/>
      <c r="Q84" s="92"/>
      <c r="R84" s="53"/>
      <c r="AT84" s="51">
        <v>3</v>
      </c>
      <c r="AU84" s="93" t="s">
        <v>288</v>
      </c>
      <c r="AV84" s="93" t="str">
        <f t="shared" si="13"/>
        <v>3 - Esterco de ovinos</v>
      </c>
      <c r="AW84" s="51">
        <v>10</v>
      </c>
    </row>
    <row r="85" spans="13:49" ht="20.25" customHeight="1" x14ac:dyDescent="0.25">
      <c r="M85" s="364"/>
      <c r="N85" s="365"/>
      <c r="O85" s="37"/>
      <c r="P85" s="37"/>
      <c r="Q85" s="37"/>
      <c r="R85" s="53"/>
      <c r="U85" s="464" t="s">
        <v>136</v>
      </c>
      <c r="V85" s="464" t="s">
        <v>76</v>
      </c>
      <c r="W85" s="464" t="s">
        <v>77</v>
      </c>
      <c r="X85" s="464" t="s">
        <v>78</v>
      </c>
      <c r="Y85" s="464"/>
      <c r="Z85" s="464"/>
      <c r="AA85" s="464"/>
      <c r="AB85" s="464"/>
      <c r="AC85" s="464"/>
      <c r="AD85" s="464"/>
      <c r="AE85" s="464"/>
      <c r="AT85" s="51">
        <v>4</v>
      </c>
      <c r="AU85" s="93" t="s">
        <v>288</v>
      </c>
      <c r="AV85" s="93" t="str">
        <f t="shared" si="13"/>
        <v>4 - Esterco de ovinos</v>
      </c>
      <c r="AW85" s="51">
        <v>4</v>
      </c>
    </row>
    <row r="86" spans="13:49" ht="20.25" customHeight="1" x14ac:dyDescent="0.25">
      <c r="M86" s="364"/>
      <c r="N86" s="365"/>
      <c r="O86" s="391" t="s">
        <v>264</v>
      </c>
      <c r="P86" s="391"/>
      <c r="Q86" s="391"/>
      <c r="R86" s="53"/>
      <c r="U86" s="464"/>
      <c r="V86" s="464"/>
      <c r="W86" s="464"/>
      <c r="X86" s="98" t="s">
        <v>117</v>
      </c>
      <c r="Y86" s="98" t="s">
        <v>79</v>
      </c>
      <c r="Z86" s="98" t="s">
        <v>66</v>
      </c>
      <c r="AA86" s="98" t="s">
        <v>80</v>
      </c>
      <c r="AB86" s="98" t="s">
        <v>67</v>
      </c>
      <c r="AC86" s="98" t="s">
        <v>191</v>
      </c>
      <c r="AD86" s="98" t="s">
        <v>192</v>
      </c>
      <c r="AE86" s="98" t="s">
        <v>204</v>
      </c>
      <c r="AT86" s="75">
        <v>0</v>
      </c>
      <c r="AU86" s="97" t="s">
        <v>289</v>
      </c>
      <c r="AV86" s="97" t="str">
        <f t="shared" si="13"/>
        <v>0 - Lodo de esgosto</v>
      </c>
      <c r="AW86" s="75">
        <v>15</v>
      </c>
    </row>
    <row r="87" spans="13:49" ht="20.25" customHeight="1" x14ac:dyDescent="0.25">
      <c r="M87" s="364"/>
      <c r="N87" s="365"/>
      <c r="O87" s="37"/>
      <c r="P87" s="37"/>
      <c r="Q87" s="37"/>
      <c r="R87" s="53"/>
      <c r="U87" s="466" t="s">
        <v>194</v>
      </c>
      <c r="V87" s="99" t="str">
        <f>V160</f>
        <v xml:space="preserve">Biotita Xisto (61) 3233-9368 </v>
      </c>
      <c r="W87" s="99">
        <f>W160</f>
        <v>0</v>
      </c>
      <c r="X87" s="99">
        <f>AL160</f>
        <v>57.8</v>
      </c>
      <c r="Y87" s="99">
        <f t="shared" ref="Y87:AB95" si="15">Y160</f>
        <v>8.7999999999999995E-2</v>
      </c>
      <c r="Z87" s="99">
        <f t="shared" si="15"/>
        <v>0.2</v>
      </c>
      <c r="AA87" s="99">
        <f t="shared" si="15"/>
        <v>2.83</v>
      </c>
      <c r="AB87" s="99">
        <f t="shared" si="15"/>
        <v>3.4</v>
      </c>
      <c r="AC87" s="100">
        <f>AC160*0.602</f>
        <v>1.5155244755244754</v>
      </c>
      <c r="AD87" s="100">
        <f>AD160*0.715</f>
        <v>5.4634551495016606</v>
      </c>
      <c r="AE87" s="100">
        <f t="shared" ref="AE87:AE95" si="16">AB87+AC87+AD87</f>
        <v>10.378979625026137</v>
      </c>
      <c r="AT87" s="75">
        <v>1</v>
      </c>
      <c r="AU87" s="97" t="s">
        <v>289</v>
      </c>
      <c r="AV87" s="97" t="str">
        <f t="shared" si="13"/>
        <v>1 - Lodo de esgosto</v>
      </c>
      <c r="AW87" s="75">
        <v>10</v>
      </c>
    </row>
    <row r="88" spans="13:49" ht="20.25" customHeight="1" x14ac:dyDescent="0.25">
      <c r="M88" s="364"/>
      <c r="N88" s="365"/>
      <c r="O88" s="557" t="s">
        <v>254</v>
      </c>
      <c r="P88" s="558"/>
      <c r="Q88" s="559"/>
      <c r="R88" s="53"/>
      <c r="U88" s="466"/>
      <c r="V88" s="99" t="str">
        <f t="shared" ref="V88:W95" si="17">V161</f>
        <v>Kamafugito</v>
      </c>
      <c r="W88" s="99">
        <f t="shared" si="17"/>
        <v>0</v>
      </c>
      <c r="X88" s="99">
        <f t="shared" ref="X88:X95" si="18">AL161</f>
        <v>0</v>
      </c>
      <c r="Y88" s="99">
        <f t="shared" si="15"/>
        <v>1.5069999999999999</v>
      </c>
      <c r="Z88" s="99">
        <f t="shared" si="15"/>
        <v>3.5</v>
      </c>
      <c r="AA88" s="99">
        <f t="shared" si="15"/>
        <v>3.3250000000000002</v>
      </c>
      <c r="AB88" s="99">
        <f t="shared" si="15"/>
        <v>4</v>
      </c>
      <c r="AC88" s="100">
        <f t="shared" ref="AC88:AC95" si="19">AC161*0.602</f>
        <v>1.7217199999999999</v>
      </c>
      <c r="AD88" s="100">
        <f t="shared" ref="AD88:AD95" si="20">AD161*0.715</f>
        <v>0</v>
      </c>
      <c r="AE88" s="100">
        <f t="shared" si="16"/>
        <v>5.7217199999999995</v>
      </c>
      <c r="AT88" s="75">
        <v>2</v>
      </c>
      <c r="AU88" s="97" t="s">
        <v>289</v>
      </c>
      <c r="AV88" s="97" t="str">
        <f t="shared" si="13"/>
        <v>2 - Lodo de esgosto</v>
      </c>
      <c r="AW88" s="75">
        <v>5</v>
      </c>
    </row>
    <row r="89" spans="13:49" ht="20.25" customHeight="1" x14ac:dyDescent="0.25">
      <c r="M89" s="364"/>
      <c r="N89" s="365"/>
      <c r="O89" s="557" t="s">
        <v>251</v>
      </c>
      <c r="P89" s="558"/>
      <c r="Q89" s="559"/>
      <c r="R89" s="53"/>
      <c r="U89" s="466"/>
      <c r="V89" s="99" t="str">
        <f t="shared" si="17"/>
        <v>Micaxisto (61) 3233-9368</v>
      </c>
      <c r="W89" s="99">
        <f t="shared" si="17"/>
        <v>0</v>
      </c>
      <c r="X89" s="99">
        <f t="shared" si="18"/>
        <v>0</v>
      </c>
      <c r="Y89" s="99">
        <f t="shared" si="15"/>
        <v>4.4999999999999998E-2</v>
      </c>
      <c r="Z89" s="99">
        <f t="shared" si="15"/>
        <v>0.1</v>
      </c>
      <c r="AA89" s="99">
        <f t="shared" si="15"/>
        <v>4.32</v>
      </c>
      <c r="AB89" s="99">
        <f t="shared" si="15"/>
        <v>5.2</v>
      </c>
      <c r="AC89" s="100">
        <f t="shared" si="19"/>
        <v>0.75776223776223772</v>
      </c>
      <c r="AD89" s="100">
        <f t="shared" si="20"/>
        <v>0.83139534883720934</v>
      </c>
      <c r="AE89" s="100">
        <f t="shared" si="16"/>
        <v>6.7891575865994476</v>
      </c>
      <c r="AT89" s="75">
        <v>3</v>
      </c>
      <c r="AU89" s="97" t="s">
        <v>289</v>
      </c>
      <c r="AV89" s="97" t="str">
        <f t="shared" si="13"/>
        <v>3 - Lodo de esgosto</v>
      </c>
      <c r="AW89" s="75">
        <v>15</v>
      </c>
    </row>
    <row r="90" spans="13:49" ht="20.25" customHeight="1" x14ac:dyDescent="0.25">
      <c r="M90" s="364"/>
      <c r="N90" s="365"/>
      <c r="O90" s="448" t="s">
        <v>93</v>
      </c>
      <c r="P90" s="448"/>
      <c r="Q90" s="92">
        <v>1</v>
      </c>
      <c r="R90" s="53"/>
      <c r="U90" s="466"/>
      <c r="V90" s="99" t="str">
        <f t="shared" si="17"/>
        <v xml:space="preserve">Pó de brita Fmx (62) 3924 8565 </v>
      </c>
      <c r="W90" s="99">
        <f t="shared" si="17"/>
        <v>0</v>
      </c>
      <c r="X90" s="99">
        <f t="shared" si="18"/>
        <v>0</v>
      </c>
      <c r="Y90" s="99">
        <f t="shared" si="15"/>
        <v>0</v>
      </c>
      <c r="Z90" s="99">
        <f t="shared" si="15"/>
        <v>0</v>
      </c>
      <c r="AA90" s="99">
        <f t="shared" si="15"/>
        <v>4.99</v>
      </c>
      <c r="AB90" s="99">
        <f t="shared" si="15"/>
        <v>6</v>
      </c>
      <c r="AC90" s="100">
        <f t="shared" si="19"/>
        <v>2.5258741258741257</v>
      </c>
      <c r="AD90" s="100">
        <f t="shared" si="20"/>
        <v>0.59385382059800662</v>
      </c>
      <c r="AE90" s="100">
        <f t="shared" si="16"/>
        <v>9.1197279464721319</v>
      </c>
      <c r="AT90" s="75">
        <v>4</v>
      </c>
      <c r="AU90" s="97" t="s">
        <v>289</v>
      </c>
      <c r="AV90" s="97" t="str">
        <f t="shared" si="13"/>
        <v>4 - Lodo de esgosto</v>
      </c>
      <c r="AW90" s="75">
        <v>10</v>
      </c>
    </row>
    <row r="91" spans="13:49" ht="20.25" customHeight="1" x14ac:dyDescent="0.25">
      <c r="M91" s="364"/>
      <c r="N91" s="365"/>
      <c r="O91" s="448"/>
      <c r="P91" s="448"/>
      <c r="Q91" s="92"/>
      <c r="R91" s="53"/>
      <c r="U91" s="466"/>
      <c r="V91" s="99" t="str">
        <f t="shared" si="17"/>
        <v>Remax Mistel (61) 99414-1975</v>
      </c>
      <c r="W91" s="99">
        <f t="shared" si="17"/>
        <v>0</v>
      </c>
      <c r="X91" s="99">
        <f t="shared" si="18"/>
        <v>43.8</v>
      </c>
      <c r="Y91" s="99">
        <f t="shared" si="15"/>
        <v>4.4999999999999998E-2</v>
      </c>
      <c r="Z91" s="99">
        <f t="shared" si="15"/>
        <v>0.1</v>
      </c>
      <c r="AA91" s="99">
        <f t="shared" si="15"/>
        <v>2.1949999999999998</v>
      </c>
      <c r="AB91" s="99">
        <f t="shared" si="15"/>
        <v>2.6</v>
      </c>
      <c r="AC91" s="100">
        <f t="shared" si="19"/>
        <v>11.282237762237763</v>
      </c>
      <c r="AD91" s="100">
        <f t="shared" si="20"/>
        <v>8.8959302325581397</v>
      </c>
      <c r="AE91" s="100">
        <f t="shared" si="16"/>
        <v>22.778167994795901</v>
      </c>
      <c r="AT91" s="51">
        <v>0</v>
      </c>
      <c r="AU91" s="93" t="s">
        <v>290</v>
      </c>
      <c r="AV91" s="93" t="str">
        <f t="shared" si="13"/>
        <v>0 - Compostos orgânicos</v>
      </c>
      <c r="AW91" s="51">
        <v>6</v>
      </c>
    </row>
    <row r="92" spans="13:49" ht="20.25" customHeight="1" x14ac:dyDescent="0.25">
      <c r="M92" s="364"/>
      <c r="N92" s="365"/>
      <c r="O92" s="448"/>
      <c r="P92" s="448"/>
      <c r="Q92" s="92"/>
      <c r="R92" s="53"/>
      <c r="U92" s="466"/>
      <c r="V92" s="99">
        <f t="shared" si="17"/>
        <v>0</v>
      </c>
      <c r="W92" s="99">
        <f t="shared" si="17"/>
        <v>0</v>
      </c>
      <c r="X92" s="99">
        <f t="shared" si="18"/>
        <v>0</v>
      </c>
      <c r="Y92" s="99">
        <f t="shared" si="15"/>
        <v>0</v>
      </c>
      <c r="Z92" s="99">
        <f t="shared" si="15"/>
        <v>0</v>
      </c>
      <c r="AA92" s="99">
        <f t="shared" si="15"/>
        <v>0</v>
      </c>
      <c r="AB92" s="99">
        <f t="shared" si="15"/>
        <v>0</v>
      </c>
      <c r="AC92" s="100">
        <f t="shared" si="19"/>
        <v>0</v>
      </c>
      <c r="AD92" s="100">
        <f t="shared" si="20"/>
        <v>0</v>
      </c>
      <c r="AE92" s="100">
        <f t="shared" si="16"/>
        <v>0</v>
      </c>
      <c r="AT92" s="51">
        <v>1</v>
      </c>
      <c r="AU92" s="93" t="s">
        <v>290</v>
      </c>
      <c r="AV92" s="93" t="str">
        <f t="shared" si="13"/>
        <v>1 - Compostos orgânicos</v>
      </c>
      <c r="AW92" s="51">
        <v>2</v>
      </c>
    </row>
    <row r="93" spans="13:49" ht="20.25" customHeight="1" x14ac:dyDescent="0.25">
      <c r="M93" s="101"/>
      <c r="N93" s="25"/>
      <c r="O93" s="25"/>
      <c r="P93" s="25"/>
      <c r="Q93" s="25"/>
      <c r="R93" s="53"/>
      <c r="U93" s="466"/>
      <c r="V93" s="99">
        <f t="shared" si="17"/>
        <v>0</v>
      </c>
      <c r="W93" s="99">
        <f t="shared" si="17"/>
        <v>0</v>
      </c>
      <c r="X93" s="99">
        <f t="shared" si="18"/>
        <v>0</v>
      </c>
      <c r="Y93" s="99">
        <f t="shared" si="15"/>
        <v>0</v>
      </c>
      <c r="Z93" s="99">
        <f t="shared" si="15"/>
        <v>0</v>
      </c>
      <c r="AA93" s="99">
        <f t="shared" si="15"/>
        <v>0</v>
      </c>
      <c r="AB93" s="99">
        <f t="shared" si="15"/>
        <v>0</v>
      </c>
      <c r="AC93" s="100">
        <f t="shared" si="19"/>
        <v>0</v>
      </c>
      <c r="AD93" s="100">
        <f t="shared" si="20"/>
        <v>0</v>
      </c>
      <c r="AE93" s="100">
        <f t="shared" si="16"/>
        <v>0</v>
      </c>
      <c r="AT93" s="51">
        <v>2</v>
      </c>
      <c r="AU93" s="93" t="s">
        <v>290</v>
      </c>
      <c r="AV93" s="93" t="str">
        <f t="shared" si="13"/>
        <v>2 - Compostos orgânicos</v>
      </c>
      <c r="AW93" s="51">
        <v>4</v>
      </c>
    </row>
    <row r="94" spans="13:49" ht="20.25" customHeight="1" x14ac:dyDescent="0.25">
      <c r="M94" s="101"/>
      <c r="N94" s="25"/>
      <c r="O94" s="365" t="s">
        <v>264</v>
      </c>
      <c r="P94" s="365"/>
      <c r="Q94" s="365"/>
      <c r="R94" s="53"/>
      <c r="U94" s="466"/>
      <c r="V94" s="99">
        <f t="shared" si="17"/>
        <v>0</v>
      </c>
      <c r="W94" s="99">
        <f t="shared" si="17"/>
        <v>0</v>
      </c>
      <c r="X94" s="99">
        <f t="shared" si="18"/>
        <v>0</v>
      </c>
      <c r="Y94" s="99">
        <f t="shared" si="15"/>
        <v>0</v>
      </c>
      <c r="Z94" s="99">
        <f t="shared" si="15"/>
        <v>0</v>
      </c>
      <c r="AA94" s="99">
        <f t="shared" si="15"/>
        <v>0</v>
      </c>
      <c r="AB94" s="99">
        <f t="shared" si="15"/>
        <v>0</v>
      </c>
      <c r="AC94" s="100">
        <f t="shared" si="19"/>
        <v>0</v>
      </c>
      <c r="AD94" s="100">
        <f t="shared" si="20"/>
        <v>0</v>
      </c>
      <c r="AE94" s="100">
        <f t="shared" si="16"/>
        <v>0</v>
      </c>
      <c r="AT94" s="51">
        <v>3</v>
      </c>
      <c r="AU94" s="93" t="s">
        <v>290</v>
      </c>
      <c r="AV94" s="93" t="str">
        <f t="shared" si="13"/>
        <v>3 - Compostos orgânicos</v>
      </c>
      <c r="AW94" s="51">
        <v>6</v>
      </c>
    </row>
    <row r="95" spans="13:49" ht="20.25" customHeight="1" thickBot="1" x14ac:dyDescent="0.3">
      <c r="M95" s="69"/>
      <c r="N95" s="70"/>
      <c r="O95" s="70"/>
      <c r="P95" s="70"/>
      <c r="Q95" s="70"/>
      <c r="R95" s="71"/>
      <c r="U95" s="466"/>
      <c r="V95" s="99">
        <f t="shared" si="17"/>
        <v>0</v>
      </c>
      <c r="W95" s="99">
        <f t="shared" si="17"/>
        <v>0</v>
      </c>
      <c r="X95" s="99">
        <f t="shared" si="18"/>
        <v>0</v>
      </c>
      <c r="Y95" s="99">
        <f t="shared" si="15"/>
        <v>0</v>
      </c>
      <c r="Z95" s="99">
        <f t="shared" si="15"/>
        <v>0</v>
      </c>
      <c r="AA95" s="99">
        <f t="shared" si="15"/>
        <v>0</v>
      </c>
      <c r="AB95" s="99">
        <f t="shared" si="15"/>
        <v>0</v>
      </c>
      <c r="AC95" s="100">
        <f t="shared" si="19"/>
        <v>0</v>
      </c>
      <c r="AD95" s="100">
        <f t="shared" si="20"/>
        <v>0</v>
      </c>
      <c r="AE95" s="100">
        <f t="shared" si="16"/>
        <v>0</v>
      </c>
      <c r="AT95" s="51">
        <v>4</v>
      </c>
      <c r="AU95" s="93" t="s">
        <v>290</v>
      </c>
      <c r="AV95" s="93" t="str">
        <f t="shared" si="13"/>
        <v>4 - Compostos orgânicos</v>
      </c>
      <c r="AW95" s="51">
        <v>2</v>
      </c>
    </row>
    <row r="96" spans="13:49" ht="20.25" customHeight="1" thickBot="1" x14ac:dyDescent="0.3"/>
    <row r="97" spans="1:41" ht="20.25" customHeight="1" x14ac:dyDescent="0.25">
      <c r="A97" s="26"/>
      <c r="M97" s="48"/>
      <c r="N97" s="49"/>
      <c r="O97" s="49"/>
      <c r="P97" s="49"/>
      <c r="Q97" s="49"/>
      <c r="R97" s="50"/>
    </row>
    <row r="98" spans="1:41" ht="20.25" customHeight="1" x14ac:dyDescent="0.25">
      <c r="A98" s="94"/>
      <c r="M98" s="364" t="s">
        <v>269</v>
      </c>
      <c r="N98" s="453"/>
      <c r="O98" s="102" t="s">
        <v>33</v>
      </c>
      <c r="P98" s="102" t="s">
        <v>223</v>
      </c>
      <c r="Q98" s="102" t="s">
        <v>224</v>
      </c>
      <c r="R98" s="53"/>
      <c r="U98" s="341" t="s">
        <v>136</v>
      </c>
      <c r="V98" s="341" t="s">
        <v>76</v>
      </c>
      <c r="W98" s="341" t="s">
        <v>77</v>
      </c>
      <c r="X98" s="341" t="s">
        <v>78</v>
      </c>
      <c r="Y98" s="341"/>
      <c r="Z98" s="341"/>
      <c r="AA98" s="341"/>
      <c r="AB98" s="341"/>
      <c r="AC98" s="341"/>
      <c r="AD98" s="341"/>
      <c r="AE98" s="341"/>
      <c r="AF98" s="341"/>
      <c r="AG98" s="341"/>
      <c r="AH98" s="341"/>
      <c r="AI98" s="341"/>
      <c r="AJ98" s="341"/>
      <c r="AK98" s="341"/>
      <c r="AL98" s="341"/>
      <c r="AM98" s="341"/>
      <c r="AN98" s="341"/>
      <c r="AO98" s="341"/>
    </row>
    <row r="99" spans="1:41" ht="20.25" customHeight="1" x14ac:dyDescent="0.25">
      <c r="A99" s="94"/>
      <c r="M99" s="364" t="s">
        <v>262</v>
      </c>
      <c r="N99" s="453"/>
      <c r="O99" s="103">
        <f>$AC$30</f>
        <v>100</v>
      </c>
      <c r="P99" s="103">
        <f>$AC$31</f>
        <v>0</v>
      </c>
      <c r="Q99" s="103">
        <f>$AC$32</f>
        <v>100</v>
      </c>
      <c r="R99" s="53"/>
      <c r="U99" s="341"/>
      <c r="V99" s="341"/>
      <c r="W99" s="341"/>
      <c r="X99" s="104" t="s">
        <v>33</v>
      </c>
      <c r="Y99" s="104" t="s">
        <v>79</v>
      </c>
      <c r="Z99" s="104" t="s">
        <v>66</v>
      </c>
      <c r="AA99" s="104" t="s">
        <v>80</v>
      </c>
      <c r="AB99" s="104" t="s">
        <v>67</v>
      </c>
      <c r="AC99" s="104" t="s">
        <v>81</v>
      </c>
      <c r="AD99" s="104" t="s">
        <v>82</v>
      </c>
      <c r="AE99" s="104" t="s">
        <v>83</v>
      </c>
      <c r="AF99" s="104" t="s">
        <v>84</v>
      </c>
      <c r="AG99" s="104" t="s">
        <v>85</v>
      </c>
      <c r="AH99" s="104" t="s">
        <v>86</v>
      </c>
      <c r="AI99" s="104" t="s">
        <v>87</v>
      </c>
      <c r="AJ99" s="104" t="s">
        <v>88</v>
      </c>
      <c r="AK99" s="104" t="s">
        <v>89</v>
      </c>
      <c r="AL99" s="104" t="s">
        <v>117</v>
      </c>
      <c r="AM99" s="104" t="s">
        <v>90</v>
      </c>
      <c r="AN99" s="104" t="s">
        <v>91</v>
      </c>
      <c r="AO99" s="104" t="s">
        <v>92</v>
      </c>
    </row>
    <row r="100" spans="1:41" ht="20.25" customHeight="1" x14ac:dyDescent="0.25">
      <c r="A100" s="25"/>
      <c r="M100" s="364" t="s">
        <v>270</v>
      </c>
      <c r="N100" s="453"/>
      <c r="O100" s="63">
        <f>AS21</f>
        <v>0</v>
      </c>
      <c r="P100" s="63">
        <f>AT21</f>
        <v>0</v>
      </c>
      <c r="Q100" s="63">
        <f>AU21</f>
        <v>0</v>
      </c>
      <c r="R100" s="53"/>
      <c r="U100" s="342" t="s">
        <v>227</v>
      </c>
      <c r="V100" s="15" t="str">
        <f>'Adubos e corretivos'!C3</f>
        <v>Cloreto de potássio</v>
      </c>
      <c r="W100" s="15">
        <f>'Adubos e corretivos'!D3</f>
        <v>0</v>
      </c>
      <c r="X100" s="15">
        <f>'Adubos e corretivos'!E3</f>
        <v>0</v>
      </c>
      <c r="Y100" s="15">
        <f>'Adubos e corretivos'!F3</f>
        <v>0</v>
      </c>
      <c r="Z100" s="15">
        <f>'Adubos e corretivos'!G3</f>
        <v>0</v>
      </c>
      <c r="AA100" s="15">
        <f>'Adubos e corretivos'!H3</f>
        <v>50</v>
      </c>
      <c r="AB100" s="15">
        <f>'Adubos e corretivos'!I3</f>
        <v>60</v>
      </c>
      <c r="AC100" s="15">
        <f>'Adubos e corretivos'!J3</f>
        <v>0</v>
      </c>
      <c r="AD100" s="15">
        <f>'Adubos e corretivos'!K3</f>
        <v>0</v>
      </c>
      <c r="AE100" s="15">
        <f>'Adubos e corretivos'!L3</f>
        <v>0</v>
      </c>
      <c r="AF100" s="15">
        <f>'Adubos e corretivos'!M3</f>
        <v>0</v>
      </c>
      <c r="AG100" s="15">
        <f>'Adubos e corretivos'!N3</f>
        <v>0</v>
      </c>
      <c r="AH100" s="15">
        <f>'Adubos e corretivos'!O3</f>
        <v>0</v>
      </c>
      <c r="AI100" s="15">
        <f>'Adubos e corretivos'!P3</f>
        <v>0</v>
      </c>
      <c r="AJ100" s="15">
        <f>'Adubos e corretivos'!Q3</f>
        <v>0</v>
      </c>
      <c r="AK100" s="15">
        <f>'Adubos e corretivos'!R3</f>
        <v>0</v>
      </c>
      <c r="AL100" s="15">
        <f>'Adubos e corretivos'!S3</f>
        <v>0</v>
      </c>
      <c r="AM100" s="15">
        <f>'Adubos e corretivos'!T3</f>
        <v>0</v>
      </c>
      <c r="AN100" s="15">
        <f>'Adubos e corretivos'!U3</f>
        <v>0</v>
      </c>
      <c r="AO100" s="15">
        <f>'Adubos e corretivos'!V3</f>
        <v>1.7</v>
      </c>
    </row>
    <row r="101" spans="1:41" ht="20.25" customHeight="1" thickBot="1" x14ac:dyDescent="0.3">
      <c r="A101" s="25"/>
      <c r="B101" s="28"/>
      <c r="C101" s="28"/>
      <c r="M101" s="69"/>
      <c r="N101" s="70"/>
      <c r="O101" s="70"/>
      <c r="P101" s="70"/>
      <c r="Q101" s="70"/>
      <c r="R101" s="71"/>
      <c r="U101" s="342"/>
      <c r="V101" s="15" t="str">
        <f>'Adubos e corretivos'!C4</f>
        <v>Dripsol Alface</v>
      </c>
      <c r="W101" s="15">
        <f>'Adubos e corretivos'!D4</f>
        <v>0</v>
      </c>
      <c r="X101" s="15">
        <f>'Adubos e corretivos'!E4</f>
        <v>0</v>
      </c>
      <c r="Y101" s="15">
        <f>'Adubos e corretivos'!F4</f>
        <v>0</v>
      </c>
      <c r="Z101" s="15">
        <f>'Adubos e corretivos'!G4</f>
        <v>0</v>
      </c>
      <c r="AA101" s="15">
        <f>'Adubos e corretivos'!H4</f>
        <v>43</v>
      </c>
      <c r="AB101" s="15">
        <f>'Adubos e corretivos'!I4</f>
        <v>52</v>
      </c>
      <c r="AC101" s="15">
        <f>'Adubos e corretivos'!J4</f>
        <v>0</v>
      </c>
      <c r="AD101" s="15">
        <f>'Adubos e corretivos'!K4</f>
        <v>0</v>
      </c>
      <c r="AE101" s="15">
        <f>'Adubos e corretivos'!L4</f>
        <v>0</v>
      </c>
      <c r="AF101" s="15">
        <f>'Adubos e corretivos'!M4</f>
        <v>0</v>
      </c>
      <c r="AG101" s="15">
        <f>'Adubos e corretivos'!N4</f>
        <v>0</v>
      </c>
      <c r="AH101" s="15">
        <f>'Adubos e corretivos'!O4</f>
        <v>0</v>
      </c>
      <c r="AI101" s="15">
        <f>'Adubos e corretivos'!P4</f>
        <v>0</v>
      </c>
      <c r="AJ101" s="15">
        <f>'Adubos e corretivos'!Q4</f>
        <v>0</v>
      </c>
      <c r="AK101" s="15">
        <f>'Adubos e corretivos'!R4</f>
        <v>0</v>
      </c>
      <c r="AL101" s="15">
        <f>'Adubos e corretivos'!S4</f>
        <v>0</v>
      </c>
      <c r="AM101" s="15">
        <f>'Adubos e corretivos'!T4</f>
        <v>0</v>
      </c>
      <c r="AN101" s="15">
        <f>'Adubos e corretivos'!U4</f>
        <v>0</v>
      </c>
      <c r="AO101" s="15">
        <f>'Adubos e corretivos'!V4</f>
        <v>0</v>
      </c>
    </row>
    <row r="102" spans="1:41" ht="20.25" customHeight="1" thickBot="1" x14ac:dyDescent="0.3">
      <c r="A102" s="25"/>
      <c r="U102" s="342"/>
      <c r="V102" s="15" t="str">
        <f>'Adubos e corretivos'!C5</f>
        <v>MAP</v>
      </c>
      <c r="W102" s="15">
        <f>'Adubos e corretivos'!D5</f>
        <v>0</v>
      </c>
      <c r="X102" s="15">
        <f>'Adubos e corretivos'!E5</f>
        <v>12</v>
      </c>
      <c r="Y102" s="15">
        <f>'Adubos e corretivos'!F5</f>
        <v>27</v>
      </c>
      <c r="Z102" s="15">
        <f>'Adubos e corretivos'!G5</f>
        <v>62</v>
      </c>
      <c r="AA102" s="15">
        <f>'Adubos e corretivos'!H5</f>
        <v>0</v>
      </c>
      <c r="AB102" s="15">
        <f>'Adubos e corretivos'!I5</f>
        <v>0</v>
      </c>
      <c r="AC102" s="15">
        <f>'Adubos e corretivos'!J5</f>
        <v>0</v>
      </c>
      <c r="AD102" s="15">
        <f>'Adubos e corretivos'!K5</f>
        <v>0</v>
      </c>
      <c r="AE102" s="15">
        <f>'Adubos e corretivos'!L5</f>
        <v>0</v>
      </c>
      <c r="AF102" s="15">
        <f>'Adubos e corretivos'!M5</f>
        <v>0</v>
      </c>
      <c r="AG102" s="15">
        <f>'Adubos e corretivos'!N5</f>
        <v>0</v>
      </c>
      <c r="AH102" s="15">
        <f>'Adubos e corretivos'!O5</f>
        <v>0</v>
      </c>
      <c r="AI102" s="15">
        <f>'Adubos e corretivos'!P5</f>
        <v>0</v>
      </c>
      <c r="AJ102" s="15">
        <f>'Adubos e corretivos'!Q5</f>
        <v>0</v>
      </c>
      <c r="AK102" s="15">
        <f>'Adubos e corretivos'!R5</f>
        <v>0</v>
      </c>
      <c r="AL102" s="15">
        <f>'Adubos e corretivos'!S5</f>
        <v>0</v>
      </c>
      <c r="AM102" s="15">
        <f>'Adubos e corretivos'!T5</f>
        <v>12</v>
      </c>
      <c r="AN102" s="15">
        <f>'Adubos e corretivos'!U5</f>
        <v>0</v>
      </c>
      <c r="AO102" s="15">
        <f>'Adubos e corretivos'!V5</f>
        <v>0.95</v>
      </c>
    </row>
    <row r="103" spans="1:41" ht="20.25" customHeight="1" x14ac:dyDescent="0.25">
      <c r="M103" s="48"/>
      <c r="N103" s="49"/>
      <c r="O103" s="49"/>
      <c r="P103" s="49"/>
      <c r="Q103" s="49"/>
      <c r="R103" s="50"/>
      <c r="U103" s="342"/>
      <c r="V103" s="15" t="str">
        <f>'Adubos e corretivos'!C6</f>
        <v>MKP</v>
      </c>
      <c r="W103" s="15">
        <f>'Adubos e corretivos'!D6</f>
        <v>0</v>
      </c>
      <c r="X103" s="15">
        <f>'Adubos e corretivos'!E6</f>
        <v>0</v>
      </c>
      <c r="Y103" s="15">
        <f>'Adubos e corretivos'!F6</f>
        <v>23</v>
      </c>
      <c r="Z103" s="15">
        <f>'Adubos e corretivos'!G6</f>
        <v>53</v>
      </c>
      <c r="AA103" s="15">
        <f>'Adubos e corretivos'!H6</f>
        <v>28</v>
      </c>
      <c r="AB103" s="15">
        <f>'Adubos e corretivos'!I6</f>
        <v>34</v>
      </c>
      <c r="AC103" s="15">
        <f>'Adubos e corretivos'!J6</f>
        <v>0</v>
      </c>
      <c r="AD103" s="15">
        <f>'Adubos e corretivos'!K6</f>
        <v>0</v>
      </c>
      <c r="AE103" s="15">
        <f>'Adubos e corretivos'!L6</f>
        <v>0</v>
      </c>
      <c r="AF103" s="15">
        <f>'Adubos e corretivos'!M6</f>
        <v>0</v>
      </c>
      <c r="AG103" s="15">
        <f>'Adubos e corretivos'!N6</f>
        <v>0</v>
      </c>
      <c r="AH103" s="15">
        <f>'Adubos e corretivos'!O6</f>
        <v>0</v>
      </c>
      <c r="AI103" s="15">
        <f>'Adubos e corretivos'!P6</f>
        <v>0</v>
      </c>
      <c r="AJ103" s="15">
        <f>'Adubos e corretivos'!Q6</f>
        <v>0</v>
      </c>
      <c r="AK103" s="15">
        <f>'Adubos e corretivos'!R6</f>
        <v>0</v>
      </c>
      <c r="AL103" s="15">
        <f>'Adubos e corretivos'!S6</f>
        <v>0</v>
      </c>
      <c r="AM103" s="15">
        <f>'Adubos e corretivos'!T6</f>
        <v>0</v>
      </c>
      <c r="AN103" s="15">
        <f>'Adubos e corretivos'!U6</f>
        <v>0</v>
      </c>
      <c r="AO103" s="15">
        <f>'Adubos e corretivos'!V6</f>
        <v>0.7</v>
      </c>
    </row>
    <row r="104" spans="1:41" ht="20.25" customHeight="1" x14ac:dyDescent="0.25">
      <c r="M104" s="364" t="s">
        <v>265</v>
      </c>
      <c r="N104" s="453"/>
      <c r="O104" s="343" t="s">
        <v>255</v>
      </c>
      <c r="P104" s="343"/>
      <c r="Q104" s="343"/>
      <c r="R104" s="53"/>
      <c r="U104" s="342"/>
      <c r="V104" s="15" t="str">
        <f>'Adubos e corretivos'!C7</f>
        <v>Nitrato de Amônio</v>
      </c>
      <c r="W104" s="15">
        <f>'Adubos e corretivos'!D7</f>
        <v>0</v>
      </c>
      <c r="X104" s="15">
        <f>'Adubos e corretivos'!E7</f>
        <v>29</v>
      </c>
      <c r="Y104" s="15">
        <f>'Adubos e corretivos'!F7</f>
        <v>0</v>
      </c>
      <c r="Z104" s="15">
        <f>'Adubos e corretivos'!G7</f>
        <v>0</v>
      </c>
      <c r="AA104" s="15">
        <f>'Adubos e corretivos'!H7</f>
        <v>0</v>
      </c>
      <c r="AB104" s="15">
        <f>'Adubos e corretivos'!I7</f>
        <v>0</v>
      </c>
      <c r="AC104" s="15">
        <f>'Adubos e corretivos'!J7</f>
        <v>0</v>
      </c>
      <c r="AD104" s="15">
        <f>'Adubos e corretivos'!K7</f>
        <v>1</v>
      </c>
      <c r="AE104" s="15">
        <f>'Adubos e corretivos'!L7</f>
        <v>1</v>
      </c>
      <c r="AF104" s="15">
        <f>'Adubos e corretivos'!M7</f>
        <v>0</v>
      </c>
      <c r="AG104" s="15">
        <f>'Adubos e corretivos'!N7</f>
        <v>0</v>
      </c>
      <c r="AH104" s="15">
        <f>'Adubos e corretivos'!O7</f>
        <v>1</v>
      </c>
      <c r="AI104" s="15">
        <f>'Adubos e corretivos'!P7</f>
        <v>0</v>
      </c>
      <c r="AJ104" s="15">
        <f>'Adubos e corretivos'!Q7</f>
        <v>0</v>
      </c>
      <c r="AK104" s="15">
        <f>'Adubos e corretivos'!R7</f>
        <v>0</v>
      </c>
      <c r="AL104" s="15">
        <f>'Adubos e corretivos'!S7</f>
        <v>0</v>
      </c>
      <c r="AM104" s="15">
        <f>'Adubos e corretivos'!T7</f>
        <v>14.5</v>
      </c>
      <c r="AN104" s="15">
        <f>'Adubos e corretivos'!U7</f>
        <v>14.5</v>
      </c>
      <c r="AO104" s="15">
        <f>'Adubos e corretivos'!V7</f>
        <v>1.5</v>
      </c>
    </row>
    <row r="105" spans="1:41" ht="20.25" customHeight="1" x14ac:dyDescent="0.25">
      <c r="M105" s="364"/>
      <c r="N105" s="453"/>
      <c r="O105" s="448" t="s">
        <v>316</v>
      </c>
      <c r="P105" s="448"/>
      <c r="Q105" s="448"/>
      <c r="R105" s="53"/>
      <c r="U105" s="342"/>
      <c r="V105" s="15" t="str">
        <f>'Adubos e corretivos'!C8</f>
        <v>Nitrato de cálcio</v>
      </c>
      <c r="W105" s="15">
        <f>'Adubos e corretivos'!D8</f>
        <v>0</v>
      </c>
      <c r="X105" s="15">
        <f>'Adubos e corretivos'!E8</f>
        <v>15</v>
      </c>
      <c r="Y105" s="15">
        <f>'Adubos e corretivos'!F8</f>
        <v>0</v>
      </c>
      <c r="Z105" s="15">
        <f>'Adubos e corretivos'!G8</f>
        <v>0</v>
      </c>
      <c r="AA105" s="15">
        <f>'Adubos e corretivos'!H8</f>
        <v>0</v>
      </c>
      <c r="AB105" s="15">
        <f>'Adubos e corretivos'!I8</f>
        <v>0</v>
      </c>
      <c r="AC105" s="15">
        <f>'Adubos e corretivos'!J8</f>
        <v>19</v>
      </c>
      <c r="AD105" s="15">
        <f>'Adubos e corretivos'!K8</f>
        <v>0</v>
      </c>
      <c r="AE105" s="15">
        <f>'Adubos e corretivos'!L8</f>
        <v>0</v>
      </c>
      <c r="AF105" s="15">
        <f>'Adubos e corretivos'!M8</f>
        <v>0</v>
      </c>
      <c r="AG105" s="15">
        <f>'Adubos e corretivos'!N8</f>
        <v>0</v>
      </c>
      <c r="AH105" s="15">
        <f>'Adubos e corretivos'!O8</f>
        <v>0</v>
      </c>
      <c r="AI105" s="15">
        <f>'Adubos e corretivos'!P8</f>
        <v>0</v>
      </c>
      <c r="AJ105" s="15">
        <f>'Adubos e corretivos'!Q8</f>
        <v>0</v>
      </c>
      <c r="AK105" s="15">
        <f>'Adubos e corretivos'!R8</f>
        <v>0</v>
      </c>
      <c r="AL105" s="15">
        <f>'Adubos e corretivos'!S8</f>
        <v>0</v>
      </c>
      <c r="AM105" s="15">
        <f>'Adubos e corretivos'!T8</f>
        <v>1</v>
      </c>
      <c r="AN105" s="15">
        <f>'Adubos e corretivos'!U8</f>
        <v>14</v>
      </c>
      <c r="AO105" s="15">
        <f>'Adubos e corretivos'!V8</f>
        <v>1.18</v>
      </c>
    </row>
    <row r="106" spans="1:41" ht="20.25" customHeight="1" x14ac:dyDescent="0.25">
      <c r="M106" s="364"/>
      <c r="N106" s="453"/>
      <c r="O106" s="448" t="s">
        <v>257</v>
      </c>
      <c r="P106" s="448"/>
      <c r="Q106" s="448"/>
      <c r="R106" s="53"/>
      <c r="U106" s="342"/>
      <c r="V106" s="15" t="str">
        <f>'Adubos e corretivos'!C9</f>
        <v>Nitrato de magnésio</v>
      </c>
      <c r="W106" s="15">
        <f>'Adubos e corretivos'!D9</f>
        <v>0</v>
      </c>
      <c r="X106" s="15">
        <f>'Adubos e corretivos'!E9</f>
        <v>11</v>
      </c>
      <c r="Y106" s="15">
        <f>'Adubos e corretivos'!F9</f>
        <v>0</v>
      </c>
      <c r="Z106" s="15">
        <f>'Adubos e corretivos'!G9</f>
        <v>0</v>
      </c>
      <c r="AA106" s="15">
        <f>'Adubos e corretivos'!H9</f>
        <v>0</v>
      </c>
      <c r="AB106" s="15">
        <f>'Adubos e corretivos'!I9</f>
        <v>0</v>
      </c>
      <c r="AC106" s="15">
        <f>'Adubos e corretivos'!J9</f>
        <v>0</v>
      </c>
      <c r="AD106" s="15">
        <f>'Adubos e corretivos'!K9</f>
        <v>9.5</v>
      </c>
      <c r="AE106" s="15">
        <f>'Adubos e corretivos'!L9</f>
        <v>0</v>
      </c>
      <c r="AF106" s="15">
        <f>'Adubos e corretivos'!M9</f>
        <v>0</v>
      </c>
      <c r="AG106" s="15">
        <f>'Adubos e corretivos'!N9</f>
        <v>0</v>
      </c>
      <c r="AH106" s="15">
        <f>'Adubos e corretivos'!O9</f>
        <v>0</v>
      </c>
      <c r="AI106" s="15">
        <f>'Adubos e corretivos'!P9</f>
        <v>0</v>
      </c>
      <c r="AJ106" s="15">
        <f>'Adubos e corretivos'!Q9</f>
        <v>0</v>
      </c>
      <c r="AK106" s="15">
        <f>'Adubos e corretivos'!R9</f>
        <v>0</v>
      </c>
      <c r="AL106" s="15">
        <f>'Adubos e corretivos'!S9</f>
        <v>0</v>
      </c>
      <c r="AM106" s="15">
        <f>'Adubos e corretivos'!T9</f>
        <v>0</v>
      </c>
      <c r="AN106" s="15">
        <f>'Adubos e corretivos'!U9</f>
        <v>11</v>
      </c>
      <c r="AO106" s="15">
        <f>'Adubos e corretivos'!V9</f>
        <v>0.9</v>
      </c>
    </row>
    <row r="107" spans="1:41" ht="20.25" customHeight="1" x14ac:dyDescent="0.25">
      <c r="M107" s="364"/>
      <c r="N107" s="453"/>
      <c r="O107" s="448" t="s">
        <v>103</v>
      </c>
      <c r="P107" s="448"/>
      <c r="Q107" s="448"/>
      <c r="R107" s="53"/>
      <c r="U107" s="342"/>
      <c r="V107" s="15" t="str">
        <f>'Adubos e corretivos'!C10</f>
        <v>Nitrato de potássio</v>
      </c>
      <c r="W107" s="15">
        <f>'Adubos e corretivos'!D10</f>
        <v>0</v>
      </c>
      <c r="X107" s="15">
        <f>'Adubos e corretivos'!E10</f>
        <v>12</v>
      </c>
      <c r="Y107" s="15">
        <f>'Adubos e corretivos'!F10</f>
        <v>0</v>
      </c>
      <c r="Z107" s="15">
        <f>'Adubos e corretivos'!G10</f>
        <v>0</v>
      </c>
      <c r="AA107" s="15">
        <f>'Adubos e corretivos'!H10</f>
        <v>38</v>
      </c>
      <c r="AB107" s="15">
        <f>'Adubos e corretivos'!I10</f>
        <v>0</v>
      </c>
      <c r="AC107" s="15">
        <f>'Adubos e corretivos'!J10</f>
        <v>0</v>
      </c>
      <c r="AD107" s="15">
        <f>'Adubos e corretivos'!K10</f>
        <v>0</v>
      </c>
      <c r="AE107" s="15">
        <f>'Adubos e corretivos'!L10</f>
        <v>0</v>
      </c>
      <c r="AF107" s="15">
        <f>'Adubos e corretivos'!M10</f>
        <v>0</v>
      </c>
      <c r="AG107" s="15">
        <f>'Adubos e corretivos'!N10</f>
        <v>0</v>
      </c>
      <c r="AH107" s="15">
        <f>'Adubos e corretivos'!O10</f>
        <v>0</v>
      </c>
      <c r="AI107" s="15">
        <f>'Adubos e corretivos'!P10</f>
        <v>0</v>
      </c>
      <c r="AJ107" s="15">
        <f>'Adubos e corretivos'!Q10</f>
        <v>0</v>
      </c>
      <c r="AK107" s="15">
        <f>'Adubos e corretivos'!R10</f>
        <v>0</v>
      </c>
      <c r="AL107" s="15">
        <f>'Adubos e corretivos'!S10</f>
        <v>0</v>
      </c>
      <c r="AM107" s="15">
        <f>'Adubos e corretivos'!T10</f>
        <v>0</v>
      </c>
      <c r="AN107" s="15">
        <f>'Adubos e corretivos'!U10</f>
        <v>12</v>
      </c>
      <c r="AO107" s="15">
        <f>'Adubos e corretivos'!V10</f>
        <v>1.28</v>
      </c>
    </row>
    <row r="108" spans="1:41" ht="20.25" customHeight="1" x14ac:dyDescent="0.25">
      <c r="M108" s="364"/>
      <c r="N108" s="453"/>
      <c r="O108" s="448" t="s">
        <v>102</v>
      </c>
      <c r="P108" s="448"/>
      <c r="Q108" s="448"/>
      <c r="R108" s="53"/>
      <c r="U108" s="342"/>
      <c r="V108" s="15" t="str">
        <f>'Adubos e corretivos'!C11</f>
        <v>Sulfato de amônio</v>
      </c>
      <c r="W108" s="15">
        <f>'Adubos e corretivos'!D11</f>
        <v>0</v>
      </c>
      <c r="X108" s="15">
        <f>'Adubos e corretivos'!E11</f>
        <v>20</v>
      </c>
      <c r="Y108" s="15">
        <f>'Adubos e corretivos'!F11</f>
        <v>0</v>
      </c>
      <c r="Z108" s="15">
        <f>'Adubos e corretivos'!G11</f>
        <v>0</v>
      </c>
      <c r="AA108" s="15">
        <f>'Adubos e corretivos'!H11</f>
        <v>0</v>
      </c>
      <c r="AB108" s="15">
        <f>'Adubos e corretivos'!I11</f>
        <v>0</v>
      </c>
      <c r="AC108" s="15">
        <f>'Adubos e corretivos'!J11</f>
        <v>0</v>
      </c>
      <c r="AD108" s="15">
        <f>'Adubos e corretivos'!K11</f>
        <v>0</v>
      </c>
      <c r="AE108" s="15">
        <f>'Adubos e corretivos'!L11</f>
        <v>24</v>
      </c>
      <c r="AF108" s="15">
        <f>'Adubos e corretivos'!M11</f>
        <v>0</v>
      </c>
      <c r="AG108" s="15">
        <f>'Adubos e corretivos'!N11</f>
        <v>0</v>
      </c>
      <c r="AH108" s="15">
        <f>'Adubos e corretivos'!O11</f>
        <v>0</v>
      </c>
      <c r="AI108" s="15">
        <f>'Adubos e corretivos'!P11</f>
        <v>0</v>
      </c>
      <c r="AJ108" s="15">
        <f>'Adubos e corretivos'!Q11</f>
        <v>0</v>
      </c>
      <c r="AK108" s="15">
        <f>'Adubos e corretivos'!R11</f>
        <v>0</v>
      </c>
      <c r="AL108" s="15">
        <f>'Adubos e corretivos'!S11</f>
        <v>0</v>
      </c>
      <c r="AM108" s="15">
        <f>'Adubos e corretivos'!T11</f>
        <v>20</v>
      </c>
      <c r="AN108" s="15">
        <f>'Adubos e corretivos'!U11</f>
        <v>0</v>
      </c>
      <c r="AO108" s="15">
        <f>'Adubos e corretivos'!V11</f>
        <v>0</v>
      </c>
    </row>
    <row r="109" spans="1:41" ht="20.25" customHeight="1" x14ac:dyDescent="0.25">
      <c r="M109" s="364"/>
      <c r="N109" s="453"/>
      <c r="O109" s="448"/>
      <c r="P109" s="448"/>
      <c r="Q109" s="448"/>
      <c r="R109" s="53"/>
      <c r="U109" s="342"/>
      <c r="V109" s="15" t="str">
        <f>'Adubos e corretivos'!C12</f>
        <v>Sulfato de potássio</v>
      </c>
      <c r="W109" s="15">
        <f>'Adubos e corretivos'!D12</f>
        <v>0</v>
      </c>
      <c r="X109" s="15">
        <f>'Adubos e corretivos'!E12</f>
        <v>0</v>
      </c>
      <c r="Y109" s="15">
        <f>'Adubos e corretivos'!F12</f>
        <v>0</v>
      </c>
      <c r="Z109" s="15">
        <f>'Adubos e corretivos'!G12</f>
        <v>0</v>
      </c>
      <c r="AA109" s="15">
        <f>'Adubos e corretivos'!H12</f>
        <v>43</v>
      </c>
      <c r="AB109" s="15">
        <f>'Adubos e corretivos'!I12</f>
        <v>52</v>
      </c>
      <c r="AC109" s="15">
        <f>'Adubos e corretivos'!J12</f>
        <v>0</v>
      </c>
      <c r="AD109" s="15">
        <f>'Adubos e corretivos'!K12</f>
        <v>0</v>
      </c>
      <c r="AE109" s="15">
        <f>'Adubos e corretivos'!L12</f>
        <v>17</v>
      </c>
      <c r="AF109" s="15">
        <f>'Adubos e corretivos'!M12</f>
        <v>0</v>
      </c>
      <c r="AG109" s="15">
        <f>'Adubos e corretivos'!N12</f>
        <v>0</v>
      </c>
      <c r="AH109" s="15">
        <f>'Adubos e corretivos'!O12</f>
        <v>0</v>
      </c>
      <c r="AI109" s="15">
        <f>'Adubos e corretivos'!P12</f>
        <v>0</v>
      </c>
      <c r="AJ109" s="15">
        <f>'Adubos e corretivos'!Q12</f>
        <v>0</v>
      </c>
      <c r="AK109" s="15">
        <f>'Adubos e corretivos'!R12</f>
        <v>0</v>
      </c>
      <c r="AL109" s="15">
        <f>'Adubos e corretivos'!S12</f>
        <v>0</v>
      </c>
      <c r="AM109" s="15">
        <f>'Adubos e corretivos'!T12</f>
        <v>0</v>
      </c>
      <c r="AN109" s="15">
        <f>'Adubos e corretivos'!U12</f>
        <v>0</v>
      </c>
      <c r="AO109" s="15">
        <f>'Adubos e corretivos'!V12</f>
        <v>1.2</v>
      </c>
    </row>
    <row r="110" spans="1:41" ht="20.25" customHeight="1" thickBot="1" x14ac:dyDescent="0.3">
      <c r="M110" s="69"/>
      <c r="N110" s="70"/>
      <c r="O110" s="70"/>
      <c r="P110" s="70"/>
      <c r="Q110" s="70"/>
      <c r="R110" s="71"/>
      <c r="U110" s="342"/>
      <c r="V110" s="15" t="str">
        <f>'Adubos e corretivos'!C13</f>
        <v>Superfosfato simples</v>
      </c>
      <c r="W110" s="15">
        <f>'Adubos e corretivos'!D13</f>
        <v>0</v>
      </c>
      <c r="X110" s="15">
        <f>'Adubos e corretivos'!E13</f>
        <v>0</v>
      </c>
      <c r="Y110" s="15">
        <f>'Adubos e corretivos'!F13</f>
        <v>7.86</v>
      </c>
      <c r="Z110" s="15">
        <f>'Adubos e corretivos'!G13</f>
        <v>18</v>
      </c>
      <c r="AA110" s="15">
        <f>'Adubos e corretivos'!H13</f>
        <v>0</v>
      </c>
      <c r="AB110" s="15">
        <f>'Adubos e corretivos'!I13</f>
        <v>0</v>
      </c>
      <c r="AC110" s="15">
        <f>'Adubos e corretivos'!J13</f>
        <v>0</v>
      </c>
      <c r="AD110" s="15">
        <f>'Adubos e corretivos'!K13</f>
        <v>0</v>
      </c>
      <c r="AE110" s="15">
        <f>'Adubos e corretivos'!L13</f>
        <v>0</v>
      </c>
      <c r="AF110" s="15">
        <f>'Adubos e corretivos'!M13</f>
        <v>0</v>
      </c>
      <c r="AG110" s="15">
        <f>'Adubos e corretivos'!N13</f>
        <v>0</v>
      </c>
      <c r="AH110" s="15">
        <f>'Adubos e corretivos'!O13</f>
        <v>0</v>
      </c>
      <c r="AI110" s="15">
        <f>'Adubos e corretivos'!P13</f>
        <v>0</v>
      </c>
      <c r="AJ110" s="15">
        <f>'Adubos e corretivos'!Q13</f>
        <v>0</v>
      </c>
      <c r="AK110" s="15">
        <f>'Adubos e corretivos'!R13</f>
        <v>0</v>
      </c>
      <c r="AL110" s="15">
        <f>'Adubos e corretivos'!S13</f>
        <v>0</v>
      </c>
      <c r="AM110" s="15">
        <f>'Adubos e corretivos'!T13</f>
        <v>0</v>
      </c>
      <c r="AN110" s="15">
        <f>'Adubos e corretivos'!U13</f>
        <v>0</v>
      </c>
      <c r="AO110" s="15">
        <f>'Adubos e corretivos'!V13</f>
        <v>0</v>
      </c>
    </row>
    <row r="111" spans="1:41" ht="20.25" customHeight="1" thickBot="1" x14ac:dyDescent="0.3">
      <c r="U111" s="342"/>
      <c r="V111" s="15" t="str">
        <f>'Adubos e corretivos'!C14</f>
        <v>Superfosfato triplo</v>
      </c>
      <c r="W111" s="15">
        <f>'Adubos e corretivos'!D14</f>
        <v>0</v>
      </c>
      <c r="X111" s="15">
        <f>'Adubos e corretivos'!E14</f>
        <v>0</v>
      </c>
      <c r="Y111" s="15">
        <f>'Adubos e corretivos'!F14</f>
        <v>17.91</v>
      </c>
      <c r="Z111" s="15">
        <f>'Adubos e corretivos'!G14</f>
        <v>41</v>
      </c>
      <c r="AA111" s="15">
        <f>'Adubos e corretivos'!H14</f>
        <v>0</v>
      </c>
      <c r="AB111" s="15">
        <f>'Adubos e corretivos'!I14</f>
        <v>0</v>
      </c>
      <c r="AC111" s="15">
        <f>'Adubos e corretivos'!J14</f>
        <v>0</v>
      </c>
      <c r="AD111" s="15">
        <f>'Adubos e corretivos'!K14</f>
        <v>0</v>
      </c>
      <c r="AE111" s="15">
        <f>'Adubos e corretivos'!L14</f>
        <v>0</v>
      </c>
      <c r="AF111" s="15">
        <f>'Adubos e corretivos'!M14</f>
        <v>0</v>
      </c>
      <c r="AG111" s="15">
        <f>'Adubos e corretivos'!N14</f>
        <v>0</v>
      </c>
      <c r="AH111" s="15">
        <f>'Adubos e corretivos'!O14</f>
        <v>0</v>
      </c>
      <c r="AI111" s="15">
        <f>'Adubos e corretivos'!P14</f>
        <v>0</v>
      </c>
      <c r="AJ111" s="15">
        <f>'Adubos e corretivos'!Q14</f>
        <v>0</v>
      </c>
      <c r="AK111" s="15">
        <f>'Adubos e corretivos'!R14</f>
        <v>0</v>
      </c>
      <c r="AL111" s="15">
        <f>'Adubos e corretivos'!S14</f>
        <v>0</v>
      </c>
      <c r="AM111" s="15">
        <f>'Adubos e corretivos'!T14</f>
        <v>0</v>
      </c>
      <c r="AN111" s="15">
        <f>'Adubos e corretivos'!U14</f>
        <v>0</v>
      </c>
      <c r="AO111" s="15">
        <f>'Adubos e corretivos'!V14</f>
        <v>0</v>
      </c>
    </row>
    <row r="112" spans="1:41" ht="20.25" customHeight="1" x14ac:dyDescent="0.25">
      <c r="M112" s="48"/>
      <c r="N112" s="49"/>
      <c r="O112" s="49"/>
      <c r="P112" s="49"/>
      <c r="Q112" s="49"/>
      <c r="R112" s="50"/>
      <c r="U112" s="342"/>
      <c r="V112" s="15" t="str">
        <f>'Adubos e corretivos'!C15</f>
        <v>Uréia</v>
      </c>
      <c r="W112" s="15">
        <f>'Adubos e corretivos'!D15</f>
        <v>0</v>
      </c>
      <c r="X112" s="15">
        <f>'Adubos e corretivos'!E15</f>
        <v>45</v>
      </c>
      <c r="Y112" s="15">
        <f>'Adubos e corretivos'!F15</f>
        <v>0</v>
      </c>
      <c r="Z112" s="15">
        <f>'Adubos e corretivos'!G15</f>
        <v>0</v>
      </c>
      <c r="AA112" s="15">
        <f>'Adubos e corretivos'!H15</f>
        <v>0</v>
      </c>
      <c r="AB112" s="15">
        <f>'Adubos e corretivos'!I15</f>
        <v>0</v>
      </c>
      <c r="AC112" s="15">
        <f>'Adubos e corretivos'!J15</f>
        <v>0</v>
      </c>
      <c r="AD112" s="15">
        <f>'Adubos e corretivos'!K15</f>
        <v>0</v>
      </c>
      <c r="AE112" s="15">
        <f>'Adubos e corretivos'!L15</f>
        <v>0</v>
      </c>
      <c r="AF112" s="15">
        <f>'Adubos e corretivos'!M15</f>
        <v>0</v>
      </c>
      <c r="AG112" s="15">
        <f>'Adubos e corretivos'!N15</f>
        <v>0</v>
      </c>
      <c r="AH112" s="15">
        <f>'Adubos e corretivos'!O15</f>
        <v>0</v>
      </c>
      <c r="AI112" s="15">
        <f>'Adubos e corretivos'!P15</f>
        <v>0</v>
      </c>
      <c r="AJ112" s="15">
        <f>'Adubos e corretivos'!Q15</f>
        <v>0</v>
      </c>
      <c r="AK112" s="15">
        <f>'Adubos e corretivos'!R15</f>
        <v>0</v>
      </c>
      <c r="AL112" s="15">
        <f>'Adubos e corretivos'!S15</f>
        <v>0</v>
      </c>
      <c r="AM112" s="15">
        <f>'Adubos e corretivos'!T15</f>
        <v>45</v>
      </c>
      <c r="AN112" s="15">
        <f>'Adubos e corretivos'!U15</f>
        <v>0</v>
      </c>
      <c r="AO112" s="15">
        <f>'Adubos e corretivos'!V15</f>
        <v>0</v>
      </c>
    </row>
    <row r="113" spans="3:41" ht="20.25" customHeight="1" x14ac:dyDescent="0.25">
      <c r="M113" s="101" t="s">
        <v>269</v>
      </c>
      <c r="N113" s="102" t="s">
        <v>84</v>
      </c>
      <c r="O113" s="102" t="s">
        <v>87</v>
      </c>
      <c r="P113" s="102" t="s">
        <v>85</v>
      </c>
      <c r="Q113" s="102" t="s">
        <v>86</v>
      </c>
      <c r="R113" s="53"/>
      <c r="U113" s="342"/>
      <c r="V113" s="15">
        <f>'Adubos e corretivos'!C16</f>
        <v>0</v>
      </c>
      <c r="W113" s="15">
        <f>'Adubos e corretivos'!D16</f>
        <v>0</v>
      </c>
      <c r="X113" s="15">
        <f>'Adubos e corretivos'!E16</f>
        <v>0</v>
      </c>
      <c r="Y113" s="15">
        <f>'Adubos e corretivos'!F16</f>
        <v>0</v>
      </c>
      <c r="Z113" s="15">
        <f>'Adubos e corretivos'!G16</f>
        <v>0</v>
      </c>
      <c r="AA113" s="15">
        <f>'Adubos e corretivos'!H16</f>
        <v>0</v>
      </c>
      <c r="AB113" s="15">
        <f>'Adubos e corretivos'!I16</f>
        <v>0</v>
      </c>
      <c r="AC113" s="15">
        <f>'Adubos e corretivos'!J16</f>
        <v>0</v>
      </c>
      <c r="AD113" s="15">
        <f>'Adubos e corretivos'!K16</f>
        <v>0</v>
      </c>
      <c r="AE113" s="15">
        <f>'Adubos e corretivos'!L16</f>
        <v>0</v>
      </c>
      <c r="AF113" s="15">
        <f>'Adubos e corretivos'!M16</f>
        <v>0</v>
      </c>
      <c r="AG113" s="15">
        <f>'Adubos e corretivos'!N16</f>
        <v>0</v>
      </c>
      <c r="AH113" s="15">
        <f>'Adubos e corretivos'!O16</f>
        <v>0</v>
      </c>
      <c r="AI113" s="15">
        <f>'Adubos e corretivos'!P16</f>
        <v>0</v>
      </c>
      <c r="AJ113" s="15">
        <f>'Adubos e corretivos'!Q16</f>
        <v>0</v>
      </c>
      <c r="AK113" s="15">
        <f>'Adubos e corretivos'!R16</f>
        <v>0</v>
      </c>
      <c r="AL113" s="15">
        <f>'Adubos e corretivos'!S16</f>
        <v>0</v>
      </c>
      <c r="AM113" s="15">
        <f>'Adubos e corretivos'!T16</f>
        <v>0</v>
      </c>
      <c r="AN113" s="15">
        <f>'Adubos e corretivos'!U16</f>
        <v>0</v>
      </c>
      <c r="AO113" s="15">
        <f>'Adubos e corretivos'!V16</f>
        <v>0</v>
      </c>
    </row>
    <row r="114" spans="3:41" ht="20.25" customHeight="1" x14ac:dyDescent="0.25">
      <c r="M114" s="101" t="s">
        <v>262</v>
      </c>
      <c r="N114" s="103">
        <f>AS26</f>
        <v>0.9</v>
      </c>
      <c r="O114" s="103">
        <f>AT26</f>
        <v>0</v>
      </c>
      <c r="P114" s="103">
        <f>AU26</f>
        <v>0</v>
      </c>
      <c r="Q114" s="103">
        <f>AV26</f>
        <v>0</v>
      </c>
      <c r="R114" s="53"/>
      <c r="U114" s="342"/>
      <c r="V114" s="15">
        <f>'Adubos e corretivos'!C17</f>
        <v>0</v>
      </c>
      <c r="W114" s="15">
        <f>'Adubos e corretivos'!D17</f>
        <v>0</v>
      </c>
      <c r="X114" s="15">
        <f>'Adubos e corretivos'!E17</f>
        <v>0</v>
      </c>
      <c r="Y114" s="15">
        <f>'Adubos e corretivos'!F17</f>
        <v>0</v>
      </c>
      <c r="Z114" s="15">
        <f>'Adubos e corretivos'!G17</f>
        <v>0</v>
      </c>
      <c r="AA114" s="15">
        <f>'Adubos e corretivos'!H17</f>
        <v>0</v>
      </c>
      <c r="AB114" s="15">
        <f>'Adubos e corretivos'!I17</f>
        <v>0</v>
      </c>
      <c r="AC114" s="15">
        <f>'Adubos e corretivos'!J17</f>
        <v>0</v>
      </c>
      <c r="AD114" s="15">
        <f>'Adubos e corretivos'!K17</f>
        <v>0</v>
      </c>
      <c r="AE114" s="15">
        <f>'Adubos e corretivos'!L17</f>
        <v>0</v>
      </c>
      <c r="AF114" s="15">
        <f>'Adubos e corretivos'!M17</f>
        <v>0</v>
      </c>
      <c r="AG114" s="15">
        <f>'Adubos e corretivos'!N17</f>
        <v>0</v>
      </c>
      <c r="AH114" s="15">
        <f>'Adubos e corretivos'!O17</f>
        <v>0</v>
      </c>
      <c r="AI114" s="15">
        <f>'Adubos e corretivos'!P17</f>
        <v>0</v>
      </c>
      <c r="AJ114" s="15">
        <f>'Adubos e corretivos'!Q17</f>
        <v>0</v>
      </c>
      <c r="AK114" s="15">
        <f>'Adubos e corretivos'!R17</f>
        <v>0</v>
      </c>
      <c r="AL114" s="15">
        <f>'Adubos e corretivos'!S17</f>
        <v>0</v>
      </c>
      <c r="AM114" s="15">
        <f>'Adubos e corretivos'!T17</f>
        <v>0</v>
      </c>
      <c r="AN114" s="15">
        <f>'Adubos e corretivos'!U17</f>
        <v>0</v>
      </c>
      <c r="AO114" s="15">
        <f>'Adubos e corretivos'!V17</f>
        <v>0</v>
      </c>
    </row>
    <row r="115" spans="3:41" ht="20.25" customHeight="1" x14ac:dyDescent="0.25">
      <c r="M115" s="101" t="s">
        <v>270</v>
      </c>
      <c r="N115" s="63">
        <f>AW45</f>
        <v>0</v>
      </c>
      <c r="O115" s="63">
        <f>AX45</f>
        <v>0</v>
      </c>
      <c r="P115" s="63">
        <f>AY45</f>
        <v>0</v>
      </c>
      <c r="Q115" s="63">
        <f>AZ45</f>
        <v>0</v>
      </c>
      <c r="R115" s="53"/>
      <c r="U115" s="343" t="s">
        <v>226</v>
      </c>
      <c r="V115" s="15" t="str">
        <f>'Adubos e corretivos'!C18</f>
        <v>Formulado 00-18-00 (Timac)</v>
      </c>
      <c r="W115" s="15">
        <f>'Adubos e corretivos'!D18</f>
        <v>0</v>
      </c>
      <c r="X115" s="15">
        <f>'Adubos e corretivos'!E18</f>
        <v>0</v>
      </c>
      <c r="Y115" s="15">
        <f>'Adubos e corretivos'!F18</f>
        <v>7.87</v>
      </c>
      <c r="Z115" s="15">
        <f>'Adubos e corretivos'!G18</f>
        <v>18</v>
      </c>
      <c r="AA115" s="15">
        <f>'Adubos e corretivos'!H18</f>
        <v>0</v>
      </c>
      <c r="AB115" s="15">
        <f>'Adubos e corretivos'!I18</f>
        <v>0</v>
      </c>
      <c r="AC115" s="15">
        <f>'Adubos e corretivos'!J18</f>
        <v>0</v>
      </c>
      <c r="AD115" s="15">
        <f>'Adubos e corretivos'!K18</f>
        <v>0</v>
      </c>
      <c r="AE115" s="15">
        <f>'Adubos e corretivos'!L18</f>
        <v>0</v>
      </c>
      <c r="AF115" s="15">
        <f>'Adubos e corretivos'!M18</f>
        <v>0</v>
      </c>
      <c r="AG115" s="15">
        <f>'Adubos e corretivos'!N18</f>
        <v>0</v>
      </c>
      <c r="AH115" s="15">
        <f>'Adubos e corretivos'!O18</f>
        <v>0</v>
      </c>
      <c r="AI115" s="15">
        <f>'Adubos e corretivos'!P18</f>
        <v>0</v>
      </c>
      <c r="AJ115" s="15">
        <f>'Adubos e corretivos'!Q18</f>
        <v>0</v>
      </c>
      <c r="AK115" s="15">
        <f>'Adubos e corretivos'!R18</f>
        <v>0</v>
      </c>
      <c r="AL115" s="15">
        <f>'Adubos e corretivos'!S18</f>
        <v>0</v>
      </c>
      <c r="AM115" s="15">
        <f>'Adubos e corretivos'!T18</f>
        <v>0</v>
      </c>
      <c r="AN115" s="15">
        <f>'Adubos e corretivos'!U18</f>
        <v>0</v>
      </c>
      <c r="AO115" s="15">
        <f>'Adubos e corretivos'!V18</f>
        <v>0</v>
      </c>
    </row>
    <row r="116" spans="3:41" ht="20.25" customHeight="1" thickBot="1" x14ac:dyDescent="0.3">
      <c r="C116" s="25"/>
      <c r="D116" s="108"/>
      <c r="M116" s="69"/>
      <c r="N116" s="70"/>
      <c r="O116" s="70"/>
      <c r="P116" s="70"/>
      <c r="Q116" s="70"/>
      <c r="R116" s="71"/>
      <c r="U116" s="343"/>
      <c r="V116" s="15" t="str">
        <f>'Adubos e corretivos'!C19</f>
        <v>Formulado 04-14-08</v>
      </c>
      <c r="W116" s="15">
        <f>'Adubos e corretivos'!D19</f>
        <v>0</v>
      </c>
      <c r="X116" s="15">
        <f>'Adubos e corretivos'!E19</f>
        <v>4</v>
      </c>
      <c r="Y116" s="15">
        <f>'Adubos e corretivos'!F19</f>
        <v>6.15</v>
      </c>
      <c r="Z116" s="15">
        <f>'Adubos e corretivos'!G19</f>
        <v>14</v>
      </c>
      <c r="AA116" s="15">
        <f>'Adubos e corretivos'!H19</f>
        <v>6.65</v>
      </c>
      <c r="AB116" s="15">
        <f>'Adubos e corretivos'!I19</f>
        <v>8</v>
      </c>
      <c r="AC116" s="15">
        <f>'Adubos e corretivos'!J19</f>
        <v>0</v>
      </c>
      <c r="AD116" s="15">
        <f>'Adubos e corretivos'!K19</f>
        <v>0</v>
      </c>
      <c r="AE116" s="15">
        <f>'Adubos e corretivos'!L19</f>
        <v>0</v>
      </c>
      <c r="AF116" s="15">
        <f>'Adubos e corretivos'!M19</f>
        <v>0</v>
      </c>
      <c r="AG116" s="15">
        <f>'Adubos e corretivos'!N19</f>
        <v>0</v>
      </c>
      <c r="AH116" s="15">
        <f>'Adubos e corretivos'!O19</f>
        <v>0</v>
      </c>
      <c r="AI116" s="15">
        <f>'Adubos e corretivos'!P19</f>
        <v>0</v>
      </c>
      <c r="AJ116" s="15">
        <f>'Adubos e corretivos'!Q19</f>
        <v>0</v>
      </c>
      <c r="AK116" s="15">
        <f>'Adubos e corretivos'!R19</f>
        <v>0</v>
      </c>
      <c r="AL116" s="15">
        <f>'Adubos e corretivos'!S19</f>
        <v>0</v>
      </c>
      <c r="AM116" s="15">
        <f>'Adubos e corretivos'!T19</f>
        <v>0</v>
      </c>
      <c r="AN116" s="15">
        <f>'Adubos e corretivos'!U19</f>
        <v>0</v>
      </c>
      <c r="AO116" s="15">
        <f>'Adubos e corretivos'!V19</f>
        <v>0</v>
      </c>
    </row>
    <row r="117" spans="3:41" ht="20.25" customHeight="1" x14ac:dyDescent="0.25">
      <c r="C117" s="25"/>
      <c r="U117" s="343"/>
      <c r="V117" s="15" t="str">
        <f>'Adubos e corretivos'!C20</f>
        <v>Formulado 04-26-10 (Timac)</v>
      </c>
      <c r="W117" s="15">
        <f>'Adubos e corretivos'!D20</f>
        <v>0</v>
      </c>
      <c r="X117" s="15">
        <f>'Adubos e corretivos'!E20</f>
        <v>4</v>
      </c>
      <c r="Y117" s="15">
        <f>'Adubos e corretivos'!F20</f>
        <v>11.35</v>
      </c>
      <c r="Z117" s="15">
        <f>'Adubos e corretivos'!G20</f>
        <v>26</v>
      </c>
      <c r="AA117" s="15">
        <f>'Adubos e corretivos'!H20</f>
        <v>8.3000000000000007</v>
      </c>
      <c r="AB117" s="15">
        <f>'Adubos e corretivos'!I20</f>
        <v>10</v>
      </c>
      <c r="AC117" s="15">
        <f>'Adubos e corretivos'!J20</f>
        <v>0</v>
      </c>
      <c r="AD117" s="15">
        <f>'Adubos e corretivos'!K20</f>
        <v>0</v>
      </c>
      <c r="AE117" s="15">
        <f>'Adubos e corretivos'!L20</f>
        <v>0</v>
      </c>
      <c r="AF117" s="15">
        <f>'Adubos e corretivos'!M20</f>
        <v>0</v>
      </c>
      <c r="AG117" s="15">
        <f>'Adubos e corretivos'!N20</f>
        <v>0</v>
      </c>
      <c r="AH117" s="15">
        <f>'Adubos e corretivos'!O20</f>
        <v>0</v>
      </c>
      <c r="AI117" s="15">
        <f>'Adubos e corretivos'!P20</f>
        <v>0</v>
      </c>
      <c r="AJ117" s="15">
        <f>'Adubos e corretivos'!Q20</f>
        <v>0</v>
      </c>
      <c r="AK117" s="15">
        <f>'Adubos e corretivos'!R20</f>
        <v>0</v>
      </c>
      <c r="AL117" s="15">
        <f>'Adubos e corretivos'!S20</f>
        <v>0</v>
      </c>
      <c r="AM117" s="15">
        <f>'Adubos e corretivos'!T20</f>
        <v>0</v>
      </c>
      <c r="AN117" s="15">
        <f>'Adubos e corretivos'!U20</f>
        <v>0</v>
      </c>
      <c r="AO117" s="15">
        <f>'Adubos e corretivos'!V20</f>
        <v>0</v>
      </c>
    </row>
    <row r="118" spans="3:41" ht="20.25" customHeight="1" x14ac:dyDescent="0.25">
      <c r="C118" s="25"/>
      <c r="U118" s="343"/>
      <c r="V118" s="15" t="str">
        <f>'Adubos e corretivos'!C21</f>
        <v>Formulado 04-30-10</v>
      </c>
      <c r="W118" s="15">
        <f>'Adubos e corretivos'!D21</f>
        <v>0</v>
      </c>
      <c r="X118" s="15">
        <f>'Adubos e corretivos'!E21</f>
        <v>4</v>
      </c>
      <c r="Y118" s="15">
        <f>'Adubos e corretivos'!F21</f>
        <v>13.1</v>
      </c>
      <c r="Z118" s="15">
        <f>'Adubos e corretivos'!G21</f>
        <v>30</v>
      </c>
      <c r="AA118" s="15">
        <f>'Adubos e corretivos'!H21</f>
        <v>8.3000000000000007</v>
      </c>
      <c r="AB118" s="15">
        <f>'Adubos e corretivos'!I21</f>
        <v>10</v>
      </c>
      <c r="AC118" s="15">
        <f>'Adubos e corretivos'!J21</f>
        <v>0</v>
      </c>
      <c r="AD118" s="15">
        <f>'Adubos e corretivos'!K21</f>
        <v>0</v>
      </c>
      <c r="AE118" s="15">
        <f>'Adubos e corretivos'!L21</f>
        <v>0</v>
      </c>
      <c r="AF118" s="15">
        <f>'Adubos e corretivos'!M21</f>
        <v>0</v>
      </c>
      <c r="AG118" s="15">
        <f>'Adubos e corretivos'!N21</f>
        <v>0</v>
      </c>
      <c r="AH118" s="15">
        <f>'Adubos e corretivos'!O21</f>
        <v>0</v>
      </c>
      <c r="AI118" s="15">
        <f>'Adubos e corretivos'!P21</f>
        <v>0</v>
      </c>
      <c r="AJ118" s="15">
        <f>'Adubos e corretivos'!Q21</f>
        <v>0</v>
      </c>
      <c r="AK118" s="15">
        <f>'Adubos e corretivos'!R21</f>
        <v>0</v>
      </c>
      <c r="AL118" s="15">
        <f>'Adubos e corretivos'!S21</f>
        <v>0</v>
      </c>
      <c r="AM118" s="15">
        <f>'Adubos e corretivos'!T21</f>
        <v>0</v>
      </c>
      <c r="AN118" s="15">
        <f>'Adubos e corretivos'!U21</f>
        <v>0</v>
      </c>
      <c r="AO118" s="15">
        <f>'Adubos e corretivos'!V21</f>
        <v>0</v>
      </c>
    </row>
    <row r="119" spans="3:41" ht="20.25" customHeight="1" x14ac:dyDescent="0.25">
      <c r="C119" s="25"/>
      <c r="U119" s="343"/>
      <c r="V119" s="15" t="str">
        <f>'Adubos e corretivos'!C22</f>
        <v>Formulado 04-30-16</v>
      </c>
      <c r="W119" s="15">
        <f>'Adubos e corretivos'!D22</f>
        <v>0</v>
      </c>
      <c r="X119" s="15">
        <f>'Adubos e corretivos'!E22</f>
        <v>4</v>
      </c>
      <c r="Y119" s="15">
        <f>'Adubos e corretivos'!F22</f>
        <v>13.1</v>
      </c>
      <c r="Z119" s="15">
        <f>'Adubos e corretivos'!G22</f>
        <v>30</v>
      </c>
      <c r="AA119" s="15">
        <f>'Adubos e corretivos'!H22</f>
        <v>13.3</v>
      </c>
      <c r="AB119" s="15">
        <f>'Adubos e corretivos'!I22</f>
        <v>16</v>
      </c>
      <c r="AC119" s="15">
        <f>'Adubos e corretivos'!J22</f>
        <v>0</v>
      </c>
      <c r="AD119" s="15">
        <f>'Adubos e corretivos'!K22</f>
        <v>0</v>
      </c>
      <c r="AE119" s="15">
        <f>'Adubos e corretivos'!L22</f>
        <v>0</v>
      </c>
      <c r="AF119" s="15">
        <f>'Adubos e corretivos'!M22</f>
        <v>0</v>
      </c>
      <c r="AG119" s="15">
        <f>'Adubos e corretivos'!N22</f>
        <v>0</v>
      </c>
      <c r="AH119" s="15">
        <f>'Adubos e corretivos'!O22</f>
        <v>0</v>
      </c>
      <c r="AI119" s="15">
        <f>'Adubos e corretivos'!P22</f>
        <v>0</v>
      </c>
      <c r="AJ119" s="15">
        <f>'Adubos e corretivos'!Q22</f>
        <v>0</v>
      </c>
      <c r="AK119" s="15">
        <f>'Adubos e corretivos'!R22</f>
        <v>0</v>
      </c>
      <c r="AL119" s="15">
        <f>'Adubos e corretivos'!S22</f>
        <v>0</v>
      </c>
      <c r="AM119" s="15">
        <f>'Adubos e corretivos'!T22</f>
        <v>0</v>
      </c>
      <c r="AN119" s="15">
        <f>'Adubos e corretivos'!U22</f>
        <v>0</v>
      </c>
      <c r="AO119" s="15">
        <f>'Adubos e corretivos'!V22</f>
        <v>0</v>
      </c>
    </row>
    <row r="120" spans="3:41" ht="20.25" customHeight="1" x14ac:dyDescent="0.25">
      <c r="C120" s="25"/>
      <c r="U120" s="343"/>
      <c r="V120" s="15" t="str">
        <f>'Adubos e corretivos'!C23</f>
        <v>Formulado 05-25-15</v>
      </c>
      <c r="W120" s="15">
        <f>'Adubos e corretivos'!D23</f>
        <v>0</v>
      </c>
      <c r="X120" s="15">
        <f>'Adubos e corretivos'!E23</f>
        <v>5</v>
      </c>
      <c r="Y120" s="15">
        <f>'Adubos e corretivos'!F23</f>
        <v>10.95</v>
      </c>
      <c r="Z120" s="15">
        <f>'Adubos e corretivos'!G23</f>
        <v>25</v>
      </c>
      <c r="AA120" s="15">
        <f>'Adubos e corretivos'!H23</f>
        <v>12.45</v>
      </c>
      <c r="AB120" s="15">
        <f>'Adubos e corretivos'!I23</f>
        <v>15</v>
      </c>
      <c r="AC120" s="15">
        <f>'Adubos e corretivos'!J23</f>
        <v>0</v>
      </c>
      <c r="AD120" s="15">
        <f>'Adubos e corretivos'!K23</f>
        <v>0</v>
      </c>
      <c r="AE120" s="15">
        <f>'Adubos e corretivos'!L23</f>
        <v>0</v>
      </c>
      <c r="AF120" s="15">
        <f>'Adubos e corretivos'!M23</f>
        <v>0</v>
      </c>
      <c r="AG120" s="15">
        <f>'Adubos e corretivos'!N23</f>
        <v>0</v>
      </c>
      <c r="AH120" s="15">
        <f>'Adubos e corretivos'!O23</f>
        <v>0</v>
      </c>
      <c r="AI120" s="15">
        <f>'Adubos e corretivos'!P23</f>
        <v>0</v>
      </c>
      <c r="AJ120" s="15">
        <f>'Adubos e corretivos'!Q23</f>
        <v>0</v>
      </c>
      <c r="AK120" s="15">
        <f>'Adubos e corretivos'!R23</f>
        <v>0</v>
      </c>
      <c r="AL120" s="15">
        <f>'Adubos e corretivos'!S23</f>
        <v>0</v>
      </c>
      <c r="AM120" s="15">
        <f>'Adubos e corretivos'!T23</f>
        <v>0</v>
      </c>
      <c r="AN120" s="15">
        <f>'Adubos e corretivos'!U23</f>
        <v>0</v>
      </c>
      <c r="AO120" s="15">
        <f>'Adubos e corretivos'!V23</f>
        <v>0</v>
      </c>
    </row>
    <row r="121" spans="3:41" ht="20.25" customHeight="1" x14ac:dyDescent="0.25">
      <c r="C121" s="25"/>
      <c r="U121" s="343"/>
      <c r="V121" s="15" t="str">
        <f>'Adubos e corretivos'!C24</f>
        <v>Hortimax Plantio 03-18-05</v>
      </c>
      <c r="W121" s="15">
        <f>'Adubos e corretivos'!D24</f>
        <v>0</v>
      </c>
      <c r="X121" s="15">
        <f>'Adubos e corretivos'!E24</f>
        <v>3</v>
      </c>
      <c r="Y121" s="15">
        <f>'Adubos e corretivos'!F24</f>
        <v>7.87</v>
      </c>
      <c r="Z121" s="15">
        <f>'Adubos e corretivos'!G24</f>
        <v>18</v>
      </c>
      <c r="AA121" s="15">
        <f>'Adubos e corretivos'!H24</f>
        <v>4.2</v>
      </c>
      <c r="AB121" s="15">
        <f>'Adubos e corretivos'!I24</f>
        <v>5</v>
      </c>
      <c r="AC121" s="15">
        <f>'Adubos e corretivos'!J24</f>
        <v>0</v>
      </c>
      <c r="AD121" s="15">
        <f>'Adubos e corretivos'!K24</f>
        <v>0</v>
      </c>
      <c r="AE121" s="15">
        <f>'Adubos e corretivos'!L24</f>
        <v>0</v>
      </c>
      <c r="AF121" s="15">
        <f>'Adubos e corretivos'!M24</f>
        <v>0</v>
      </c>
      <c r="AG121" s="15">
        <f>'Adubos e corretivos'!N24</f>
        <v>0</v>
      </c>
      <c r="AH121" s="15">
        <f>'Adubos e corretivos'!O24</f>
        <v>0</v>
      </c>
      <c r="AI121" s="15">
        <f>'Adubos e corretivos'!P24</f>
        <v>0</v>
      </c>
      <c r="AJ121" s="15">
        <f>'Adubos e corretivos'!Q24</f>
        <v>0</v>
      </c>
      <c r="AK121" s="15">
        <f>'Adubos e corretivos'!R24</f>
        <v>0</v>
      </c>
      <c r="AL121" s="15">
        <f>'Adubos e corretivos'!S24</f>
        <v>0</v>
      </c>
      <c r="AM121" s="15">
        <f>'Adubos e corretivos'!T24</f>
        <v>0</v>
      </c>
      <c r="AN121" s="15">
        <f>'Adubos e corretivos'!U24</f>
        <v>0</v>
      </c>
      <c r="AO121" s="15">
        <f>'Adubos e corretivos'!V24</f>
        <v>0</v>
      </c>
    </row>
    <row r="122" spans="3:41" ht="20.25" customHeight="1" x14ac:dyDescent="0.25">
      <c r="C122" s="25"/>
      <c r="D122" s="25"/>
      <c r="U122" s="343"/>
      <c r="V122" s="15">
        <f>'Adubos e corretivos'!C25</f>
        <v>0</v>
      </c>
      <c r="W122" s="15">
        <f>'Adubos e corretivos'!D25</f>
        <v>0</v>
      </c>
      <c r="X122" s="15">
        <f>'Adubos e corretivos'!E25</f>
        <v>0</v>
      </c>
      <c r="Y122" s="15">
        <f>'Adubos e corretivos'!F25</f>
        <v>0</v>
      </c>
      <c r="Z122" s="15">
        <f>'Adubos e corretivos'!G25</f>
        <v>0</v>
      </c>
      <c r="AA122" s="15">
        <f>'Adubos e corretivos'!H25</f>
        <v>0</v>
      </c>
      <c r="AB122" s="15">
        <f>'Adubos e corretivos'!I25</f>
        <v>0</v>
      </c>
      <c r="AC122" s="15">
        <f>'Adubos e corretivos'!J25</f>
        <v>0</v>
      </c>
      <c r="AD122" s="15">
        <f>'Adubos e corretivos'!K25</f>
        <v>0</v>
      </c>
      <c r="AE122" s="15">
        <f>'Adubos e corretivos'!L25</f>
        <v>0</v>
      </c>
      <c r="AF122" s="15">
        <f>'Adubos e corretivos'!M25</f>
        <v>0</v>
      </c>
      <c r="AG122" s="15">
        <f>'Adubos e corretivos'!N25</f>
        <v>0</v>
      </c>
      <c r="AH122" s="15">
        <f>'Adubos e corretivos'!O25</f>
        <v>0</v>
      </c>
      <c r="AI122" s="15">
        <f>'Adubos e corretivos'!P25</f>
        <v>0</v>
      </c>
      <c r="AJ122" s="15">
        <f>'Adubos e corretivos'!Q25</f>
        <v>0</v>
      </c>
      <c r="AK122" s="15">
        <f>'Adubos e corretivos'!R25</f>
        <v>0</v>
      </c>
      <c r="AL122" s="15">
        <f>'Adubos e corretivos'!S25</f>
        <v>0</v>
      </c>
      <c r="AM122" s="15">
        <f>'Adubos e corretivos'!T25</f>
        <v>0</v>
      </c>
      <c r="AN122" s="15">
        <f>'Adubos e corretivos'!U25</f>
        <v>0</v>
      </c>
      <c r="AO122" s="15">
        <f>'Adubos e corretivos'!V25</f>
        <v>0</v>
      </c>
    </row>
    <row r="123" spans="3:41" ht="20.25" customHeight="1" x14ac:dyDescent="0.25">
      <c r="C123" s="25"/>
      <c r="D123" s="25"/>
      <c r="U123" s="343"/>
      <c r="V123" s="15" t="str">
        <f>'Adubos e corretivos'!C26</f>
        <v>Formulado 07-00-30 (Ncalcio)</v>
      </c>
      <c r="W123" s="15">
        <f>'Adubos e corretivos'!D26</f>
        <v>0</v>
      </c>
      <c r="X123" s="15">
        <f>'Adubos e corretivos'!E26</f>
        <v>7</v>
      </c>
      <c r="Y123" s="15">
        <f>'Adubos e corretivos'!F26</f>
        <v>0</v>
      </c>
      <c r="Z123" s="15">
        <f>'Adubos e corretivos'!G26</f>
        <v>0</v>
      </c>
      <c r="AA123" s="15">
        <f>'Adubos e corretivos'!H26</f>
        <v>24.89</v>
      </c>
      <c r="AB123" s="15">
        <f>'Adubos e corretivos'!I26</f>
        <v>30</v>
      </c>
      <c r="AC123" s="15">
        <f>'Adubos e corretivos'!J26</f>
        <v>0</v>
      </c>
      <c r="AD123" s="15">
        <f>'Adubos e corretivos'!K26</f>
        <v>0</v>
      </c>
      <c r="AE123" s="15">
        <f>'Adubos e corretivos'!L26</f>
        <v>0</v>
      </c>
      <c r="AF123" s="15">
        <f>'Adubos e corretivos'!M26</f>
        <v>0</v>
      </c>
      <c r="AG123" s="15">
        <f>'Adubos e corretivos'!N26</f>
        <v>0</v>
      </c>
      <c r="AH123" s="15">
        <f>'Adubos e corretivos'!O26</f>
        <v>0</v>
      </c>
      <c r="AI123" s="15">
        <f>'Adubos e corretivos'!P26</f>
        <v>0</v>
      </c>
      <c r="AJ123" s="15">
        <f>'Adubos e corretivos'!Q26</f>
        <v>0</v>
      </c>
      <c r="AK123" s="15">
        <f>'Adubos e corretivos'!R26</f>
        <v>0</v>
      </c>
      <c r="AL123" s="15">
        <f>'Adubos e corretivos'!S26</f>
        <v>0</v>
      </c>
      <c r="AM123" s="15">
        <f>'Adubos e corretivos'!T26</f>
        <v>0</v>
      </c>
      <c r="AN123" s="15">
        <f>'Adubos e corretivos'!U26</f>
        <v>0</v>
      </c>
      <c r="AO123" s="15">
        <f>'Adubos e corretivos'!V26</f>
        <v>0</v>
      </c>
    </row>
    <row r="124" spans="3:41" ht="20.25" customHeight="1" x14ac:dyDescent="0.25">
      <c r="C124" s="25"/>
      <c r="D124" s="25"/>
      <c r="U124" s="343"/>
      <c r="V124" s="15" t="str">
        <f>'Adubos e corretivos'!C27</f>
        <v>Formulado 10-10-10</v>
      </c>
      <c r="W124" s="15">
        <f>'Adubos e corretivos'!D27</f>
        <v>0</v>
      </c>
      <c r="X124" s="15">
        <f>'Adubos e corretivos'!E27</f>
        <v>10</v>
      </c>
      <c r="Y124" s="15">
        <f>'Adubos e corretivos'!F27</f>
        <v>4.4000000000000004</v>
      </c>
      <c r="Z124" s="15">
        <f>'Adubos e corretivos'!G27</f>
        <v>10</v>
      </c>
      <c r="AA124" s="15">
        <f>'Adubos e corretivos'!H27</f>
        <v>8.3000000000000007</v>
      </c>
      <c r="AB124" s="15">
        <f>'Adubos e corretivos'!I27</f>
        <v>10</v>
      </c>
      <c r="AC124" s="15">
        <f>'Adubos e corretivos'!J27</f>
        <v>0</v>
      </c>
      <c r="AD124" s="15">
        <f>'Adubos e corretivos'!K27</f>
        <v>0</v>
      </c>
      <c r="AE124" s="15">
        <f>'Adubos e corretivos'!L27</f>
        <v>0</v>
      </c>
      <c r="AF124" s="15">
        <f>'Adubos e corretivos'!M27</f>
        <v>0</v>
      </c>
      <c r="AG124" s="15">
        <f>'Adubos e corretivos'!N27</f>
        <v>0</v>
      </c>
      <c r="AH124" s="15">
        <f>'Adubos e corretivos'!O27</f>
        <v>0</v>
      </c>
      <c r="AI124" s="15">
        <f>'Adubos e corretivos'!P27</f>
        <v>0</v>
      </c>
      <c r="AJ124" s="15">
        <f>'Adubos e corretivos'!Q27</f>
        <v>0</v>
      </c>
      <c r="AK124" s="15">
        <f>'Adubos e corretivos'!R27</f>
        <v>0</v>
      </c>
      <c r="AL124" s="15">
        <f>'Adubos e corretivos'!S27</f>
        <v>0</v>
      </c>
      <c r="AM124" s="15">
        <f>'Adubos e corretivos'!T27</f>
        <v>0</v>
      </c>
      <c r="AN124" s="15">
        <f>'Adubos e corretivos'!U27</f>
        <v>0</v>
      </c>
      <c r="AO124" s="15">
        <f>'Adubos e corretivos'!V27</f>
        <v>0</v>
      </c>
    </row>
    <row r="125" spans="3:41" ht="20.25" customHeight="1" x14ac:dyDescent="0.25">
      <c r="U125" s="343"/>
      <c r="V125" s="15" t="str">
        <f>'Adubos e corretivos'!C28</f>
        <v>Formulado 12-03-24 (Timac)</v>
      </c>
      <c r="W125" s="15">
        <f>'Adubos e corretivos'!D28</f>
        <v>0</v>
      </c>
      <c r="X125" s="15">
        <f>'Adubos e corretivos'!E28</f>
        <v>12</v>
      </c>
      <c r="Y125" s="15">
        <f>'Adubos e corretivos'!F28</f>
        <v>1.31</v>
      </c>
      <c r="Z125" s="15">
        <f>'Adubos e corretivos'!G28</f>
        <v>3</v>
      </c>
      <c r="AA125" s="15">
        <f>'Adubos e corretivos'!H28</f>
        <v>20</v>
      </c>
      <c r="AB125" s="15">
        <f>'Adubos e corretivos'!I28</f>
        <v>24</v>
      </c>
      <c r="AC125" s="15">
        <f>'Adubos e corretivos'!J28</f>
        <v>0</v>
      </c>
      <c r="AD125" s="15">
        <f>'Adubos e corretivos'!K28</f>
        <v>0</v>
      </c>
      <c r="AE125" s="15">
        <f>'Adubos e corretivos'!L28</f>
        <v>0</v>
      </c>
      <c r="AF125" s="15">
        <f>'Adubos e corretivos'!M28</f>
        <v>0</v>
      </c>
      <c r="AG125" s="15">
        <f>'Adubos e corretivos'!N28</f>
        <v>0</v>
      </c>
      <c r="AH125" s="15">
        <f>'Adubos e corretivos'!O28</f>
        <v>0</v>
      </c>
      <c r="AI125" s="15">
        <f>'Adubos e corretivos'!P28</f>
        <v>0</v>
      </c>
      <c r="AJ125" s="15">
        <f>'Adubos e corretivos'!Q28</f>
        <v>0</v>
      </c>
      <c r="AK125" s="15">
        <f>'Adubos e corretivos'!R28</f>
        <v>0</v>
      </c>
      <c r="AL125" s="15">
        <f>'Adubos e corretivos'!S28</f>
        <v>0</v>
      </c>
      <c r="AM125" s="15">
        <f>'Adubos e corretivos'!T28</f>
        <v>0</v>
      </c>
      <c r="AN125" s="15">
        <f>'Adubos e corretivos'!U28</f>
        <v>0</v>
      </c>
      <c r="AO125" s="15">
        <f>'Adubos e corretivos'!V28</f>
        <v>0</v>
      </c>
    </row>
    <row r="126" spans="3:41" ht="20.25" customHeight="1" x14ac:dyDescent="0.25">
      <c r="U126" s="343"/>
      <c r="V126" s="15" t="str">
        <f>'Adubos e corretivos'!C29</f>
        <v>Formulado 20-00-20</v>
      </c>
      <c r="W126" s="15">
        <f>'Adubos e corretivos'!D29</f>
        <v>0</v>
      </c>
      <c r="X126" s="15">
        <f>'Adubos e corretivos'!E29</f>
        <v>20</v>
      </c>
      <c r="Y126" s="15">
        <f>'Adubos e corretivos'!F29</f>
        <v>0</v>
      </c>
      <c r="Z126" s="15">
        <f>'Adubos e corretivos'!G29</f>
        <v>0</v>
      </c>
      <c r="AA126" s="15">
        <f>'Adubos e corretivos'!H29</f>
        <v>16.600000000000001</v>
      </c>
      <c r="AB126" s="15">
        <f>'Adubos e corretivos'!I29</f>
        <v>20</v>
      </c>
      <c r="AC126" s="15">
        <f>'Adubos e corretivos'!J29</f>
        <v>0</v>
      </c>
      <c r="AD126" s="15">
        <f>'Adubos e corretivos'!K29</f>
        <v>0</v>
      </c>
      <c r="AE126" s="15">
        <f>'Adubos e corretivos'!L29</f>
        <v>0</v>
      </c>
      <c r="AF126" s="15">
        <f>'Adubos e corretivos'!M29</f>
        <v>0</v>
      </c>
      <c r="AG126" s="15">
        <f>'Adubos e corretivos'!N29</f>
        <v>0</v>
      </c>
      <c r="AH126" s="15">
        <f>'Adubos e corretivos'!O29</f>
        <v>0</v>
      </c>
      <c r="AI126" s="15">
        <f>'Adubos e corretivos'!P29</f>
        <v>0</v>
      </c>
      <c r="AJ126" s="15">
        <f>'Adubos e corretivos'!Q29</f>
        <v>0</v>
      </c>
      <c r="AK126" s="15">
        <f>'Adubos e corretivos'!R29</f>
        <v>0</v>
      </c>
      <c r="AL126" s="15">
        <f>'Adubos e corretivos'!S29</f>
        <v>0</v>
      </c>
      <c r="AM126" s="15">
        <f>'Adubos e corretivos'!T29</f>
        <v>0</v>
      </c>
      <c r="AN126" s="15">
        <f>'Adubos e corretivos'!U29</f>
        <v>0</v>
      </c>
      <c r="AO126" s="15">
        <f>'Adubos e corretivos'!V29</f>
        <v>0</v>
      </c>
    </row>
    <row r="127" spans="3:41" ht="20.25" customHeight="1" x14ac:dyDescent="0.25">
      <c r="U127" s="343"/>
      <c r="V127" s="15" t="str">
        <f>'Adubos e corretivos'!C30</f>
        <v>Hortimax Cobertura 13-3-25</v>
      </c>
      <c r="W127" s="15">
        <f>'Adubos e corretivos'!D30</f>
        <v>0</v>
      </c>
      <c r="X127" s="15">
        <f>'Adubos e corretivos'!E30</f>
        <v>13</v>
      </c>
      <c r="Y127" s="15">
        <f>'Adubos e corretivos'!F30</f>
        <v>1.31</v>
      </c>
      <c r="Z127" s="15">
        <f>'Adubos e corretivos'!G30</f>
        <v>3</v>
      </c>
      <c r="AA127" s="15">
        <f>'Adubos e corretivos'!H30</f>
        <v>20.8</v>
      </c>
      <c r="AB127" s="15">
        <f>'Adubos e corretivos'!I30</f>
        <v>25</v>
      </c>
      <c r="AC127" s="15">
        <f>'Adubos e corretivos'!J30</f>
        <v>0</v>
      </c>
      <c r="AD127" s="15">
        <f>'Adubos e corretivos'!K30</f>
        <v>0</v>
      </c>
      <c r="AE127" s="15">
        <f>'Adubos e corretivos'!L30</f>
        <v>0</v>
      </c>
      <c r="AF127" s="15">
        <f>'Adubos e corretivos'!M30</f>
        <v>0</v>
      </c>
      <c r="AG127" s="15">
        <f>'Adubos e corretivos'!N30</f>
        <v>0</v>
      </c>
      <c r="AH127" s="15">
        <f>'Adubos e corretivos'!O30</f>
        <v>0</v>
      </c>
      <c r="AI127" s="15">
        <f>'Adubos e corretivos'!P30</f>
        <v>0</v>
      </c>
      <c r="AJ127" s="15">
        <f>'Adubos e corretivos'!Q30</f>
        <v>0</v>
      </c>
      <c r="AK127" s="15">
        <f>'Adubos e corretivos'!R30</f>
        <v>0</v>
      </c>
      <c r="AL127" s="15">
        <f>'Adubos e corretivos'!S30</f>
        <v>0</v>
      </c>
      <c r="AM127" s="15">
        <f>'Adubos e corretivos'!T30</f>
        <v>0</v>
      </c>
      <c r="AN127" s="15">
        <f>'Adubos e corretivos'!U30</f>
        <v>0</v>
      </c>
      <c r="AO127" s="15">
        <f>'Adubos e corretivos'!V30</f>
        <v>0</v>
      </c>
    </row>
    <row r="128" spans="3:41" ht="20.25" customHeight="1" x14ac:dyDescent="0.25">
      <c r="U128" s="343"/>
      <c r="V128" s="15">
        <f>'Adubos e corretivos'!C31</f>
        <v>0</v>
      </c>
      <c r="W128" s="15">
        <f>'Adubos e corretivos'!D31</f>
        <v>0</v>
      </c>
      <c r="X128" s="15">
        <f>'Adubos e corretivos'!E31</f>
        <v>0</v>
      </c>
      <c r="Y128" s="15">
        <f>'Adubos e corretivos'!F31</f>
        <v>0</v>
      </c>
      <c r="Z128" s="15">
        <f>'Adubos e corretivos'!G31</f>
        <v>0</v>
      </c>
      <c r="AA128" s="15">
        <f>'Adubos e corretivos'!H31</f>
        <v>0</v>
      </c>
      <c r="AB128" s="15">
        <f>'Adubos e corretivos'!I31</f>
        <v>0</v>
      </c>
      <c r="AC128" s="15">
        <f>'Adubos e corretivos'!J31</f>
        <v>0</v>
      </c>
      <c r="AD128" s="15">
        <f>'Adubos e corretivos'!K31</f>
        <v>0</v>
      </c>
      <c r="AE128" s="15">
        <f>'Adubos e corretivos'!L31</f>
        <v>0</v>
      </c>
      <c r="AF128" s="15">
        <f>'Adubos e corretivos'!M31</f>
        <v>0</v>
      </c>
      <c r="AG128" s="15">
        <f>'Adubos e corretivos'!N31</f>
        <v>0</v>
      </c>
      <c r="AH128" s="15">
        <f>'Adubos e corretivos'!O31</f>
        <v>0</v>
      </c>
      <c r="AI128" s="15">
        <f>'Adubos e corretivos'!P31</f>
        <v>0</v>
      </c>
      <c r="AJ128" s="15">
        <f>'Adubos e corretivos'!Q31</f>
        <v>0</v>
      </c>
      <c r="AK128" s="15">
        <f>'Adubos e corretivos'!R31</f>
        <v>0</v>
      </c>
      <c r="AL128" s="15">
        <f>'Adubos e corretivos'!S31</f>
        <v>0</v>
      </c>
      <c r="AM128" s="15">
        <f>'Adubos e corretivos'!T31</f>
        <v>0</v>
      </c>
      <c r="AN128" s="15">
        <f>'Adubos e corretivos'!U31</f>
        <v>0</v>
      </c>
      <c r="AO128" s="15">
        <f>'Adubos e corretivos'!V31</f>
        <v>0</v>
      </c>
    </row>
    <row r="129" spans="21:41" ht="20.25" customHeight="1" x14ac:dyDescent="0.25">
      <c r="U129" s="343"/>
      <c r="V129" s="15">
        <f>'Adubos e corretivos'!C32</f>
        <v>0</v>
      </c>
      <c r="W129" s="15">
        <f>'Adubos e corretivos'!D32</f>
        <v>0</v>
      </c>
      <c r="X129" s="15">
        <f>'Adubos e corretivos'!E32</f>
        <v>0</v>
      </c>
      <c r="Y129" s="15">
        <f>'Adubos e corretivos'!F32</f>
        <v>0</v>
      </c>
      <c r="Z129" s="15">
        <f>'Adubos e corretivos'!G32</f>
        <v>0</v>
      </c>
      <c r="AA129" s="15">
        <f>'Adubos e corretivos'!H32</f>
        <v>0</v>
      </c>
      <c r="AB129" s="15">
        <f>'Adubos e corretivos'!I32</f>
        <v>0</v>
      </c>
      <c r="AC129" s="15">
        <f>'Adubos e corretivos'!J32</f>
        <v>0</v>
      </c>
      <c r="AD129" s="15">
        <f>'Adubos e corretivos'!K32</f>
        <v>0</v>
      </c>
      <c r="AE129" s="15">
        <f>'Adubos e corretivos'!L32</f>
        <v>0</v>
      </c>
      <c r="AF129" s="15">
        <f>'Adubos e corretivos'!M32</f>
        <v>0</v>
      </c>
      <c r="AG129" s="15">
        <f>'Adubos e corretivos'!N32</f>
        <v>0</v>
      </c>
      <c r="AH129" s="15">
        <f>'Adubos e corretivos'!O32</f>
        <v>0</v>
      </c>
      <c r="AI129" s="15">
        <f>'Adubos e corretivos'!P32</f>
        <v>0</v>
      </c>
      <c r="AJ129" s="15">
        <f>'Adubos e corretivos'!Q32</f>
        <v>0</v>
      </c>
      <c r="AK129" s="15">
        <f>'Adubos e corretivos'!R32</f>
        <v>0</v>
      </c>
      <c r="AL129" s="15">
        <f>'Adubos e corretivos'!S32</f>
        <v>0</v>
      </c>
      <c r="AM129" s="15">
        <f>'Adubos e corretivos'!T32</f>
        <v>0</v>
      </c>
      <c r="AN129" s="15">
        <f>'Adubos e corretivos'!U32</f>
        <v>0</v>
      </c>
      <c r="AO129" s="15">
        <f>'Adubos e corretivos'!V32</f>
        <v>0</v>
      </c>
    </row>
    <row r="130" spans="21:41" ht="20.25" customHeight="1" x14ac:dyDescent="0.25">
      <c r="U130" s="343"/>
      <c r="V130" s="15">
        <f>'Adubos e corretivos'!C33</f>
        <v>0</v>
      </c>
      <c r="W130" s="15">
        <f>'Adubos e corretivos'!D33</f>
        <v>0</v>
      </c>
      <c r="X130" s="15">
        <f>'Adubos e corretivos'!E33</f>
        <v>0</v>
      </c>
      <c r="Y130" s="15">
        <f>'Adubos e corretivos'!F33</f>
        <v>0</v>
      </c>
      <c r="Z130" s="15">
        <f>'Adubos e corretivos'!G33</f>
        <v>0</v>
      </c>
      <c r="AA130" s="15">
        <f>'Adubos e corretivos'!H33</f>
        <v>0</v>
      </c>
      <c r="AB130" s="15">
        <f>'Adubos e corretivos'!I33</f>
        <v>0</v>
      </c>
      <c r="AC130" s="15">
        <f>'Adubos e corretivos'!J33</f>
        <v>0</v>
      </c>
      <c r="AD130" s="15">
        <f>'Adubos e corretivos'!K33</f>
        <v>0</v>
      </c>
      <c r="AE130" s="15">
        <f>'Adubos e corretivos'!L33</f>
        <v>0</v>
      </c>
      <c r="AF130" s="15">
        <f>'Adubos e corretivos'!M33</f>
        <v>0</v>
      </c>
      <c r="AG130" s="15">
        <f>'Adubos e corretivos'!N33</f>
        <v>0</v>
      </c>
      <c r="AH130" s="15">
        <f>'Adubos e corretivos'!O33</f>
        <v>0</v>
      </c>
      <c r="AI130" s="15">
        <f>'Adubos e corretivos'!P33</f>
        <v>0</v>
      </c>
      <c r="AJ130" s="15">
        <f>'Adubos e corretivos'!Q33</f>
        <v>0</v>
      </c>
      <c r="AK130" s="15">
        <f>'Adubos e corretivos'!R33</f>
        <v>0</v>
      </c>
      <c r="AL130" s="15">
        <f>'Adubos e corretivos'!S33</f>
        <v>0</v>
      </c>
      <c r="AM130" s="15">
        <f>'Adubos e corretivos'!T33</f>
        <v>0</v>
      </c>
      <c r="AN130" s="15">
        <f>'Adubos e corretivos'!U33</f>
        <v>0</v>
      </c>
      <c r="AO130" s="15">
        <f>'Adubos e corretivos'!V33</f>
        <v>0</v>
      </c>
    </row>
    <row r="131" spans="21:41" ht="20.25" customHeight="1" x14ac:dyDescent="0.25">
      <c r="U131" s="462" t="s">
        <v>280</v>
      </c>
      <c r="V131" s="15" t="str">
        <f>'Adubos e corretivos'!C34</f>
        <v>Biobokashi Farelado FERTIBIO (61 9827-4439)</v>
      </c>
      <c r="W131" s="15">
        <f>'Adubos e corretivos'!D34</f>
        <v>0</v>
      </c>
      <c r="X131" s="15">
        <f>'Adubos e corretivos'!E34</f>
        <v>0</v>
      </c>
      <c r="Y131" s="15">
        <f>'Adubos e corretivos'!F34</f>
        <v>0</v>
      </c>
      <c r="Z131" s="15">
        <f>'Adubos e corretivos'!G34</f>
        <v>0</v>
      </c>
      <c r="AA131" s="15">
        <f>'Adubos e corretivos'!H34</f>
        <v>0</v>
      </c>
      <c r="AB131" s="15">
        <f>'Adubos e corretivos'!I34</f>
        <v>0</v>
      </c>
      <c r="AC131" s="15">
        <f>'Adubos e corretivos'!J34</f>
        <v>0</v>
      </c>
      <c r="AD131" s="15">
        <f>'Adubos e corretivos'!K34</f>
        <v>0</v>
      </c>
      <c r="AE131" s="15">
        <f>'Adubos e corretivos'!L34</f>
        <v>0</v>
      </c>
      <c r="AF131" s="15">
        <f>'Adubos e corretivos'!M34</f>
        <v>0</v>
      </c>
      <c r="AG131" s="15">
        <f>'Adubos e corretivos'!N34</f>
        <v>0</v>
      </c>
      <c r="AH131" s="15">
        <f>'Adubos e corretivos'!O34</f>
        <v>0</v>
      </c>
      <c r="AI131" s="15">
        <f>'Adubos e corretivos'!P34</f>
        <v>0</v>
      </c>
      <c r="AJ131" s="15">
        <f>'Adubos e corretivos'!Q34</f>
        <v>0</v>
      </c>
      <c r="AK131" s="15">
        <f>'Adubos e corretivos'!R34</f>
        <v>0</v>
      </c>
      <c r="AL131" s="15">
        <f>'Adubos e corretivos'!S34</f>
        <v>0</v>
      </c>
      <c r="AM131" s="15">
        <f>'Adubos e corretivos'!T34</f>
        <v>0</v>
      </c>
      <c r="AN131" s="15">
        <f>'Adubos e corretivos'!U34</f>
        <v>0</v>
      </c>
      <c r="AO131" s="15">
        <f>'Adubos e corretivos'!V34</f>
        <v>0</v>
      </c>
    </row>
    <row r="132" spans="21:41" ht="20.25" customHeight="1" x14ac:dyDescent="0.25">
      <c r="U132" s="462"/>
      <c r="V132" s="15" t="str">
        <f>'Adubos e corretivos'!C35</f>
        <v>Bokashi Carlos (061 9 9681-3730)</v>
      </c>
      <c r="W132" s="15">
        <f>'Adubos e corretivos'!D35</f>
        <v>0</v>
      </c>
      <c r="X132" s="15">
        <f>'Adubos e corretivos'!E35</f>
        <v>3</v>
      </c>
      <c r="Y132" s="15">
        <f>'Adubos e corretivos'!F35</f>
        <v>2.63</v>
      </c>
      <c r="Z132" s="15">
        <f>'Adubos e corretivos'!G35</f>
        <v>6</v>
      </c>
      <c r="AA132" s="15">
        <f>'Adubos e corretivos'!H35</f>
        <v>3.32</v>
      </c>
      <c r="AB132" s="15">
        <f>'Adubos e corretivos'!I35</f>
        <v>4</v>
      </c>
      <c r="AC132" s="15">
        <f>'Adubos e corretivos'!J35</f>
        <v>0</v>
      </c>
      <c r="AD132" s="15">
        <f>'Adubos e corretivos'!K35</f>
        <v>0</v>
      </c>
      <c r="AE132" s="15">
        <f>'Adubos e corretivos'!L35</f>
        <v>0</v>
      </c>
      <c r="AF132" s="15">
        <f>'Adubos e corretivos'!M35</f>
        <v>0</v>
      </c>
      <c r="AG132" s="15">
        <f>'Adubos e corretivos'!N35</f>
        <v>0</v>
      </c>
      <c r="AH132" s="15">
        <f>'Adubos e corretivos'!O35</f>
        <v>0</v>
      </c>
      <c r="AI132" s="15">
        <f>'Adubos e corretivos'!P35</f>
        <v>0</v>
      </c>
      <c r="AJ132" s="15">
        <f>'Adubos e corretivos'!Q35</f>
        <v>0</v>
      </c>
      <c r="AK132" s="15">
        <f>'Adubos e corretivos'!R35</f>
        <v>0</v>
      </c>
      <c r="AL132" s="15">
        <f>'Adubos e corretivos'!S35</f>
        <v>0</v>
      </c>
      <c r="AM132" s="15">
        <f>'Adubos e corretivos'!T35</f>
        <v>0</v>
      </c>
      <c r="AN132" s="15">
        <f>'Adubos e corretivos'!U35</f>
        <v>0</v>
      </c>
      <c r="AO132" s="15">
        <f>'Adubos e corretivos'!V35</f>
        <v>0</v>
      </c>
    </row>
    <row r="133" spans="21:41" ht="20.25" customHeight="1" x14ac:dyDescent="0.25">
      <c r="U133" s="462"/>
      <c r="V133" s="15" t="str">
        <f>'Adubos e corretivos'!C36</f>
        <v>Bokashi ORGANICS (062 3247-3100)</v>
      </c>
      <c r="W133" s="15">
        <f>'Adubos e corretivos'!D36</f>
        <v>0</v>
      </c>
      <c r="X133" s="15">
        <f>'Adubos e corretivos'!E36</f>
        <v>3</v>
      </c>
      <c r="Y133" s="15">
        <f>'Adubos e corretivos'!F36</f>
        <v>2.19</v>
      </c>
      <c r="Z133" s="15">
        <f>'Adubos e corretivos'!G36</f>
        <v>5</v>
      </c>
      <c r="AA133" s="15">
        <f>'Adubos e corretivos'!H36</f>
        <v>3.32</v>
      </c>
      <c r="AB133" s="15">
        <f>'Adubos e corretivos'!I36</f>
        <v>4</v>
      </c>
      <c r="AC133" s="15">
        <f>'Adubos e corretivos'!J36</f>
        <v>0</v>
      </c>
      <c r="AD133" s="15">
        <f>'Adubos e corretivos'!K36</f>
        <v>0</v>
      </c>
      <c r="AE133" s="15">
        <f>'Adubos e corretivos'!L36</f>
        <v>0</v>
      </c>
      <c r="AF133" s="15">
        <f>'Adubos e corretivos'!M36</f>
        <v>0</v>
      </c>
      <c r="AG133" s="15">
        <f>'Adubos e corretivos'!N36</f>
        <v>0</v>
      </c>
      <c r="AH133" s="15">
        <f>'Adubos e corretivos'!O36</f>
        <v>0</v>
      </c>
      <c r="AI133" s="15">
        <f>'Adubos e corretivos'!P36</f>
        <v>0</v>
      </c>
      <c r="AJ133" s="15">
        <f>'Adubos e corretivos'!Q36</f>
        <v>0</v>
      </c>
      <c r="AK133" s="15">
        <f>'Adubos e corretivos'!R36</f>
        <v>0</v>
      </c>
      <c r="AL133" s="15">
        <f>'Adubos e corretivos'!S36</f>
        <v>0</v>
      </c>
      <c r="AM133" s="15">
        <f>'Adubos e corretivos'!T36</f>
        <v>0</v>
      </c>
      <c r="AN133" s="15">
        <f>'Adubos e corretivos'!U36</f>
        <v>0</v>
      </c>
      <c r="AO133" s="15">
        <f>'Adubos e corretivos'!V36</f>
        <v>0</v>
      </c>
    </row>
    <row r="134" spans="21:41" ht="20.25" customHeight="1" x14ac:dyDescent="0.25">
      <c r="U134" s="462"/>
      <c r="V134" s="15" t="str">
        <f>'Adubos e corretivos'!C37</f>
        <v>Bokashi Valdemar (9 9811-2414)</v>
      </c>
      <c r="W134" s="15">
        <f>'Adubos e corretivos'!D37</f>
        <v>0</v>
      </c>
      <c r="X134" s="15">
        <f>'Adubos e corretivos'!E37</f>
        <v>3</v>
      </c>
      <c r="Y134" s="15">
        <f>'Adubos e corretivos'!F37</f>
        <v>2.63</v>
      </c>
      <c r="Z134" s="15">
        <f>'Adubos e corretivos'!G37</f>
        <v>6</v>
      </c>
      <c r="AA134" s="15">
        <f>'Adubos e corretivos'!H37</f>
        <v>3.32</v>
      </c>
      <c r="AB134" s="15">
        <f>'Adubos e corretivos'!I37</f>
        <v>4</v>
      </c>
      <c r="AC134" s="15">
        <f>'Adubos e corretivos'!J37</f>
        <v>0</v>
      </c>
      <c r="AD134" s="15">
        <f>'Adubos e corretivos'!K37</f>
        <v>0</v>
      </c>
      <c r="AE134" s="15">
        <f>'Adubos e corretivos'!L37</f>
        <v>0</v>
      </c>
      <c r="AF134" s="15">
        <f>'Adubos e corretivos'!M37</f>
        <v>0</v>
      </c>
      <c r="AG134" s="15">
        <f>'Adubos e corretivos'!N37</f>
        <v>0</v>
      </c>
      <c r="AH134" s="15">
        <f>'Adubos e corretivos'!O37</f>
        <v>0</v>
      </c>
      <c r="AI134" s="15">
        <f>'Adubos e corretivos'!P37</f>
        <v>0</v>
      </c>
      <c r="AJ134" s="15">
        <f>'Adubos e corretivos'!Q37</f>
        <v>0</v>
      </c>
      <c r="AK134" s="15">
        <f>'Adubos e corretivos'!R37</f>
        <v>0</v>
      </c>
      <c r="AL134" s="15">
        <f>'Adubos e corretivos'!S37</f>
        <v>0</v>
      </c>
      <c r="AM134" s="15">
        <f>'Adubos e corretivos'!T37</f>
        <v>0</v>
      </c>
      <c r="AN134" s="15">
        <f>'Adubos e corretivos'!U37</f>
        <v>0</v>
      </c>
      <c r="AO134" s="15">
        <f>'Adubos e corretivos'!V37</f>
        <v>0</v>
      </c>
    </row>
    <row r="135" spans="21:41" ht="20.25" customHeight="1" x14ac:dyDescent="0.25">
      <c r="U135" s="462"/>
      <c r="V135" s="15" t="str">
        <f>'Adubos e corretivos'!C38</f>
        <v>Composto Bioensima BONASA (061 9 9967-0863)</v>
      </c>
      <c r="W135" s="15">
        <f>'Adubos e corretivos'!D38</f>
        <v>0</v>
      </c>
      <c r="X135" s="15">
        <f>'Adubos e corretivos'!E38</f>
        <v>2.57</v>
      </c>
      <c r="Y135" s="15">
        <f>'Adubos e corretivos'!F38</f>
        <v>0.55500000000000005</v>
      </c>
      <c r="Z135" s="15">
        <f>'Adubos e corretivos'!G38</f>
        <v>1.3</v>
      </c>
      <c r="AA135" s="15">
        <f>'Adubos e corretivos'!H38</f>
        <v>1.25</v>
      </c>
      <c r="AB135" s="15">
        <f>'Adubos e corretivos'!I38</f>
        <v>1.5</v>
      </c>
      <c r="AC135" s="15">
        <f>'Adubos e corretivos'!J38</f>
        <v>4.3</v>
      </c>
      <c r="AD135" s="15">
        <f>'Adubos e corretivos'!K38</f>
        <v>0.6</v>
      </c>
      <c r="AE135" s="15">
        <f>'Adubos e corretivos'!L38</f>
        <v>0.6</v>
      </c>
      <c r="AF135" s="15">
        <f>'Adubos e corretivos'!M38</f>
        <v>9.2E-6</v>
      </c>
      <c r="AG135" s="15">
        <f>'Adubos e corretivos'!N38</f>
        <v>3.9199999999999999E-4</v>
      </c>
      <c r="AH135" s="15">
        <f>'Adubos e corretivos'!O38</f>
        <v>0</v>
      </c>
      <c r="AI135" s="15">
        <f>'Adubos e corretivos'!P38</f>
        <v>4.55E-4</v>
      </c>
      <c r="AJ135" s="15">
        <f>'Adubos e corretivos'!Q38</f>
        <v>0</v>
      </c>
      <c r="AK135" s="15">
        <f>'Adubos e corretivos'!R38</f>
        <v>7.7200000000000006E-5</v>
      </c>
      <c r="AL135" s="15">
        <f>'Adubos e corretivos'!S38</f>
        <v>0</v>
      </c>
      <c r="AM135" s="15">
        <f>'Adubos e corretivos'!T38</f>
        <v>0</v>
      </c>
      <c r="AN135" s="15">
        <f>'Adubos e corretivos'!U38</f>
        <v>0</v>
      </c>
      <c r="AO135" s="15">
        <f>'Adubos e corretivos'!V38</f>
        <v>0</v>
      </c>
    </row>
    <row r="136" spans="21:41" ht="20.25" customHeight="1" x14ac:dyDescent="0.25">
      <c r="U136" s="462"/>
      <c r="V136" s="15" t="str">
        <f>'Adubos e corretivos'!C39</f>
        <v>Composto Bioforte BONASA (061 9 9967-0863)</v>
      </c>
      <c r="W136" s="15">
        <f>'Adubos e corretivos'!D39</f>
        <v>0</v>
      </c>
      <c r="X136" s="15">
        <f>'Adubos e corretivos'!E39</f>
        <v>1.7</v>
      </c>
      <c r="Y136" s="15">
        <f>'Adubos e corretivos'!F39</f>
        <v>0.77800000000000002</v>
      </c>
      <c r="Z136" s="15">
        <f>'Adubos e corretivos'!G39</f>
        <v>1.8</v>
      </c>
      <c r="AA136" s="15">
        <f>'Adubos e corretivos'!H39</f>
        <v>0.93</v>
      </c>
      <c r="AB136" s="15">
        <f>'Adubos e corretivos'!I39</f>
        <v>1.1000000000000001</v>
      </c>
      <c r="AC136" s="15">
        <f>'Adubos e corretivos'!J39</f>
        <v>3.5</v>
      </c>
      <c r="AD136" s="15">
        <f>'Adubos e corretivos'!K39</f>
        <v>0.69</v>
      </c>
      <c r="AE136" s="15">
        <f>'Adubos e corretivos'!L39</f>
        <v>0.54</v>
      </c>
      <c r="AF136" s="15">
        <f>'Adubos e corretivos'!M39</f>
        <v>2.05E-5</v>
      </c>
      <c r="AG136" s="15">
        <f>'Adubos e corretivos'!N39</f>
        <v>4.2999999999999999E-4</v>
      </c>
      <c r="AH136" s="15">
        <f>'Adubos e corretivos'!O39</f>
        <v>0</v>
      </c>
      <c r="AI136" s="15">
        <f>'Adubos e corretivos'!P39</f>
        <v>4.6900000000000002E-4</v>
      </c>
      <c r="AJ136" s="15">
        <f>'Adubos e corretivos'!Q39</f>
        <v>0</v>
      </c>
      <c r="AK136" s="15">
        <f>'Adubos e corretivos'!R39</f>
        <v>5.9700000000000001E-5</v>
      </c>
      <c r="AL136" s="15">
        <f>'Adubos e corretivos'!S39</f>
        <v>0</v>
      </c>
      <c r="AM136" s="15">
        <f>'Adubos e corretivos'!T39</f>
        <v>0</v>
      </c>
      <c r="AN136" s="15">
        <f>'Adubos e corretivos'!U39</f>
        <v>0</v>
      </c>
      <c r="AO136" s="15">
        <f>'Adubos e corretivos'!V39</f>
        <v>0</v>
      </c>
    </row>
    <row r="137" spans="21:41" ht="20.25" customHeight="1" x14ac:dyDescent="0.25">
      <c r="U137" s="462"/>
      <c r="V137" s="15" t="str">
        <f>'Adubos e corretivos'!C40</f>
        <v>Composto Biojá BONASA (061 9 9967-0863)</v>
      </c>
      <c r="W137" s="15">
        <f>'Adubos e corretivos'!D40</f>
        <v>0</v>
      </c>
      <c r="X137" s="15">
        <f>'Adubos e corretivos'!E40</f>
        <v>1.8</v>
      </c>
      <c r="Y137" s="15">
        <f>'Adubos e corretivos'!F40</f>
        <v>0.62</v>
      </c>
      <c r="Z137" s="15">
        <f>'Adubos e corretivos'!G40</f>
        <v>1.4</v>
      </c>
      <c r="AA137" s="15">
        <f>'Adubos e corretivos'!H40</f>
        <v>1.34</v>
      </c>
      <c r="AB137" s="15">
        <f>'Adubos e corretivos'!I40</f>
        <v>1.6</v>
      </c>
      <c r="AC137" s="15">
        <f>'Adubos e corretivos'!J40</f>
        <v>2.4500000000000002</v>
      </c>
      <c r="AD137" s="15">
        <f>'Adubos e corretivos'!K40</f>
        <v>0.5</v>
      </c>
      <c r="AE137" s="15">
        <f>'Adubos e corretivos'!L40</f>
        <v>0.42</v>
      </c>
      <c r="AF137" s="15">
        <f>'Adubos e corretivos'!M40</f>
        <v>3.7400000000000001E-5</v>
      </c>
      <c r="AG137" s="15">
        <f>'Adubos e corretivos'!N40</f>
        <v>2.5399999999999999E-4</v>
      </c>
      <c r="AH137" s="15">
        <f>'Adubos e corretivos'!O40</f>
        <v>0</v>
      </c>
      <c r="AI137" s="15">
        <f>'Adubos e corretivos'!P40</f>
        <v>4.6500000000000003E-4</v>
      </c>
      <c r="AJ137" s="15">
        <f>'Adubos e corretivos'!Q40</f>
        <v>0</v>
      </c>
      <c r="AK137" s="15">
        <f>'Adubos e corretivos'!R40</f>
        <v>3.339E-3</v>
      </c>
      <c r="AL137" s="15">
        <f>'Adubos e corretivos'!S40</f>
        <v>0</v>
      </c>
      <c r="AM137" s="15">
        <f>'Adubos e corretivos'!T40</f>
        <v>0</v>
      </c>
      <c r="AN137" s="15">
        <f>'Adubos e corretivos'!U40</f>
        <v>0</v>
      </c>
      <c r="AO137" s="15">
        <f>'Adubos e corretivos'!V40</f>
        <v>0</v>
      </c>
    </row>
    <row r="138" spans="21:41" ht="20.25" customHeight="1" x14ac:dyDescent="0.25">
      <c r="U138" s="462"/>
      <c r="V138" s="15" t="str">
        <f>'Adubos e corretivos'!C41</f>
        <v>Composto ORGANICS (062 3247-3100)</v>
      </c>
      <c r="W138" s="15">
        <f>'Adubos e corretivos'!D41</f>
        <v>0</v>
      </c>
      <c r="X138" s="15">
        <f>'Adubos e corretivos'!E41</f>
        <v>3</v>
      </c>
      <c r="Y138" s="15">
        <f>'Adubos e corretivos'!F41</f>
        <v>2.63</v>
      </c>
      <c r="Z138" s="15">
        <f>'Adubos e corretivos'!G41</f>
        <v>6</v>
      </c>
      <c r="AA138" s="15">
        <f>'Adubos e corretivos'!H41</f>
        <v>3.32</v>
      </c>
      <c r="AB138" s="15">
        <f>'Adubos e corretivos'!I41</f>
        <v>4</v>
      </c>
      <c r="AC138" s="15">
        <f>'Adubos e corretivos'!J41</f>
        <v>0</v>
      </c>
      <c r="AD138" s="15">
        <f>'Adubos e corretivos'!K41</f>
        <v>0</v>
      </c>
      <c r="AE138" s="15">
        <f>'Adubos e corretivos'!L41</f>
        <v>0</v>
      </c>
      <c r="AF138" s="15">
        <f>'Adubos e corretivos'!M41</f>
        <v>0</v>
      </c>
      <c r="AG138" s="15">
        <f>'Adubos e corretivos'!N41</f>
        <v>0</v>
      </c>
      <c r="AH138" s="15">
        <f>'Adubos e corretivos'!O41</f>
        <v>0</v>
      </c>
      <c r="AI138" s="15">
        <f>'Adubos e corretivos'!P41</f>
        <v>0</v>
      </c>
      <c r="AJ138" s="15">
        <f>'Adubos e corretivos'!Q41</f>
        <v>0</v>
      </c>
      <c r="AK138" s="15">
        <f>'Adubos e corretivos'!R41</f>
        <v>0</v>
      </c>
      <c r="AL138" s="15">
        <f>'Adubos e corretivos'!S41</f>
        <v>0</v>
      </c>
      <c r="AM138" s="15">
        <f>'Adubos e corretivos'!T41</f>
        <v>0</v>
      </c>
      <c r="AN138" s="15">
        <f>'Adubos e corretivos'!U41</f>
        <v>0</v>
      </c>
      <c r="AO138" s="15">
        <f>'Adubos e corretivos'!V41</f>
        <v>0</v>
      </c>
    </row>
    <row r="139" spans="21:41" ht="20.25" customHeight="1" x14ac:dyDescent="0.25">
      <c r="U139" s="462"/>
      <c r="V139" s="15" t="str">
        <f>'Adubos e corretivos'!C42</f>
        <v>Esterco de gado</v>
      </c>
      <c r="W139" s="15">
        <f>'Adubos e corretivos'!D42</f>
        <v>0</v>
      </c>
      <c r="X139" s="15">
        <f>'Adubos e corretivos'!E42</f>
        <v>1</v>
      </c>
      <c r="Y139" s="15">
        <f>'Adubos e corretivos'!F42</f>
        <v>0.4366666666666667</v>
      </c>
      <c r="Z139" s="15">
        <f>'Adubos e corretivos'!G42</f>
        <v>1</v>
      </c>
      <c r="AA139" s="15">
        <f>'Adubos e corretivos'!H42</f>
        <v>0.55500000000000005</v>
      </c>
      <c r="AB139" s="15">
        <f>'Adubos e corretivos'!I42</f>
        <v>0.7</v>
      </c>
      <c r="AC139" s="15">
        <f>'Adubos e corretivos'!J42</f>
        <v>0</v>
      </c>
      <c r="AD139" s="15">
        <f>'Adubos e corretivos'!K42</f>
        <v>0</v>
      </c>
      <c r="AE139" s="15">
        <f>'Adubos e corretivos'!L42</f>
        <v>0</v>
      </c>
      <c r="AF139" s="15">
        <f>'Adubos e corretivos'!M42</f>
        <v>0</v>
      </c>
      <c r="AG139" s="15">
        <f>'Adubos e corretivos'!N42</f>
        <v>0</v>
      </c>
      <c r="AH139" s="15">
        <f>'Adubos e corretivos'!O42</f>
        <v>0</v>
      </c>
      <c r="AI139" s="15">
        <f>'Adubos e corretivos'!P42</f>
        <v>0</v>
      </c>
      <c r="AJ139" s="15">
        <f>'Adubos e corretivos'!Q42</f>
        <v>0</v>
      </c>
      <c r="AK139" s="15">
        <f>'Adubos e corretivos'!R42</f>
        <v>0</v>
      </c>
      <c r="AL139" s="15">
        <f>'Adubos e corretivos'!S42</f>
        <v>0</v>
      </c>
      <c r="AM139" s="15">
        <f>'Adubos e corretivos'!T42</f>
        <v>0</v>
      </c>
      <c r="AN139" s="15">
        <f>'Adubos e corretivos'!U42</f>
        <v>0</v>
      </c>
      <c r="AO139" s="15">
        <f>'Adubos e corretivos'!V42</f>
        <v>0</v>
      </c>
    </row>
    <row r="140" spans="21:41" ht="20.25" customHeight="1" x14ac:dyDescent="0.25">
      <c r="U140" s="462"/>
      <c r="V140" s="15" t="str">
        <f>'Adubos e corretivos'!C43</f>
        <v>Esterco de galinha</v>
      </c>
      <c r="W140" s="15">
        <f>'Adubos e corretivos'!D43</f>
        <v>0</v>
      </c>
      <c r="X140" s="15">
        <f>'Adubos e corretivos'!E43</f>
        <v>3</v>
      </c>
      <c r="Y140" s="15">
        <f>'Adubos e corretivos'!F43</f>
        <v>1.31</v>
      </c>
      <c r="Z140" s="15">
        <f>'Adubos e corretivos'!G43</f>
        <v>3</v>
      </c>
      <c r="AA140" s="15">
        <f>'Adubos e corretivos'!H43</f>
        <v>1.665</v>
      </c>
      <c r="AB140" s="15">
        <f>'Adubos e corretivos'!I43</f>
        <v>2</v>
      </c>
      <c r="AC140" s="15">
        <f>'Adubos e corretivos'!J43</f>
        <v>0</v>
      </c>
      <c r="AD140" s="15">
        <f>'Adubos e corretivos'!K43</f>
        <v>0</v>
      </c>
      <c r="AE140" s="15">
        <f>'Adubos e corretivos'!L43</f>
        <v>0</v>
      </c>
      <c r="AF140" s="15">
        <f>'Adubos e corretivos'!M43</f>
        <v>0</v>
      </c>
      <c r="AG140" s="15">
        <f>'Adubos e corretivos'!N43</f>
        <v>0</v>
      </c>
      <c r="AH140" s="15">
        <f>'Adubos e corretivos'!O43</f>
        <v>0</v>
      </c>
      <c r="AI140" s="15">
        <f>'Adubos e corretivos'!P43</f>
        <v>0</v>
      </c>
      <c r="AJ140" s="15">
        <f>'Adubos e corretivos'!Q43</f>
        <v>0</v>
      </c>
      <c r="AK140" s="15">
        <f>'Adubos e corretivos'!R43</f>
        <v>0</v>
      </c>
      <c r="AL140" s="15">
        <f>'Adubos e corretivos'!S43</f>
        <v>0</v>
      </c>
      <c r="AM140" s="15">
        <f>'Adubos e corretivos'!T43</f>
        <v>0</v>
      </c>
      <c r="AN140" s="15">
        <f>'Adubos e corretivos'!U43</f>
        <v>0</v>
      </c>
      <c r="AO140" s="15">
        <f>'Adubos e corretivos'!V43</f>
        <v>0</v>
      </c>
    </row>
    <row r="141" spans="21:41" ht="20.25" customHeight="1" x14ac:dyDescent="0.25">
      <c r="U141" s="462"/>
      <c r="V141" s="15" t="str">
        <f>'Adubos e corretivos'!C44</f>
        <v>Farinha de osso (9 9124-8292)</v>
      </c>
      <c r="W141" s="15">
        <f>'Adubos e corretivos'!D44</f>
        <v>0</v>
      </c>
      <c r="X141" s="15">
        <f>'Adubos e corretivos'!E44</f>
        <v>0</v>
      </c>
      <c r="Y141" s="15">
        <f>'Adubos e corretivos'!F44</f>
        <v>18.2</v>
      </c>
      <c r="Z141" s="15">
        <f>'Adubos e corretivos'!G44</f>
        <v>42</v>
      </c>
      <c r="AA141" s="15">
        <f>'Adubos e corretivos'!H44</f>
        <v>0</v>
      </c>
      <c r="AB141" s="15">
        <f>'Adubos e corretivos'!I44</f>
        <v>0</v>
      </c>
      <c r="AC141" s="15">
        <f>'Adubos e corretivos'!J44</f>
        <v>39.5</v>
      </c>
      <c r="AD141" s="15">
        <f>'Adubos e corretivos'!K44</f>
        <v>0</v>
      </c>
      <c r="AE141" s="15">
        <f>'Adubos e corretivos'!L44</f>
        <v>0</v>
      </c>
      <c r="AF141" s="15">
        <f>'Adubos e corretivos'!M44</f>
        <v>0</v>
      </c>
      <c r="AG141" s="15">
        <f>'Adubos e corretivos'!N44</f>
        <v>0</v>
      </c>
      <c r="AH141" s="15">
        <f>'Adubos e corretivos'!O44</f>
        <v>0</v>
      </c>
      <c r="AI141" s="15">
        <f>'Adubos e corretivos'!P44</f>
        <v>0</v>
      </c>
      <c r="AJ141" s="15">
        <f>'Adubos e corretivos'!Q44</f>
        <v>0</v>
      </c>
      <c r="AK141" s="15">
        <f>'Adubos e corretivos'!R44</f>
        <v>0</v>
      </c>
      <c r="AL141" s="15">
        <f>'Adubos e corretivos'!S44</f>
        <v>0</v>
      </c>
      <c r="AM141" s="15">
        <f>'Adubos e corretivos'!T44</f>
        <v>7.5</v>
      </c>
      <c r="AN141" s="15">
        <f>'Adubos e corretivos'!U44</f>
        <v>0</v>
      </c>
      <c r="AO141" s="15">
        <f>'Adubos e corretivos'!V44</f>
        <v>0</v>
      </c>
    </row>
    <row r="142" spans="21:41" ht="20.25" customHeight="1" x14ac:dyDescent="0.25">
      <c r="U142" s="462"/>
      <c r="V142" s="15" t="str">
        <f>'Adubos e corretivos'!C45</f>
        <v>Kmag</v>
      </c>
      <c r="W142" s="15">
        <f>'Adubos e corretivos'!D45</f>
        <v>0</v>
      </c>
      <c r="X142" s="15">
        <f>'Adubos e corretivos'!E45</f>
        <v>0</v>
      </c>
      <c r="Y142" s="15">
        <f>'Adubos e corretivos'!F45</f>
        <v>0</v>
      </c>
      <c r="Z142" s="15">
        <f>'Adubos e corretivos'!G45</f>
        <v>0</v>
      </c>
      <c r="AA142" s="15">
        <f>'Adubos e corretivos'!H45</f>
        <v>17.45</v>
      </c>
      <c r="AB142" s="15">
        <f>'Adubos e corretivos'!I45</f>
        <v>21</v>
      </c>
      <c r="AC142" s="15">
        <f>'Adubos e corretivos'!J45</f>
        <v>10</v>
      </c>
      <c r="AD142" s="15">
        <f>'Adubos e corretivos'!K45</f>
        <v>21</v>
      </c>
      <c r="AE142" s="15">
        <f>'Adubos e corretivos'!L45</f>
        <v>0</v>
      </c>
      <c r="AF142" s="15">
        <f>'Adubos e corretivos'!M45</f>
        <v>0</v>
      </c>
      <c r="AG142" s="15">
        <f>'Adubos e corretivos'!N45</f>
        <v>0</v>
      </c>
      <c r="AH142" s="15">
        <f>'Adubos e corretivos'!O45</f>
        <v>0</v>
      </c>
      <c r="AI142" s="15">
        <f>'Adubos e corretivos'!P45</f>
        <v>0</v>
      </c>
      <c r="AJ142" s="15">
        <f>'Adubos e corretivos'!Q45</f>
        <v>0</v>
      </c>
      <c r="AK142" s="15">
        <f>'Adubos e corretivos'!R45</f>
        <v>0</v>
      </c>
      <c r="AL142" s="15">
        <f>'Adubos e corretivos'!S45</f>
        <v>0</v>
      </c>
      <c r="AM142" s="15">
        <f>'Adubos e corretivos'!T45</f>
        <v>0</v>
      </c>
      <c r="AN142" s="15">
        <f>'Adubos e corretivos'!U45</f>
        <v>0</v>
      </c>
      <c r="AO142" s="15">
        <f>'Adubos e corretivos'!V45</f>
        <v>0</v>
      </c>
    </row>
    <row r="143" spans="21:41" ht="20.25" customHeight="1" x14ac:dyDescent="0.25">
      <c r="U143" s="462"/>
      <c r="V143" s="15" t="str">
        <f>'Adubos e corretivos'!C46</f>
        <v>Lithothanium / Primaz</v>
      </c>
      <c r="W143" s="15">
        <f>'Adubos e corretivos'!D46</f>
        <v>0</v>
      </c>
      <c r="X143" s="15">
        <f>'Adubos e corretivos'!E46</f>
        <v>0</v>
      </c>
      <c r="Y143" s="15">
        <f>'Adubos e corretivos'!F46</f>
        <v>0</v>
      </c>
      <c r="Z143" s="15">
        <f>'Adubos e corretivos'!G46</f>
        <v>0</v>
      </c>
      <c r="AA143" s="15">
        <f>'Adubos e corretivos'!H46</f>
        <v>0</v>
      </c>
      <c r="AB143" s="15">
        <f>'Adubos e corretivos'!I46</f>
        <v>0</v>
      </c>
      <c r="AC143" s="15">
        <f>'Adubos e corretivos'!J46</f>
        <v>32</v>
      </c>
      <c r="AD143" s="15">
        <f>'Adubos e corretivos'!K46</f>
        <v>2</v>
      </c>
      <c r="AE143" s="15">
        <f>'Adubos e corretivos'!L46</f>
        <v>0</v>
      </c>
      <c r="AF143" s="15">
        <f>'Adubos e corretivos'!M46</f>
        <v>0</v>
      </c>
      <c r="AG143" s="15">
        <f>'Adubos e corretivos'!N46</f>
        <v>0</v>
      </c>
      <c r="AH143" s="15">
        <f>'Adubos e corretivos'!O46</f>
        <v>0</v>
      </c>
      <c r="AI143" s="15">
        <f>'Adubos e corretivos'!P46</f>
        <v>0</v>
      </c>
      <c r="AJ143" s="15">
        <f>'Adubos e corretivos'!Q46</f>
        <v>0</v>
      </c>
      <c r="AK143" s="15">
        <f>'Adubos e corretivos'!R46</f>
        <v>0</v>
      </c>
      <c r="AL143" s="15">
        <f>'Adubos e corretivos'!S46</f>
        <v>0</v>
      </c>
      <c r="AM143" s="15">
        <f>'Adubos e corretivos'!T46</f>
        <v>0</v>
      </c>
      <c r="AN143" s="15">
        <f>'Adubos e corretivos'!U46</f>
        <v>0</v>
      </c>
      <c r="AO143" s="15">
        <f>'Adubos e corretivos'!V46</f>
        <v>0</v>
      </c>
    </row>
    <row r="144" spans="21:41" ht="20.25" customHeight="1" x14ac:dyDescent="0.25">
      <c r="U144" s="462"/>
      <c r="V144" s="15" t="str">
        <f>'Adubos e corretivos'!C47</f>
        <v>Minhofertil (61 3361-6634)</v>
      </c>
      <c r="W144" s="15">
        <f>'Adubos e corretivos'!D47</f>
        <v>0</v>
      </c>
      <c r="X144" s="15">
        <f>'Adubos e corretivos'!E47</f>
        <v>1</v>
      </c>
      <c r="Y144" s="15">
        <f>'Adubos e corretivos'!F47</f>
        <v>0</v>
      </c>
      <c r="Z144" s="15">
        <f>'Adubos e corretivos'!G47</f>
        <v>0</v>
      </c>
      <c r="AA144" s="15">
        <f>'Adubos e corretivos'!H47</f>
        <v>0</v>
      </c>
      <c r="AB144" s="15">
        <f>'Adubos e corretivos'!I47</f>
        <v>0</v>
      </c>
      <c r="AC144" s="15">
        <f>'Adubos e corretivos'!J47</f>
        <v>0</v>
      </c>
      <c r="AD144" s="15">
        <f>'Adubos e corretivos'!K47</f>
        <v>0</v>
      </c>
      <c r="AE144" s="15">
        <f>'Adubos e corretivos'!L47</f>
        <v>0</v>
      </c>
      <c r="AF144" s="15">
        <f>'Adubos e corretivos'!M47</f>
        <v>0</v>
      </c>
      <c r="AG144" s="15">
        <f>'Adubos e corretivos'!N47</f>
        <v>0</v>
      </c>
      <c r="AH144" s="15">
        <f>'Adubos e corretivos'!O47</f>
        <v>0</v>
      </c>
      <c r="AI144" s="15">
        <f>'Adubos e corretivos'!P47</f>
        <v>0</v>
      </c>
      <c r="AJ144" s="15">
        <f>'Adubos e corretivos'!Q47</f>
        <v>0</v>
      </c>
      <c r="AK144" s="15">
        <f>'Adubos e corretivos'!R47</f>
        <v>0</v>
      </c>
      <c r="AL144" s="15">
        <f>'Adubos e corretivos'!S47</f>
        <v>0</v>
      </c>
      <c r="AM144" s="15">
        <f>'Adubos e corretivos'!T47</f>
        <v>0</v>
      </c>
      <c r="AN144" s="15">
        <f>'Adubos e corretivos'!U47</f>
        <v>0</v>
      </c>
      <c r="AO144" s="15">
        <f>'Adubos e corretivos'!V47</f>
        <v>0</v>
      </c>
    </row>
    <row r="145" spans="11:41" ht="20.25" customHeight="1" x14ac:dyDescent="0.25">
      <c r="U145" s="462"/>
      <c r="V145" s="15" t="str">
        <f>'Adubos e corretivos'!C48</f>
        <v>Termofosfato YOORIN</v>
      </c>
      <c r="W145" s="15">
        <f>'Adubos e corretivos'!D48</f>
        <v>0</v>
      </c>
      <c r="X145" s="15">
        <f>'Adubos e corretivos'!E48</f>
        <v>0</v>
      </c>
      <c r="Y145" s="15">
        <f>'Adubos e corretivos'!F48</f>
        <v>7.6440000000000001</v>
      </c>
      <c r="Z145" s="15">
        <f>'Adubos e corretivos'!G48</f>
        <v>17.5</v>
      </c>
      <c r="AA145" s="15">
        <f>'Adubos e corretivos'!H48</f>
        <v>0</v>
      </c>
      <c r="AB145" s="15">
        <f>'Adubos e corretivos'!I48</f>
        <v>0</v>
      </c>
      <c r="AC145" s="15">
        <f>'Adubos e corretivos'!J48</f>
        <v>18</v>
      </c>
      <c r="AD145" s="15">
        <f>'Adubos e corretivos'!K48</f>
        <v>7</v>
      </c>
      <c r="AE145" s="15">
        <f>'Adubos e corretivos'!L48</f>
        <v>0</v>
      </c>
      <c r="AF145" s="15">
        <f>'Adubos e corretivos'!M48</f>
        <v>0.1</v>
      </c>
      <c r="AG145" s="15">
        <f>'Adubos e corretivos'!N48</f>
        <v>0.3</v>
      </c>
      <c r="AH145" s="15">
        <f>'Adubos e corretivos'!O48</f>
        <v>5.5</v>
      </c>
      <c r="AI145" s="15">
        <f>'Adubos e corretivos'!P48</f>
        <v>0.5</v>
      </c>
      <c r="AJ145" s="15">
        <f>'Adubos e corretivos'!Q48</f>
        <v>0</v>
      </c>
      <c r="AK145" s="15">
        <f>'Adubos e corretivos'!R48</f>
        <v>0</v>
      </c>
      <c r="AL145" s="15">
        <f>'Adubos e corretivos'!S48</f>
        <v>10</v>
      </c>
      <c r="AM145" s="15">
        <f>'Adubos e corretivos'!T48</f>
        <v>0</v>
      </c>
      <c r="AN145" s="15">
        <f>'Adubos e corretivos'!U48</f>
        <v>0</v>
      </c>
      <c r="AO145" s="15">
        <f>'Adubos e corretivos'!V48</f>
        <v>0</v>
      </c>
    </row>
    <row r="146" spans="11:41" ht="20.25" customHeight="1" x14ac:dyDescent="0.25">
      <c r="U146" s="462"/>
      <c r="V146" s="15" t="str">
        <f>'Adubos e corretivos'!C49</f>
        <v>Torta de mamona Nutrisafra (062 3310-8133)</v>
      </c>
      <c r="W146" s="15">
        <f>'Adubos e corretivos'!D49</f>
        <v>0</v>
      </c>
      <c r="X146" s="15">
        <f>'Adubos e corretivos'!E49</f>
        <v>5</v>
      </c>
      <c r="Y146" s="15">
        <f>'Adubos e corretivos'!F49</f>
        <v>0</v>
      </c>
      <c r="Z146" s="15">
        <f>'Adubos e corretivos'!G49</f>
        <v>0</v>
      </c>
      <c r="AA146" s="15">
        <f>'Adubos e corretivos'!H49</f>
        <v>0</v>
      </c>
      <c r="AB146" s="15">
        <f>'Adubos e corretivos'!I49</f>
        <v>0</v>
      </c>
      <c r="AC146" s="15">
        <f>'Adubos e corretivos'!J49</f>
        <v>0</v>
      </c>
      <c r="AD146" s="15">
        <f>'Adubos e corretivos'!K49</f>
        <v>0</v>
      </c>
      <c r="AE146" s="15">
        <f>'Adubos e corretivos'!L49</f>
        <v>0</v>
      </c>
      <c r="AF146" s="15">
        <f>'Adubos e corretivos'!M49</f>
        <v>0</v>
      </c>
      <c r="AG146" s="15">
        <f>'Adubos e corretivos'!N49</f>
        <v>0</v>
      </c>
      <c r="AH146" s="15">
        <f>'Adubos e corretivos'!O49</f>
        <v>0</v>
      </c>
      <c r="AI146" s="15">
        <f>'Adubos e corretivos'!P49</f>
        <v>0</v>
      </c>
      <c r="AJ146" s="15">
        <f>'Adubos e corretivos'!Q49</f>
        <v>0</v>
      </c>
      <c r="AK146" s="15">
        <f>'Adubos e corretivos'!R49</f>
        <v>0</v>
      </c>
      <c r="AL146" s="15">
        <f>'Adubos e corretivos'!S49</f>
        <v>0</v>
      </c>
      <c r="AM146" s="15">
        <f>'Adubos e corretivos'!T49</f>
        <v>0</v>
      </c>
      <c r="AN146" s="15">
        <f>'Adubos e corretivos'!U49</f>
        <v>0</v>
      </c>
      <c r="AO146" s="15">
        <f>'Adubos e corretivos'!V49</f>
        <v>0</v>
      </c>
    </row>
    <row r="147" spans="11:41" ht="20.25" customHeight="1" x14ac:dyDescent="0.25">
      <c r="U147" s="462"/>
      <c r="V147" s="15" t="str">
        <f>'Adubos e corretivos'!C50</f>
        <v>Torta de mamona Super thorg (061 9 9827-4439)</v>
      </c>
      <c r="W147" s="15">
        <f>'Adubos e corretivos'!D50</f>
        <v>0</v>
      </c>
      <c r="X147" s="15">
        <f>'Adubos e corretivos'!E50</f>
        <v>9.1</v>
      </c>
      <c r="Y147" s="15">
        <f>'Adubos e corretivos'!F50</f>
        <v>0</v>
      </c>
      <c r="Z147" s="15">
        <f>'Adubos e corretivos'!G50</f>
        <v>0</v>
      </c>
      <c r="AA147" s="15">
        <f>'Adubos e corretivos'!H50</f>
        <v>0</v>
      </c>
      <c r="AB147" s="15">
        <f>'Adubos e corretivos'!I50</f>
        <v>0</v>
      </c>
      <c r="AC147" s="15">
        <f>'Adubos e corretivos'!J50</f>
        <v>0</v>
      </c>
      <c r="AD147" s="15">
        <f>'Adubos e corretivos'!K50</f>
        <v>0</v>
      </c>
      <c r="AE147" s="15">
        <f>'Adubos e corretivos'!L50</f>
        <v>0</v>
      </c>
      <c r="AF147" s="15">
        <f>'Adubos e corretivos'!M50</f>
        <v>0</v>
      </c>
      <c r="AG147" s="15">
        <f>'Adubos e corretivos'!N50</f>
        <v>0</v>
      </c>
      <c r="AH147" s="15">
        <f>'Adubos e corretivos'!O50</f>
        <v>0</v>
      </c>
      <c r="AI147" s="15">
        <f>'Adubos e corretivos'!P50</f>
        <v>0</v>
      </c>
      <c r="AJ147" s="15">
        <f>'Adubos e corretivos'!Q50</f>
        <v>0</v>
      </c>
      <c r="AK147" s="15">
        <f>'Adubos e corretivos'!R50</f>
        <v>0</v>
      </c>
      <c r="AL147" s="15">
        <f>'Adubos e corretivos'!S50</f>
        <v>0</v>
      </c>
      <c r="AM147" s="15">
        <f>'Adubos e corretivos'!T50</f>
        <v>0</v>
      </c>
      <c r="AN147" s="15">
        <f>'Adubos e corretivos'!U50</f>
        <v>0</v>
      </c>
      <c r="AO147" s="15">
        <f>'Adubos e corretivos'!V50</f>
        <v>0</v>
      </c>
    </row>
    <row r="148" spans="11:41" ht="20.25" customHeight="1" x14ac:dyDescent="0.25">
      <c r="U148" s="462"/>
      <c r="V148" s="15" t="str">
        <f>'Adubos e corretivos'!C51</f>
        <v>Torta de mamona Vitaplan (061 3234-8485)</v>
      </c>
      <c r="W148" s="15">
        <f>'Adubos e corretivos'!D51</f>
        <v>0</v>
      </c>
      <c r="X148" s="15">
        <f>'Adubos e corretivos'!E51</f>
        <v>8.5</v>
      </c>
      <c r="Y148" s="15">
        <f>'Adubos e corretivos'!F51</f>
        <v>0</v>
      </c>
      <c r="Z148" s="15">
        <f>'Adubos e corretivos'!G51</f>
        <v>0</v>
      </c>
      <c r="AA148" s="15">
        <f>'Adubos e corretivos'!H51</f>
        <v>0</v>
      </c>
      <c r="AB148" s="15">
        <f>'Adubos e corretivos'!I51</f>
        <v>0</v>
      </c>
      <c r="AC148" s="15">
        <f>'Adubos e corretivos'!J51</f>
        <v>0</v>
      </c>
      <c r="AD148" s="15">
        <f>'Adubos e corretivos'!K51</f>
        <v>0</v>
      </c>
      <c r="AE148" s="15">
        <f>'Adubos e corretivos'!L51</f>
        <v>0</v>
      </c>
      <c r="AF148" s="15">
        <f>'Adubos e corretivos'!M51</f>
        <v>0</v>
      </c>
      <c r="AG148" s="15">
        <f>'Adubos e corretivos'!N51</f>
        <v>0</v>
      </c>
      <c r="AH148" s="15">
        <f>'Adubos e corretivos'!O51</f>
        <v>0</v>
      </c>
      <c r="AI148" s="15">
        <f>'Adubos e corretivos'!P51</f>
        <v>0</v>
      </c>
      <c r="AJ148" s="15">
        <f>'Adubos e corretivos'!Q51</f>
        <v>0</v>
      </c>
      <c r="AK148" s="15">
        <f>'Adubos e corretivos'!R51</f>
        <v>0</v>
      </c>
      <c r="AL148" s="15">
        <f>'Adubos e corretivos'!S51</f>
        <v>0</v>
      </c>
      <c r="AM148" s="15">
        <f>'Adubos e corretivos'!T51</f>
        <v>0</v>
      </c>
      <c r="AN148" s="15">
        <f>'Adubos e corretivos'!U51</f>
        <v>0</v>
      </c>
      <c r="AO148" s="15">
        <f>'Adubos e corretivos'!V51</f>
        <v>0</v>
      </c>
    </row>
    <row r="149" spans="11:41" ht="20.25" customHeight="1" x14ac:dyDescent="0.25">
      <c r="U149" s="462"/>
      <c r="V149" s="15">
        <f>'Adubos e corretivos'!C52</f>
        <v>0</v>
      </c>
      <c r="W149" s="15">
        <f>'Adubos e corretivos'!D52</f>
        <v>0</v>
      </c>
      <c r="X149" s="15">
        <f>'Adubos e corretivos'!E52</f>
        <v>0</v>
      </c>
      <c r="Y149" s="15">
        <f>'Adubos e corretivos'!F52</f>
        <v>0</v>
      </c>
      <c r="Z149" s="15">
        <f>'Adubos e corretivos'!G52</f>
        <v>0</v>
      </c>
      <c r="AA149" s="15">
        <f>'Adubos e corretivos'!H52</f>
        <v>0</v>
      </c>
      <c r="AB149" s="15">
        <f>'Adubos e corretivos'!I52</f>
        <v>0</v>
      </c>
      <c r="AC149" s="15">
        <f>'Adubos e corretivos'!J52</f>
        <v>0</v>
      </c>
      <c r="AD149" s="15">
        <f>'Adubos e corretivos'!K52</f>
        <v>0</v>
      </c>
      <c r="AE149" s="15">
        <f>'Adubos e corretivos'!L52</f>
        <v>0</v>
      </c>
      <c r="AF149" s="15">
        <f>'Adubos e corretivos'!M52</f>
        <v>0</v>
      </c>
      <c r="AG149" s="15">
        <f>'Adubos e corretivos'!N52</f>
        <v>0</v>
      </c>
      <c r="AH149" s="15">
        <f>'Adubos e corretivos'!O52</f>
        <v>0</v>
      </c>
      <c r="AI149" s="15">
        <f>'Adubos e corretivos'!P52</f>
        <v>0</v>
      </c>
      <c r="AJ149" s="15">
        <f>'Adubos e corretivos'!Q52</f>
        <v>0</v>
      </c>
      <c r="AK149" s="15">
        <f>'Adubos e corretivos'!R52</f>
        <v>0</v>
      </c>
      <c r="AL149" s="15">
        <f>'Adubos e corretivos'!S52</f>
        <v>0</v>
      </c>
      <c r="AM149" s="15">
        <f>'Adubos e corretivos'!T52</f>
        <v>0</v>
      </c>
      <c r="AN149" s="15">
        <f>'Adubos e corretivos'!U52</f>
        <v>0</v>
      </c>
      <c r="AO149" s="15">
        <f>'Adubos e corretivos'!V52</f>
        <v>0</v>
      </c>
    </row>
    <row r="150" spans="11:41" ht="20.25" customHeight="1" x14ac:dyDescent="0.25">
      <c r="U150" s="462"/>
      <c r="V150" s="15">
        <f>'Adubos e corretivos'!C53</f>
        <v>0</v>
      </c>
      <c r="W150" s="15">
        <f>'Adubos e corretivos'!D53</f>
        <v>0</v>
      </c>
      <c r="X150" s="15">
        <f>'Adubos e corretivos'!E53</f>
        <v>0</v>
      </c>
      <c r="Y150" s="15">
        <f>'Adubos e corretivos'!F53</f>
        <v>0</v>
      </c>
      <c r="Z150" s="15">
        <f>'Adubos e corretivos'!G53</f>
        <v>0</v>
      </c>
      <c r="AA150" s="15">
        <f>'Adubos e corretivos'!H53</f>
        <v>0</v>
      </c>
      <c r="AB150" s="15">
        <f>'Adubos e corretivos'!I53</f>
        <v>0</v>
      </c>
      <c r="AC150" s="15">
        <f>'Adubos e corretivos'!J53</f>
        <v>0</v>
      </c>
      <c r="AD150" s="15">
        <f>'Adubos e corretivos'!K53</f>
        <v>0</v>
      </c>
      <c r="AE150" s="15">
        <f>'Adubos e corretivos'!L53</f>
        <v>0</v>
      </c>
      <c r="AF150" s="15">
        <f>'Adubos e corretivos'!M53</f>
        <v>0</v>
      </c>
      <c r="AG150" s="15">
        <f>'Adubos e corretivos'!N53</f>
        <v>0</v>
      </c>
      <c r="AH150" s="15">
        <f>'Adubos e corretivos'!O53</f>
        <v>0</v>
      </c>
      <c r="AI150" s="15">
        <f>'Adubos e corretivos'!P53</f>
        <v>0</v>
      </c>
      <c r="AJ150" s="15">
        <f>'Adubos e corretivos'!Q53</f>
        <v>0</v>
      </c>
      <c r="AK150" s="15">
        <f>'Adubos e corretivos'!R53</f>
        <v>0</v>
      </c>
      <c r="AL150" s="15">
        <f>'Adubos e corretivos'!S53</f>
        <v>0</v>
      </c>
      <c r="AM150" s="15">
        <f>'Adubos e corretivos'!T53</f>
        <v>0</v>
      </c>
      <c r="AN150" s="15">
        <f>'Adubos e corretivos'!U53</f>
        <v>0</v>
      </c>
      <c r="AO150" s="15">
        <f>'Adubos e corretivos'!V53</f>
        <v>0</v>
      </c>
    </row>
    <row r="151" spans="11:41" ht="20.25" customHeight="1" x14ac:dyDescent="0.25">
      <c r="U151" s="343" t="s">
        <v>150</v>
      </c>
      <c r="V151" s="15" t="str">
        <f>'Adubos e corretivos'!C54</f>
        <v>Agroffos Agronelli (061 3642-1777)</v>
      </c>
      <c r="W151" s="15">
        <f>'Adubos e corretivos'!D54</f>
        <v>0</v>
      </c>
      <c r="X151" s="15">
        <f>'Adubos e corretivos'!E54</f>
        <v>0</v>
      </c>
      <c r="Y151" s="15">
        <f>'Adubos e corretivos'!F54</f>
        <v>6.1150000000000002</v>
      </c>
      <c r="Z151" s="15">
        <f>'Adubos e corretivos'!G54</f>
        <v>14</v>
      </c>
      <c r="AA151" s="15">
        <f>'Adubos e corretivos'!H54</f>
        <v>0</v>
      </c>
      <c r="AB151" s="15">
        <f>'Adubos e corretivos'!I54</f>
        <v>0</v>
      </c>
      <c r="AC151" s="15">
        <f>'Adubos e corretivos'!J54</f>
        <v>0</v>
      </c>
      <c r="AD151" s="15">
        <f>'Adubos e corretivos'!K54</f>
        <v>0</v>
      </c>
      <c r="AE151" s="15">
        <f>'Adubos e corretivos'!L54</f>
        <v>0</v>
      </c>
      <c r="AF151" s="15">
        <f>'Adubos e corretivos'!M54</f>
        <v>0</v>
      </c>
      <c r="AG151" s="15">
        <f>'Adubos e corretivos'!N54</f>
        <v>0</v>
      </c>
      <c r="AH151" s="15">
        <f>'Adubos e corretivos'!O54</f>
        <v>0</v>
      </c>
      <c r="AI151" s="15">
        <f>'Adubos e corretivos'!P54</f>
        <v>0</v>
      </c>
      <c r="AJ151" s="15">
        <f>'Adubos e corretivos'!Q54</f>
        <v>0</v>
      </c>
      <c r="AK151" s="15">
        <f>'Adubos e corretivos'!R54</f>
        <v>0</v>
      </c>
      <c r="AL151" s="15">
        <f>'Adubos e corretivos'!S54</f>
        <v>0</v>
      </c>
      <c r="AM151" s="15">
        <f>'Adubos e corretivos'!T54</f>
        <v>0</v>
      </c>
      <c r="AN151" s="15">
        <f>'Adubos e corretivos'!U54</f>
        <v>0</v>
      </c>
      <c r="AO151" s="15">
        <f>'Adubos e corretivos'!V54</f>
        <v>0</v>
      </c>
    </row>
    <row r="152" spans="11:41" ht="20.25" customHeight="1" x14ac:dyDescent="0.25">
      <c r="U152" s="343"/>
      <c r="V152" s="15" t="str">
        <f>'Adubos e corretivos'!C55</f>
        <v>EkoSil</v>
      </c>
      <c r="W152" s="15">
        <f>'Adubos e corretivos'!D55</f>
        <v>0</v>
      </c>
      <c r="X152" s="15">
        <f>'Adubos e corretivos'!E55</f>
        <v>0</v>
      </c>
      <c r="Y152" s="15">
        <f>'Adubos e corretivos'!F55</f>
        <v>0</v>
      </c>
      <c r="Z152" s="15">
        <f>'Adubos e corretivos'!G55</f>
        <v>0</v>
      </c>
      <c r="AA152" s="15">
        <f>'Adubos e corretivos'!H55</f>
        <v>6.65</v>
      </c>
      <c r="AB152" s="15">
        <f>'Adubos e corretivos'!I55</f>
        <v>8</v>
      </c>
      <c r="AC152" s="15">
        <f>'Adubos e corretivos'!J55</f>
        <v>1.5</v>
      </c>
      <c r="AD152" s="15">
        <f>'Adubos e corretivos'!K55</f>
        <v>0.2</v>
      </c>
      <c r="AE152" s="15">
        <f>'Adubos e corretivos'!L55</f>
        <v>0</v>
      </c>
      <c r="AF152" s="15">
        <f>'Adubos e corretivos'!M55</f>
        <v>6.4999999999999994E-5</v>
      </c>
      <c r="AG152" s="15">
        <f>'Adubos e corretivos'!N55</f>
        <v>6.4999999999999994E-5</v>
      </c>
      <c r="AH152" s="15">
        <f>'Adubos e corretivos'!O55</f>
        <v>1.25E-4</v>
      </c>
      <c r="AI152" s="15">
        <f>'Adubos e corretivos'!P55</f>
        <v>1.4E-5</v>
      </c>
      <c r="AJ152" s="15">
        <f>'Adubos e corretivos'!Q55</f>
        <v>7.9999999999999996E-6</v>
      </c>
      <c r="AK152" s="15">
        <f>'Adubos e corretivos'!R55</f>
        <v>0</v>
      </c>
      <c r="AL152" s="15">
        <f>'Adubos e corretivos'!S55</f>
        <v>54</v>
      </c>
      <c r="AM152" s="15">
        <f>'Adubos e corretivos'!T55</f>
        <v>0</v>
      </c>
      <c r="AN152" s="15">
        <f>'Adubos e corretivos'!U55</f>
        <v>0</v>
      </c>
      <c r="AO152" s="15">
        <f>'Adubos e corretivos'!V55</f>
        <v>0</v>
      </c>
    </row>
    <row r="153" spans="11:41" ht="20.25" customHeight="1" x14ac:dyDescent="0.25">
      <c r="U153" s="343"/>
      <c r="V153" s="15" t="str">
        <f>'Adubos e corretivos'!C56</f>
        <v>FNR Fertipar ((061 3642-2080)</v>
      </c>
      <c r="W153" s="15">
        <f>'Adubos e corretivos'!D56</f>
        <v>0</v>
      </c>
      <c r="X153" s="15">
        <f>'Adubos e corretivos'!E56</f>
        <v>0</v>
      </c>
      <c r="Y153" s="15">
        <f>'Adubos e corretivos'!F56</f>
        <v>12.67</v>
      </c>
      <c r="Z153" s="15">
        <f>'Adubos e corretivos'!G56</f>
        <v>29</v>
      </c>
      <c r="AA153" s="15">
        <f>'Adubos e corretivos'!H56</f>
        <v>0</v>
      </c>
      <c r="AB153" s="15">
        <f>'Adubos e corretivos'!I56</f>
        <v>0</v>
      </c>
      <c r="AC153" s="15">
        <f>'Adubos e corretivos'!J56</f>
        <v>0</v>
      </c>
      <c r="AD153" s="15">
        <f>'Adubos e corretivos'!K56</f>
        <v>0</v>
      </c>
      <c r="AE153" s="15">
        <f>'Adubos e corretivos'!L56</f>
        <v>0</v>
      </c>
      <c r="AF153" s="15">
        <f>'Adubos e corretivos'!M56</f>
        <v>0</v>
      </c>
      <c r="AG153" s="15">
        <f>'Adubos e corretivos'!N56</f>
        <v>0</v>
      </c>
      <c r="AH153" s="15">
        <f>'Adubos e corretivos'!O56</f>
        <v>0</v>
      </c>
      <c r="AI153" s="15">
        <f>'Adubos e corretivos'!P56</f>
        <v>0</v>
      </c>
      <c r="AJ153" s="15">
        <f>'Adubos e corretivos'!Q56</f>
        <v>0</v>
      </c>
      <c r="AK153" s="15">
        <f>'Adubos e corretivos'!R56</f>
        <v>0</v>
      </c>
      <c r="AL153" s="15">
        <f>'Adubos e corretivos'!S56</f>
        <v>0</v>
      </c>
      <c r="AM153" s="15">
        <f>'Adubos e corretivos'!T56</f>
        <v>0</v>
      </c>
      <c r="AN153" s="15">
        <f>'Adubos e corretivos'!U56</f>
        <v>0</v>
      </c>
      <c r="AO153" s="15">
        <f>'Adubos e corretivos'!V56</f>
        <v>0</v>
      </c>
    </row>
    <row r="154" spans="11:41" ht="20.25" customHeight="1" x14ac:dyDescent="0.25">
      <c r="K154" s="25"/>
      <c r="L154" s="25"/>
      <c r="M154" s="25"/>
      <c r="N154" s="25"/>
      <c r="O154" s="25"/>
      <c r="P154" s="25"/>
      <c r="Q154" s="25"/>
      <c r="R154" s="25"/>
      <c r="S154" s="25"/>
      <c r="U154" s="343"/>
      <c r="V154" s="15" t="str">
        <f>'Adubos e corretivos'!C57</f>
        <v>FNR Heringer (061 3642-2596)</v>
      </c>
      <c r="W154" s="15">
        <f>'Adubos e corretivos'!D57</f>
        <v>0</v>
      </c>
      <c r="X154" s="15">
        <f>'Adubos e corretivos'!E57</f>
        <v>0</v>
      </c>
      <c r="Y154" s="15">
        <f>'Adubos e corretivos'!F57</f>
        <v>13.11</v>
      </c>
      <c r="Z154" s="15">
        <f>'Adubos e corretivos'!G57</f>
        <v>30</v>
      </c>
      <c r="AA154" s="15">
        <f>'Adubos e corretivos'!H57</f>
        <v>0</v>
      </c>
      <c r="AB154" s="15">
        <f>'Adubos e corretivos'!I57</f>
        <v>0</v>
      </c>
      <c r="AC154" s="15">
        <f>'Adubos e corretivos'!J57</f>
        <v>0</v>
      </c>
      <c r="AD154" s="15">
        <f>'Adubos e corretivos'!K57</f>
        <v>0</v>
      </c>
      <c r="AE154" s="15">
        <f>'Adubos e corretivos'!L57</f>
        <v>0</v>
      </c>
      <c r="AF154" s="15">
        <f>'Adubos e corretivos'!M57</f>
        <v>0</v>
      </c>
      <c r="AG154" s="15">
        <f>'Adubos e corretivos'!N57</f>
        <v>0</v>
      </c>
      <c r="AH154" s="15">
        <f>'Adubos e corretivos'!O57</f>
        <v>0</v>
      </c>
      <c r="AI154" s="15">
        <f>'Adubos e corretivos'!P57</f>
        <v>0</v>
      </c>
      <c r="AJ154" s="15">
        <f>'Adubos e corretivos'!Q57</f>
        <v>0</v>
      </c>
      <c r="AK154" s="15">
        <f>'Adubos e corretivos'!R57</f>
        <v>0</v>
      </c>
      <c r="AL154" s="15">
        <f>'Adubos e corretivos'!S57</f>
        <v>0</v>
      </c>
      <c r="AM154" s="15">
        <f>'Adubos e corretivos'!T57</f>
        <v>0</v>
      </c>
      <c r="AN154" s="15">
        <f>'Adubos e corretivos'!U57</f>
        <v>0</v>
      </c>
      <c r="AO154" s="15">
        <f>'Adubos e corretivos'!V57</f>
        <v>0</v>
      </c>
    </row>
    <row r="155" spans="11:41" ht="20.25" customHeight="1" x14ac:dyDescent="0.25">
      <c r="K155" s="25"/>
      <c r="L155" s="25"/>
      <c r="M155" s="25"/>
      <c r="N155" s="25"/>
      <c r="O155" s="25"/>
      <c r="P155" s="25"/>
      <c r="Q155" s="25"/>
      <c r="R155" s="25"/>
      <c r="S155" s="25"/>
      <c r="U155" s="343"/>
      <c r="V155" s="15" t="str">
        <f>'Adubos e corretivos'!C58</f>
        <v>FNR Paulivida (061 - 3361-6634)</v>
      </c>
      <c r="W155" s="15">
        <f>'Adubos e corretivos'!D58</f>
        <v>0</v>
      </c>
      <c r="X155" s="15">
        <f>'Adubos e corretivos'!E58</f>
        <v>0</v>
      </c>
      <c r="Y155" s="15">
        <f>'Adubos e corretivos'!F58</f>
        <v>11.8</v>
      </c>
      <c r="Z155" s="15">
        <f>'Adubos e corretivos'!G58</f>
        <v>27</v>
      </c>
      <c r="AA155" s="15">
        <f>'Adubos e corretivos'!H58</f>
        <v>0</v>
      </c>
      <c r="AB155" s="15">
        <f>'Adubos e corretivos'!I58</f>
        <v>0</v>
      </c>
      <c r="AC155" s="15">
        <f>'Adubos e corretivos'!J58</f>
        <v>0</v>
      </c>
      <c r="AD155" s="15">
        <f>'Adubos e corretivos'!K58</f>
        <v>0</v>
      </c>
      <c r="AE155" s="15">
        <f>'Adubos e corretivos'!L58</f>
        <v>0</v>
      </c>
      <c r="AF155" s="15">
        <f>'Adubos e corretivos'!M58</f>
        <v>0</v>
      </c>
      <c r="AG155" s="15">
        <f>'Adubos e corretivos'!N58</f>
        <v>0</v>
      </c>
      <c r="AH155" s="15">
        <f>'Adubos e corretivos'!O58</f>
        <v>0</v>
      </c>
      <c r="AI155" s="15">
        <f>'Adubos e corretivos'!P58</f>
        <v>0</v>
      </c>
      <c r="AJ155" s="15">
        <f>'Adubos e corretivos'!Q58</f>
        <v>0</v>
      </c>
      <c r="AK155" s="15">
        <f>'Adubos e corretivos'!R58</f>
        <v>0</v>
      </c>
      <c r="AL155" s="15">
        <f>'Adubos e corretivos'!S58</f>
        <v>0</v>
      </c>
      <c r="AM155" s="15">
        <f>'Adubos e corretivos'!T58</f>
        <v>0</v>
      </c>
      <c r="AN155" s="15">
        <f>'Adubos e corretivos'!U58</f>
        <v>0</v>
      </c>
      <c r="AO155" s="15">
        <f>'Adubos e corretivos'!V58</f>
        <v>0</v>
      </c>
    </row>
    <row r="156" spans="11:41" ht="20.25" customHeight="1" x14ac:dyDescent="0.25">
      <c r="K156" s="25"/>
      <c r="L156" s="25"/>
      <c r="M156" s="25"/>
      <c r="N156" s="25"/>
      <c r="O156" s="25"/>
      <c r="P156" s="25"/>
      <c r="Q156" s="25"/>
      <c r="R156" s="25"/>
      <c r="S156" s="25"/>
      <c r="U156" s="343"/>
      <c r="V156" s="15" t="str">
        <f>'Adubos e corretivos'!C59</f>
        <v>Potomag Nutrisafra (061 3028-2695)</v>
      </c>
      <c r="W156" s="15">
        <f>'Adubos e corretivos'!D59</f>
        <v>0</v>
      </c>
      <c r="X156" s="15">
        <f>'Adubos e corretivos'!E59</f>
        <v>0</v>
      </c>
      <c r="Y156" s="15">
        <f>'Adubos e corretivos'!F59</f>
        <v>0</v>
      </c>
      <c r="Z156" s="15">
        <f>'Adubos e corretivos'!G59</f>
        <v>0</v>
      </c>
      <c r="AA156" s="15">
        <f>'Adubos e corretivos'!H59</f>
        <v>18.27</v>
      </c>
      <c r="AB156" s="15">
        <f>'Adubos e corretivos'!I59</f>
        <v>22</v>
      </c>
      <c r="AC156" s="15">
        <f>'Adubos e corretivos'!J59</f>
        <v>0</v>
      </c>
      <c r="AD156" s="15">
        <f>'Adubos e corretivos'!K59</f>
        <v>11</v>
      </c>
      <c r="AE156" s="15">
        <f>'Adubos e corretivos'!L59</f>
        <v>22</v>
      </c>
      <c r="AF156" s="15">
        <f>'Adubos e corretivos'!M59</f>
        <v>0</v>
      </c>
      <c r="AG156" s="15">
        <f>'Adubos e corretivos'!N59</f>
        <v>0</v>
      </c>
      <c r="AH156" s="15">
        <f>'Adubos e corretivos'!O59</f>
        <v>0</v>
      </c>
      <c r="AI156" s="15">
        <f>'Adubos e corretivos'!P59</f>
        <v>0</v>
      </c>
      <c r="AJ156" s="15">
        <f>'Adubos e corretivos'!Q59</f>
        <v>0</v>
      </c>
      <c r="AK156" s="15">
        <f>'Adubos e corretivos'!R59</f>
        <v>0</v>
      </c>
      <c r="AL156" s="15">
        <f>'Adubos e corretivos'!S59</f>
        <v>0</v>
      </c>
      <c r="AM156" s="15">
        <f>'Adubos e corretivos'!T59</f>
        <v>0</v>
      </c>
      <c r="AN156" s="15">
        <f>'Adubos e corretivos'!U59</f>
        <v>0</v>
      </c>
      <c r="AO156" s="15">
        <f>'Adubos e corretivos'!V59</f>
        <v>0</v>
      </c>
    </row>
    <row r="157" spans="11:41" ht="20.25" customHeight="1" x14ac:dyDescent="0.25">
      <c r="K157" s="25"/>
      <c r="L157" s="25"/>
      <c r="M157" s="25"/>
      <c r="N157" s="25"/>
      <c r="O157" s="25"/>
      <c r="P157" s="25"/>
      <c r="Q157" s="25"/>
      <c r="R157" s="25"/>
      <c r="S157" s="25"/>
      <c r="U157" s="343"/>
      <c r="V157" s="15" t="str">
        <f>'Adubos e corretivos'!C60</f>
        <v>Suphaphos</v>
      </c>
      <c r="W157" s="15">
        <f>'Adubos e corretivos'!D60</f>
        <v>0</v>
      </c>
      <c r="X157" s="15">
        <f>'Adubos e corretivos'!E60</f>
        <v>0</v>
      </c>
      <c r="Y157" s="15">
        <f>'Adubos e corretivos'!F60</f>
        <v>6.1150000000000002</v>
      </c>
      <c r="Z157" s="15">
        <f>'Adubos e corretivos'!G60</f>
        <v>14</v>
      </c>
      <c r="AA157" s="15">
        <f>'Adubos e corretivos'!H60</f>
        <v>0</v>
      </c>
      <c r="AB157" s="15">
        <f>'Adubos e corretivos'!I60</f>
        <v>0</v>
      </c>
      <c r="AC157" s="15">
        <f>'Adubos e corretivos'!J60</f>
        <v>12</v>
      </c>
      <c r="AD157" s="15">
        <f>'Adubos e corretivos'!K60</f>
        <v>0</v>
      </c>
      <c r="AE157" s="15">
        <f>'Adubos e corretivos'!L60</f>
        <v>0</v>
      </c>
      <c r="AF157" s="15">
        <f>'Adubos e corretivos'!M60</f>
        <v>0</v>
      </c>
      <c r="AG157" s="15">
        <f>'Adubos e corretivos'!N60</f>
        <v>0</v>
      </c>
      <c r="AH157" s="15">
        <f>'Adubos e corretivos'!O60</f>
        <v>0</v>
      </c>
      <c r="AI157" s="15">
        <f>'Adubos e corretivos'!P60</f>
        <v>0</v>
      </c>
      <c r="AJ157" s="15">
        <f>'Adubos e corretivos'!Q60</f>
        <v>0</v>
      </c>
      <c r="AK157" s="15">
        <f>'Adubos e corretivos'!R60</f>
        <v>0</v>
      </c>
      <c r="AL157" s="15">
        <f>'Adubos e corretivos'!S60</f>
        <v>0</v>
      </c>
      <c r="AM157" s="15">
        <f>'Adubos e corretivos'!T60</f>
        <v>0</v>
      </c>
      <c r="AN157" s="15">
        <f>'Adubos e corretivos'!U60</f>
        <v>0</v>
      </c>
      <c r="AO157" s="15">
        <f>'Adubos e corretivos'!V60</f>
        <v>0</v>
      </c>
    </row>
    <row r="158" spans="11:41" ht="20.25" customHeight="1" x14ac:dyDescent="0.25">
      <c r="K158" s="25"/>
      <c r="L158" s="25"/>
      <c r="M158" s="25"/>
      <c r="N158" s="454"/>
      <c r="O158" s="454"/>
      <c r="P158" s="454"/>
      <c r="Q158" s="25"/>
      <c r="R158" s="25"/>
      <c r="S158" s="25"/>
      <c r="U158" s="343"/>
      <c r="V158" s="15">
        <f>'Adubos e corretivos'!C61</f>
        <v>0</v>
      </c>
      <c r="W158" s="15">
        <f>'Adubos e corretivos'!D61</f>
        <v>0</v>
      </c>
      <c r="X158" s="15">
        <f>'Adubos e corretivos'!E61</f>
        <v>0</v>
      </c>
      <c r="Y158" s="15">
        <f>'Adubos e corretivos'!F61</f>
        <v>0</v>
      </c>
      <c r="Z158" s="15">
        <f>'Adubos e corretivos'!G61</f>
        <v>0</v>
      </c>
      <c r="AA158" s="15">
        <f>'Adubos e corretivos'!H61</f>
        <v>0</v>
      </c>
      <c r="AB158" s="15">
        <f>'Adubos e corretivos'!I61</f>
        <v>0</v>
      </c>
      <c r="AC158" s="15">
        <f>'Adubos e corretivos'!J61</f>
        <v>0</v>
      </c>
      <c r="AD158" s="15">
        <f>'Adubos e corretivos'!K61</f>
        <v>0</v>
      </c>
      <c r="AE158" s="15">
        <f>'Adubos e corretivos'!L61</f>
        <v>0</v>
      </c>
      <c r="AF158" s="15">
        <f>'Adubos e corretivos'!M61</f>
        <v>0</v>
      </c>
      <c r="AG158" s="15">
        <f>'Adubos e corretivos'!N61</f>
        <v>0</v>
      </c>
      <c r="AH158" s="15">
        <f>'Adubos e corretivos'!O61</f>
        <v>0</v>
      </c>
      <c r="AI158" s="15">
        <f>'Adubos e corretivos'!P61</f>
        <v>0</v>
      </c>
      <c r="AJ158" s="15">
        <f>'Adubos e corretivos'!Q61</f>
        <v>0</v>
      </c>
      <c r="AK158" s="15">
        <f>'Adubos e corretivos'!R61</f>
        <v>0</v>
      </c>
      <c r="AL158" s="15">
        <f>'Adubos e corretivos'!S61</f>
        <v>0</v>
      </c>
      <c r="AM158" s="15">
        <f>'Adubos e corretivos'!T61</f>
        <v>0</v>
      </c>
      <c r="AN158" s="15">
        <f>'Adubos e corretivos'!U61</f>
        <v>0</v>
      </c>
      <c r="AO158" s="15">
        <f>'Adubos e corretivos'!V61</f>
        <v>0</v>
      </c>
    </row>
    <row r="159" spans="11:41" ht="20.25" customHeight="1" x14ac:dyDescent="0.25">
      <c r="K159" s="25"/>
      <c r="L159" s="25"/>
      <c r="M159" s="25"/>
      <c r="N159" s="365"/>
      <c r="O159" s="365"/>
      <c r="P159" s="365"/>
      <c r="Q159" s="25"/>
      <c r="R159" s="25"/>
      <c r="U159" s="343"/>
      <c r="V159" s="15">
        <f>'Adubos e corretivos'!C62</f>
        <v>0</v>
      </c>
      <c r="W159" s="15">
        <f>'Adubos e corretivos'!D62</f>
        <v>0</v>
      </c>
      <c r="X159" s="15">
        <f>'Adubos e corretivos'!E62</f>
        <v>0</v>
      </c>
      <c r="Y159" s="15">
        <f>'Adubos e corretivos'!F62</f>
        <v>0</v>
      </c>
      <c r="Z159" s="15">
        <f>'Adubos e corretivos'!G62</f>
        <v>0</v>
      </c>
      <c r="AA159" s="15">
        <f>'Adubos e corretivos'!H62</f>
        <v>0</v>
      </c>
      <c r="AB159" s="15">
        <f>'Adubos e corretivos'!I62</f>
        <v>0</v>
      </c>
      <c r="AC159" s="15">
        <f>'Adubos e corretivos'!J62</f>
        <v>0</v>
      </c>
      <c r="AD159" s="15">
        <f>'Adubos e corretivos'!K62</f>
        <v>0</v>
      </c>
      <c r="AE159" s="15">
        <f>'Adubos e corretivos'!L62</f>
        <v>0</v>
      </c>
      <c r="AF159" s="15">
        <f>'Adubos e corretivos'!M62</f>
        <v>0</v>
      </c>
      <c r="AG159" s="15">
        <f>'Adubos e corretivos'!N62</f>
        <v>0</v>
      </c>
      <c r="AH159" s="15">
        <f>'Adubos e corretivos'!O62</f>
        <v>0</v>
      </c>
      <c r="AI159" s="15">
        <f>'Adubos e corretivos'!P62</f>
        <v>0</v>
      </c>
      <c r="AJ159" s="15">
        <f>'Adubos e corretivos'!Q62</f>
        <v>0</v>
      </c>
      <c r="AK159" s="15">
        <f>'Adubos e corretivos'!R62</f>
        <v>0</v>
      </c>
      <c r="AL159" s="15">
        <f>'Adubos e corretivos'!S62</f>
        <v>0</v>
      </c>
      <c r="AM159" s="15">
        <f>'Adubos e corretivos'!T62</f>
        <v>0</v>
      </c>
      <c r="AN159" s="15">
        <f>'Adubos e corretivos'!U62</f>
        <v>0</v>
      </c>
      <c r="AO159" s="15">
        <f>'Adubos e corretivos'!V62</f>
        <v>0</v>
      </c>
    </row>
    <row r="160" spans="11:41" ht="20.25" customHeight="1" x14ac:dyDescent="0.25">
      <c r="K160" s="25"/>
      <c r="L160" s="25"/>
      <c r="M160" s="25"/>
      <c r="N160" s="25"/>
      <c r="O160" s="25"/>
      <c r="P160" s="25"/>
      <c r="Q160" s="25"/>
      <c r="R160" s="25"/>
      <c r="U160" s="342" t="s">
        <v>283</v>
      </c>
      <c r="V160" s="15" t="str">
        <f>'Adubos e corretivos'!C63</f>
        <v xml:space="preserve">Biotita Xisto (61) 3233-9368 </v>
      </c>
      <c r="W160" s="15">
        <f>'Adubos e corretivos'!D63</f>
        <v>0</v>
      </c>
      <c r="X160" s="15">
        <f>'Adubos e corretivos'!E63</f>
        <v>0</v>
      </c>
      <c r="Y160" s="15">
        <f>'Adubos e corretivos'!F63</f>
        <v>8.7999999999999995E-2</v>
      </c>
      <c r="Z160" s="15">
        <f>'Adubos e corretivos'!G63</f>
        <v>0.2</v>
      </c>
      <c r="AA160" s="15">
        <f>'Adubos e corretivos'!H63</f>
        <v>2.83</v>
      </c>
      <c r="AB160" s="15">
        <f>'Adubos e corretivos'!I63</f>
        <v>3.4</v>
      </c>
      <c r="AC160" s="15">
        <f>'Adubos e corretivos'!J63</f>
        <v>2.5174825174825175</v>
      </c>
      <c r="AD160" s="15">
        <f>'Adubos e corretivos'!K63</f>
        <v>7.6411960132890364</v>
      </c>
      <c r="AE160" s="15">
        <f>'Adubos e corretivos'!L63</f>
        <v>0</v>
      </c>
      <c r="AF160" s="15">
        <f>'Adubos e corretivos'!M63</f>
        <v>0</v>
      </c>
      <c r="AG160" s="15">
        <f>'Adubos e corretivos'!N63</f>
        <v>0</v>
      </c>
      <c r="AH160" s="15">
        <f>'Adubos e corretivos'!O63</f>
        <v>0</v>
      </c>
      <c r="AI160" s="15">
        <f>'Adubos e corretivos'!P63</f>
        <v>0</v>
      </c>
      <c r="AJ160" s="15">
        <f>'Adubos e corretivos'!Q63</f>
        <v>0</v>
      </c>
      <c r="AK160" s="15">
        <f>'Adubos e corretivos'!R63</f>
        <v>0</v>
      </c>
      <c r="AL160" s="15">
        <f>'Adubos e corretivos'!S63</f>
        <v>57.8</v>
      </c>
      <c r="AM160" s="15">
        <f>'Adubos e corretivos'!T63</f>
        <v>0</v>
      </c>
      <c r="AN160" s="15">
        <f>'Adubos e corretivos'!U63</f>
        <v>0</v>
      </c>
      <c r="AO160" s="15">
        <f>'Adubos e corretivos'!V63</f>
        <v>0</v>
      </c>
    </row>
    <row r="161" spans="11:44" ht="20.25" customHeight="1" x14ac:dyDescent="0.25">
      <c r="K161" s="25"/>
      <c r="L161" s="25"/>
      <c r="M161" s="25"/>
      <c r="N161" s="25"/>
      <c r="O161" s="25"/>
      <c r="P161" s="25"/>
      <c r="Q161" s="25"/>
      <c r="R161" s="25"/>
      <c r="U161" s="342"/>
      <c r="V161" s="15" t="str">
        <f>'Adubos e corretivos'!C64</f>
        <v>Kamafugito</v>
      </c>
      <c r="W161" s="15">
        <f>'Adubos e corretivos'!D64</f>
        <v>0</v>
      </c>
      <c r="X161" s="15">
        <f>'Adubos e corretivos'!E64</f>
        <v>0</v>
      </c>
      <c r="Y161" s="15">
        <f>'Adubos e corretivos'!F64</f>
        <v>1.5069999999999999</v>
      </c>
      <c r="Z161" s="15">
        <f>'Adubos e corretivos'!G64</f>
        <v>3.5</v>
      </c>
      <c r="AA161" s="15">
        <f>'Adubos e corretivos'!H64</f>
        <v>3.3250000000000002</v>
      </c>
      <c r="AB161" s="15">
        <f>'Adubos e corretivos'!I64</f>
        <v>4</v>
      </c>
      <c r="AC161" s="15">
        <f>'Adubos e corretivos'!J64</f>
        <v>2.86</v>
      </c>
      <c r="AD161" s="15">
        <f>'Adubos e corretivos'!K64</f>
        <v>0</v>
      </c>
      <c r="AE161" s="15">
        <f>'Adubos e corretivos'!L64</f>
        <v>0</v>
      </c>
      <c r="AF161" s="15">
        <f>'Adubos e corretivos'!M64</f>
        <v>0</v>
      </c>
      <c r="AG161" s="15">
        <f>'Adubos e corretivos'!N64</f>
        <v>0</v>
      </c>
      <c r="AH161" s="15">
        <f>'Adubos e corretivos'!O64</f>
        <v>0</v>
      </c>
      <c r="AI161" s="15">
        <f>'Adubos e corretivos'!P64</f>
        <v>0</v>
      </c>
      <c r="AJ161" s="15">
        <f>'Adubos e corretivos'!Q64</f>
        <v>0</v>
      </c>
      <c r="AK161" s="15">
        <f>'Adubos e corretivos'!R64</f>
        <v>0</v>
      </c>
      <c r="AL161" s="15">
        <f>'Adubos e corretivos'!S64</f>
        <v>0</v>
      </c>
      <c r="AM161" s="15">
        <f>'Adubos e corretivos'!T64</f>
        <v>0</v>
      </c>
      <c r="AN161" s="15">
        <f>'Adubos e corretivos'!U64</f>
        <v>0</v>
      </c>
      <c r="AO161" s="15">
        <f>'Adubos e corretivos'!V64</f>
        <v>0</v>
      </c>
    </row>
    <row r="162" spans="11:44" ht="20.25" customHeight="1" x14ac:dyDescent="0.25">
      <c r="K162" s="25"/>
      <c r="L162" s="25"/>
      <c r="M162" s="25"/>
      <c r="N162" s="25"/>
      <c r="O162" s="25"/>
      <c r="P162" s="25"/>
      <c r="Q162" s="25"/>
      <c r="R162" s="25"/>
      <c r="U162" s="342"/>
      <c r="V162" s="15" t="str">
        <f>'Adubos e corretivos'!C65</f>
        <v>Micaxisto (61) 3233-9368</v>
      </c>
      <c r="W162" s="15">
        <f>'Adubos e corretivos'!D65</f>
        <v>0</v>
      </c>
      <c r="X162" s="15">
        <f>'Adubos e corretivos'!E65</f>
        <v>0</v>
      </c>
      <c r="Y162" s="15">
        <f>'Adubos e corretivos'!F65</f>
        <v>4.4999999999999998E-2</v>
      </c>
      <c r="Z162" s="15">
        <f>'Adubos e corretivos'!G65</f>
        <v>0.1</v>
      </c>
      <c r="AA162" s="15">
        <f>'Adubos e corretivos'!H65</f>
        <v>4.32</v>
      </c>
      <c r="AB162" s="15">
        <f>'Adubos e corretivos'!I65</f>
        <v>5.2</v>
      </c>
      <c r="AC162" s="15">
        <f>'Adubos e corretivos'!J65</f>
        <v>1.2587412587412588</v>
      </c>
      <c r="AD162" s="15">
        <f>'Adubos e corretivos'!K65</f>
        <v>1.1627906976744187</v>
      </c>
      <c r="AE162" s="15">
        <f>'Adubos e corretivos'!L65</f>
        <v>0</v>
      </c>
      <c r="AF162" s="15">
        <f>'Adubos e corretivos'!M65</f>
        <v>0</v>
      </c>
      <c r="AG162" s="15">
        <f>'Adubos e corretivos'!N65</f>
        <v>0</v>
      </c>
      <c r="AH162" s="15">
        <f>'Adubos e corretivos'!O65</f>
        <v>0</v>
      </c>
      <c r="AI162" s="15">
        <f>'Adubos e corretivos'!P65</f>
        <v>0</v>
      </c>
      <c r="AJ162" s="15">
        <f>'Adubos e corretivos'!Q65</f>
        <v>0</v>
      </c>
      <c r="AK162" s="15">
        <f>'Adubos e corretivos'!R65</f>
        <v>0</v>
      </c>
      <c r="AL162" s="15">
        <f>'Adubos e corretivos'!S65</f>
        <v>0</v>
      </c>
      <c r="AM162" s="15">
        <f>'Adubos e corretivos'!T65</f>
        <v>0</v>
      </c>
      <c r="AN162" s="15">
        <f>'Adubos e corretivos'!U65</f>
        <v>0</v>
      </c>
      <c r="AO162" s="15">
        <f>'Adubos e corretivos'!V65</f>
        <v>0</v>
      </c>
    </row>
    <row r="163" spans="11:44" ht="20.25" customHeight="1" x14ac:dyDescent="0.25">
      <c r="K163" s="25"/>
      <c r="L163" s="25"/>
      <c r="M163" s="25"/>
      <c r="N163" s="25"/>
      <c r="O163" s="25"/>
      <c r="P163" s="25"/>
      <c r="Q163" s="25"/>
      <c r="R163" s="25"/>
      <c r="U163" s="342"/>
      <c r="V163" s="15" t="str">
        <f>'Adubos e corretivos'!C66</f>
        <v xml:space="preserve">Pó de brita Fmx (62) 3924 8565 </v>
      </c>
      <c r="W163" s="15">
        <f>'Adubos e corretivos'!D66</f>
        <v>0</v>
      </c>
      <c r="X163" s="15">
        <f>'Adubos e corretivos'!E66</f>
        <v>0</v>
      </c>
      <c r="Y163" s="15">
        <f>'Adubos e corretivos'!F66</f>
        <v>0</v>
      </c>
      <c r="Z163" s="15">
        <f>'Adubos e corretivos'!G66</f>
        <v>0</v>
      </c>
      <c r="AA163" s="15">
        <f>'Adubos e corretivos'!H66</f>
        <v>4.99</v>
      </c>
      <c r="AB163" s="15">
        <f>'Adubos e corretivos'!I66</f>
        <v>6</v>
      </c>
      <c r="AC163" s="15">
        <f>'Adubos e corretivos'!J66</f>
        <v>4.1958041958041958</v>
      </c>
      <c r="AD163" s="15">
        <f>'Adubos e corretivos'!K66</f>
        <v>0.83056478405315615</v>
      </c>
      <c r="AE163" s="15">
        <f>'Adubos e corretivos'!L66</f>
        <v>0</v>
      </c>
      <c r="AF163" s="15">
        <f>'Adubos e corretivos'!M66</f>
        <v>0</v>
      </c>
      <c r="AG163" s="15">
        <f>'Adubos e corretivos'!N66</f>
        <v>0</v>
      </c>
      <c r="AH163" s="15">
        <f>'Adubos e corretivos'!O66</f>
        <v>0</v>
      </c>
      <c r="AI163" s="15">
        <f>'Adubos e corretivos'!P66</f>
        <v>0</v>
      </c>
      <c r="AJ163" s="15">
        <f>'Adubos e corretivos'!Q66</f>
        <v>0</v>
      </c>
      <c r="AK163" s="15">
        <f>'Adubos e corretivos'!R66</f>
        <v>0</v>
      </c>
      <c r="AL163" s="15">
        <f>'Adubos e corretivos'!S66</f>
        <v>0</v>
      </c>
      <c r="AM163" s="15">
        <f>'Adubos e corretivos'!T66</f>
        <v>0</v>
      </c>
      <c r="AN163" s="15">
        <f>'Adubos e corretivos'!U66</f>
        <v>0</v>
      </c>
      <c r="AO163" s="15">
        <f>'Adubos e corretivos'!V66</f>
        <v>0</v>
      </c>
    </row>
    <row r="164" spans="11:44" ht="20.25" customHeight="1" x14ac:dyDescent="0.25">
      <c r="K164" s="25"/>
      <c r="L164" s="25"/>
      <c r="M164" s="25"/>
      <c r="N164" s="25"/>
      <c r="O164" s="25"/>
      <c r="P164" s="25"/>
      <c r="Q164" s="25"/>
      <c r="R164" s="25"/>
      <c r="U164" s="342"/>
      <c r="V164" s="15" t="str">
        <f>'Adubos e corretivos'!C67</f>
        <v>Remax Mistel (61) 99414-1975</v>
      </c>
      <c r="W164" s="15">
        <f>'Adubos e corretivos'!D67</f>
        <v>0</v>
      </c>
      <c r="X164" s="15">
        <f>'Adubos e corretivos'!E67</f>
        <v>0</v>
      </c>
      <c r="Y164" s="15">
        <f>'Adubos e corretivos'!F67</f>
        <v>4.4999999999999998E-2</v>
      </c>
      <c r="Z164" s="15">
        <f>'Adubos e corretivos'!G67</f>
        <v>0.1</v>
      </c>
      <c r="AA164" s="15">
        <f>'Adubos e corretivos'!H67</f>
        <v>2.1949999999999998</v>
      </c>
      <c r="AB164" s="15">
        <f>'Adubos e corretivos'!I67</f>
        <v>2.6</v>
      </c>
      <c r="AC164" s="15">
        <f>'Adubos e corretivos'!J67</f>
        <v>18.741258741258743</v>
      </c>
      <c r="AD164" s="15">
        <f>'Adubos e corretivos'!K67</f>
        <v>12.44186046511628</v>
      </c>
      <c r="AE164" s="15">
        <f>'Adubos e corretivos'!L67</f>
        <v>0</v>
      </c>
      <c r="AF164" s="15">
        <f>'Adubos e corretivos'!M67</f>
        <v>0</v>
      </c>
      <c r="AG164" s="15">
        <f>'Adubos e corretivos'!N67</f>
        <v>0</v>
      </c>
      <c r="AH164" s="15">
        <f>'Adubos e corretivos'!O67</f>
        <v>0</v>
      </c>
      <c r="AI164" s="15">
        <f>'Adubos e corretivos'!P67</f>
        <v>0</v>
      </c>
      <c r="AJ164" s="15">
        <f>'Adubos e corretivos'!Q67</f>
        <v>0</v>
      </c>
      <c r="AK164" s="15">
        <f>'Adubos e corretivos'!R67</f>
        <v>0</v>
      </c>
      <c r="AL164" s="15">
        <f>'Adubos e corretivos'!S67</f>
        <v>43.8</v>
      </c>
      <c r="AM164" s="15">
        <f>'Adubos e corretivos'!T67</f>
        <v>0</v>
      </c>
      <c r="AN164" s="15">
        <f>'Adubos e corretivos'!U67</f>
        <v>0</v>
      </c>
      <c r="AO164" s="15">
        <f>'Adubos e corretivos'!V67</f>
        <v>0</v>
      </c>
    </row>
    <row r="165" spans="11:44" ht="20.25" customHeight="1" x14ac:dyDescent="0.25">
      <c r="K165" s="25"/>
      <c r="L165" s="25"/>
      <c r="M165" s="25"/>
      <c r="N165" s="25"/>
      <c r="O165" s="25"/>
      <c r="P165" s="25"/>
      <c r="Q165" s="25"/>
      <c r="R165" s="25"/>
      <c r="U165" s="342"/>
      <c r="V165" s="15">
        <f>'Adubos e corretivos'!C68</f>
        <v>0</v>
      </c>
      <c r="W165" s="15">
        <f>'Adubos e corretivos'!D68</f>
        <v>0</v>
      </c>
      <c r="X165" s="15">
        <f>'Adubos e corretivos'!E68</f>
        <v>0</v>
      </c>
      <c r="Y165" s="15">
        <f>'Adubos e corretivos'!F68</f>
        <v>0</v>
      </c>
      <c r="Z165" s="15">
        <f>'Adubos e corretivos'!G68</f>
        <v>0</v>
      </c>
      <c r="AA165" s="15">
        <f>'Adubos e corretivos'!H68</f>
        <v>0</v>
      </c>
      <c r="AB165" s="15">
        <f>'Adubos e corretivos'!I68</f>
        <v>0</v>
      </c>
      <c r="AC165" s="15">
        <f>'Adubos e corretivos'!J68</f>
        <v>0</v>
      </c>
      <c r="AD165" s="15">
        <f>'Adubos e corretivos'!K68</f>
        <v>0</v>
      </c>
      <c r="AE165" s="15">
        <f>'Adubos e corretivos'!L68</f>
        <v>0</v>
      </c>
      <c r="AF165" s="15">
        <f>'Adubos e corretivos'!M68</f>
        <v>0</v>
      </c>
      <c r="AG165" s="15">
        <f>'Adubos e corretivos'!N68</f>
        <v>0</v>
      </c>
      <c r="AH165" s="15">
        <f>'Adubos e corretivos'!O68</f>
        <v>0</v>
      </c>
      <c r="AI165" s="15">
        <f>'Adubos e corretivos'!P68</f>
        <v>0</v>
      </c>
      <c r="AJ165" s="15">
        <f>'Adubos e corretivos'!Q68</f>
        <v>0</v>
      </c>
      <c r="AK165" s="15">
        <f>'Adubos e corretivos'!R68</f>
        <v>0</v>
      </c>
      <c r="AL165" s="15">
        <f>'Adubos e corretivos'!S68</f>
        <v>0</v>
      </c>
      <c r="AM165" s="15">
        <f>'Adubos e corretivos'!T68</f>
        <v>0</v>
      </c>
      <c r="AN165" s="15">
        <f>'Adubos e corretivos'!U68</f>
        <v>0</v>
      </c>
      <c r="AO165" s="15">
        <f>'Adubos e corretivos'!V68</f>
        <v>0</v>
      </c>
    </row>
    <row r="166" spans="11:44" ht="20.25" customHeight="1" x14ac:dyDescent="0.25">
      <c r="K166" s="25"/>
      <c r="L166" s="25"/>
      <c r="M166" s="25"/>
      <c r="N166" s="25"/>
      <c r="O166" s="25"/>
      <c r="P166" s="25"/>
      <c r="Q166" s="25"/>
      <c r="R166" s="25"/>
      <c r="U166" s="342"/>
      <c r="V166" s="15">
        <f>'Adubos e corretivos'!C69</f>
        <v>0</v>
      </c>
      <c r="W166" s="15">
        <f>'Adubos e corretivos'!D69</f>
        <v>0</v>
      </c>
      <c r="X166" s="15">
        <f>'Adubos e corretivos'!E69</f>
        <v>0</v>
      </c>
      <c r="Y166" s="15">
        <f>'Adubos e corretivos'!F69</f>
        <v>0</v>
      </c>
      <c r="Z166" s="15">
        <f>'Adubos e corretivos'!G69</f>
        <v>0</v>
      </c>
      <c r="AA166" s="15">
        <f>'Adubos e corretivos'!H69</f>
        <v>0</v>
      </c>
      <c r="AB166" s="15">
        <f>'Adubos e corretivos'!I69</f>
        <v>0</v>
      </c>
      <c r="AC166" s="15">
        <f>'Adubos e corretivos'!J69</f>
        <v>0</v>
      </c>
      <c r="AD166" s="15">
        <f>'Adubos e corretivos'!K69</f>
        <v>0</v>
      </c>
      <c r="AE166" s="15">
        <f>'Adubos e corretivos'!L69</f>
        <v>0</v>
      </c>
      <c r="AF166" s="15">
        <f>'Adubos e corretivos'!M69</f>
        <v>0</v>
      </c>
      <c r="AG166" s="15">
        <f>'Adubos e corretivos'!N69</f>
        <v>0</v>
      </c>
      <c r="AH166" s="15">
        <f>'Adubos e corretivos'!O69</f>
        <v>0</v>
      </c>
      <c r="AI166" s="15">
        <f>'Adubos e corretivos'!P69</f>
        <v>0</v>
      </c>
      <c r="AJ166" s="15">
        <f>'Adubos e corretivos'!Q69</f>
        <v>0</v>
      </c>
      <c r="AK166" s="15">
        <f>'Adubos e corretivos'!R69</f>
        <v>0</v>
      </c>
      <c r="AL166" s="15">
        <f>'Adubos e corretivos'!S69</f>
        <v>0</v>
      </c>
      <c r="AM166" s="15">
        <f>'Adubos e corretivos'!T69</f>
        <v>0</v>
      </c>
      <c r="AN166" s="15">
        <f>'Adubos e corretivos'!U69</f>
        <v>0</v>
      </c>
      <c r="AO166" s="15">
        <f>'Adubos e corretivos'!V69</f>
        <v>0</v>
      </c>
    </row>
    <row r="167" spans="11:44" ht="20.25" customHeight="1" x14ac:dyDescent="0.25">
      <c r="K167" s="25"/>
      <c r="L167" s="25"/>
      <c r="M167" s="25"/>
      <c r="N167" s="25"/>
      <c r="O167" s="25"/>
      <c r="P167" s="25"/>
      <c r="Q167" s="25"/>
      <c r="R167" s="25"/>
      <c r="U167" s="342"/>
      <c r="V167" s="15">
        <f>'Adubos e corretivos'!C70</f>
        <v>0</v>
      </c>
      <c r="W167" s="15">
        <f>'Adubos e corretivos'!D70</f>
        <v>0</v>
      </c>
      <c r="X167" s="15">
        <f>'Adubos e corretivos'!E70</f>
        <v>0</v>
      </c>
      <c r="Y167" s="15">
        <f>'Adubos e corretivos'!F70</f>
        <v>0</v>
      </c>
      <c r="Z167" s="15">
        <f>'Adubos e corretivos'!G70</f>
        <v>0</v>
      </c>
      <c r="AA167" s="15">
        <f>'Adubos e corretivos'!H70</f>
        <v>0</v>
      </c>
      <c r="AB167" s="15">
        <f>'Adubos e corretivos'!I70</f>
        <v>0</v>
      </c>
      <c r="AC167" s="15">
        <f>'Adubos e corretivos'!J70</f>
        <v>0</v>
      </c>
      <c r="AD167" s="15">
        <f>'Adubos e corretivos'!K70</f>
        <v>0</v>
      </c>
      <c r="AE167" s="15">
        <f>'Adubos e corretivos'!L70</f>
        <v>0</v>
      </c>
      <c r="AF167" s="15">
        <f>'Adubos e corretivos'!M70</f>
        <v>0</v>
      </c>
      <c r="AG167" s="15">
        <f>'Adubos e corretivos'!N70</f>
        <v>0</v>
      </c>
      <c r="AH167" s="15">
        <f>'Adubos e corretivos'!O70</f>
        <v>0</v>
      </c>
      <c r="AI167" s="15">
        <f>'Adubos e corretivos'!P70</f>
        <v>0</v>
      </c>
      <c r="AJ167" s="15">
        <f>'Adubos e corretivos'!Q70</f>
        <v>0</v>
      </c>
      <c r="AK167" s="15">
        <f>'Adubos e corretivos'!R70</f>
        <v>0</v>
      </c>
      <c r="AL167" s="15">
        <f>'Adubos e corretivos'!S70</f>
        <v>0</v>
      </c>
      <c r="AM167" s="15">
        <f>'Adubos e corretivos'!T70</f>
        <v>0</v>
      </c>
      <c r="AN167" s="15">
        <f>'Adubos e corretivos'!U70</f>
        <v>0</v>
      </c>
      <c r="AO167" s="15">
        <f>'Adubos e corretivos'!V70</f>
        <v>0</v>
      </c>
    </row>
    <row r="168" spans="11:44" ht="20.25" customHeight="1" x14ac:dyDescent="0.25">
      <c r="K168" s="25"/>
      <c r="L168" s="25"/>
      <c r="M168" s="25"/>
      <c r="N168" s="25"/>
      <c r="O168" s="25"/>
      <c r="P168" s="25"/>
      <c r="Q168" s="25"/>
      <c r="R168" s="25"/>
      <c r="U168" s="342"/>
      <c r="V168" s="15">
        <f>'Adubos e corretivos'!C71</f>
        <v>0</v>
      </c>
      <c r="W168" s="15">
        <f>'Adubos e corretivos'!D71</f>
        <v>0</v>
      </c>
      <c r="X168" s="15">
        <f>'Adubos e corretivos'!E71</f>
        <v>0</v>
      </c>
      <c r="Y168" s="15">
        <f>'Adubos e corretivos'!F71</f>
        <v>0</v>
      </c>
      <c r="Z168" s="15">
        <f>'Adubos e corretivos'!G71</f>
        <v>0</v>
      </c>
      <c r="AA168" s="15">
        <f>'Adubos e corretivos'!H71</f>
        <v>0</v>
      </c>
      <c r="AB168" s="15">
        <f>'Adubos e corretivos'!I71</f>
        <v>0</v>
      </c>
      <c r="AC168" s="15">
        <f>'Adubos e corretivos'!J71</f>
        <v>0</v>
      </c>
      <c r="AD168" s="15">
        <f>'Adubos e corretivos'!K71</f>
        <v>0</v>
      </c>
      <c r="AE168" s="15">
        <f>'Adubos e corretivos'!L71</f>
        <v>0</v>
      </c>
      <c r="AF168" s="15">
        <f>'Adubos e corretivos'!M71</f>
        <v>0</v>
      </c>
      <c r="AG168" s="15">
        <f>'Adubos e corretivos'!N71</f>
        <v>0</v>
      </c>
      <c r="AH168" s="15">
        <f>'Adubos e corretivos'!O71</f>
        <v>0</v>
      </c>
      <c r="AI168" s="15">
        <f>'Adubos e corretivos'!P71</f>
        <v>0</v>
      </c>
      <c r="AJ168" s="15">
        <f>'Adubos e corretivos'!Q71</f>
        <v>0</v>
      </c>
      <c r="AK168" s="15">
        <f>'Adubos e corretivos'!R71</f>
        <v>0</v>
      </c>
      <c r="AL168" s="15">
        <f>'Adubos e corretivos'!S71</f>
        <v>0</v>
      </c>
      <c r="AM168" s="15">
        <f>'Adubos e corretivos'!T71</f>
        <v>0</v>
      </c>
      <c r="AN168" s="15">
        <f>'Adubos e corretivos'!U71</f>
        <v>0</v>
      </c>
      <c r="AO168" s="15">
        <f>'Adubos e corretivos'!V71</f>
        <v>0</v>
      </c>
    </row>
    <row r="169" spans="11:44" ht="20.25" customHeight="1" x14ac:dyDescent="0.25">
      <c r="K169" s="25"/>
      <c r="L169" s="25"/>
      <c r="M169" s="25"/>
      <c r="N169" s="25"/>
      <c r="O169" s="25"/>
      <c r="P169" s="25"/>
      <c r="Q169" s="25"/>
      <c r="R169" s="25"/>
      <c r="U169" s="342"/>
      <c r="V169" s="15">
        <f>'Adubos e corretivos'!C72</f>
        <v>0</v>
      </c>
      <c r="W169" s="15">
        <f>'Adubos e corretivos'!D72</f>
        <v>0</v>
      </c>
      <c r="X169" s="15">
        <f>'Adubos e corretivos'!E72</f>
        <v>0</v>
      </c>
      <c r="Y169" s="15">
        <f>'Adubos e corretivos'!F72</f>
        <v>0</v>
      </c>
      <c r="Z169" s="15">
        <f>'Adubos e corretivos'!G72</f>
        <v>0</v>
      </c>
      <c r="AA169" s="15">
        <f>'Adubos e corretivos'!H72</f>
        <v>0</v>
      </c>
      <c r="AB169" s="15">
        <f>'Adubos e corretivos'!I72</f>
        <v>0</v>
      </c>
      <c r="AC169" s="15">
        <f>'Adubos e corretivos'!J72</f>
        <v>0</v>
      </c>
      <c r="AD169" s="15">
        <f>'Adubos e corretivos'!K72</f>
        <v>0</v>
      </c>
      <c r="AE169" s="15">
        <f>'Adubos e corretivos'!L72</f>
        <v>0</v>
      </c>
      <c r="AF169" s="15">
        <f>'Adubos e corretivos'!M72</f>
        <v>0</v>
      </c>
      <c r="AG169" s="15">
        <f>'Adubos e corretivos'!N72</f>
        <v>0</v>
      </c>
      <c r="AH169" s="15">
        <f>'Adubos e corretivos'!O72</f>
        <v>0</v>
      </c>
      <c r="AI169" s="15">
        <f>'Adubos e corretivos'!P72</f>
        <v>0</v>
      </c>
      <c r="AJ169" s="15">
        <f>'Adubos e corretivos'!Q72</f>
        <v>0</v>
      </c>
      <c r="AK169" s="15">
        <f>'Adubos e corretivos'!R72</f>
        <v>0</v>
      </c>
      <c r="AL169" s="15">
        <f>'Adubos e corretivos'!S72</f>
        <v>0</v>
      </c>
      <c r="AM169" s="15">
        <f>'Adubos e corretivos'!T72</f>
        <v>0</v>
      </c>
      <c r="AN169" s="15">
        <f>'Adubos e corretivos'!U72</f>
        <v>0</v>
      </c>
      <c r="AO169" s="15">
        <f>'Adubos e corretivos'!V72</f>
        <v>0</v>
      </c>
      <c r="AP169" s="108"/>
      <c r="AQ169" s="108"/>
      <c r="AR169" s="25"/>
    </row>
    <row r="170" spans="11:44" ht="20.25" customHeight="1" x14ac:dyDescent="0.25">
      <c r="K170" s="25"/>
      <c r="L170" s="25"/>
      <c r="M170" s="25"/>
      <c r="N170" s="25"/>
      <c r="O170" s="25"/>
      <c r="P170" s="25"/>
      <c r="Q170" s="25"/>
      <c r="R170" s="25"/>
      <c r="U170" s="462" t="s">
        <v>135</v>
      </c>
      <c r="V170" s="15" t="str">
        <f>'Adubos e corretivos'!C73</f>
        <v>Ácido Bórico</v>
      </c>
      <c r="W170" s="15">
        <f>'Adubos e corretivos'!D73</f>
        <v>0</v>
      </c>
      <c r="X170" s="15">
        <f>'Adubos e corretivos'!E73</f>
        <v>0</v>
      </c>
      <c r="Y170" s="15">
        <f>'Adubos e corretivos'!F73</f>
        <v>0</v>
      </c>
      <c r="Z170" s="15">
        <f>'Adubos e corretivos'!G73</f>
        <v>0</v>
      </c>
      <c r="AA170" s="15">
        <f>'Adubos e corretivos'!H73</f>
        <v>0</v>
      </c>
      <c r="AB170" s="15">
        <f>'Adubos e corretivos'!I73</f>
        <v>0</v>
      </c>
      <c r="AC170" s="15">
        <f>'Adubos e corretivos'!J73</f>
        <v>0</v>
      </c>
      <c r="AD170" s="15">
        <f>'Adubos e corretivos'!K73</f>
        <v>0</v>
      </c>
      <c r="AE170" s="15">
        <f>'Adubos e corretivos'!L73</f>
        <v>0</v>
      </c>
      <c r="AF170" s="15">
        <f>'Adubos e corretivos'!M73</f>
        <v>17.5</v>
      </c>
      <c r="AG170" s="15">
        <f>'Adubos e corretivos'!N73</f>
        <v>0</v>
      </c>
      <c r="AH170" s="15">
        <f>'Adubos e corretivos'!O73</f>
        <v>0</v>
      </c>
      <c r="AI170" s="15">
        <f>'Adubos e corretivos'!P73</f>
        <v>0</v>
      </c>
      <c r="AJ170" s="15">
        <f>'Adubos e corretivos'!Q73</f>
        <v>0</v>
      </c>
      <c r="AK170" s="15">
        <f>'Adubos e corretivos'!R73</f>
        <v>0</v>
      </c>
      <c r="AL170" s="15">
        <f>'Adubos e corretivos'!S73</f>
        <v>0</v>
      </c>
      <c r="AM170" s="15">
        <f>'Adubos e corretivos'!T73</f>
        <v>0</v>
      </c>
      <c r="AN170" s="15">
        <f>'Adubos e corretivos'!U73</f>
        <v>0</v>
      </c>
      <c r="AO170" s="15">
        <f>'Adubos e corretivos'!V73</f>
        <v>0</v>
      </c>
    </row>
    <row r="171" spans="11:44" ht="20.25" customHeight="1" x14ac:dyDescent="0.25">
      <c r="K171" s="25"/>
      <c r="L171" s="25"/>
      <c r="M171" s="25"/>
      <c r="N171" s="25"/>
      <c r="O171" s="25"/>
      <c r="P171" s="25"/>
      <c r="Q171" s="25"/>
      <c r="R171" s="25"/>
      <c r="U171" s="462"/>
      <c r="V171" s="15" t="str">
        <f>'Adubos e corretivos'!C74</f>
        <v>Boráx</v>
      </c>
      <c r="W171" s="15">
        <f>'Adubos e corretivos'!D74</f>
        <v>0</v>
      </c>
      <c r="X171" s="15">
        <f>'Adubos e corretivos'!E74</f>
        <v>0</v>
      </c>
      <c r="Y171" s="15">
        <f>'Adubos e corretivos'!F74</f>
        <v>0</v>
      </c>
      <c r="Z171" s="15">
        <f>'Adubos e corretivos'!G74</f>
        <v>0</v>
      </c>
      <c r="AA171" s="15">
        <f>'Adubos e corretivos'!H74</f>
        <v>0</v>
      </c>
      <c r="AB171" s="15">
        <f>'Adubos e corretivos'!I74</f>
        <v>0</v>
      </c>
      <c r="AC171" s="15">
        <f>'Adubos e corretivos'!J74</f>
        <v>0</v>
      </c>
      <c r="AD171" s="15">
        <f>'Adubos e corretivos'!K74</f>
        <v>0</v>
      </c>
      <c r="AE171" s="15">
        <f>'Adubos e corretivos'!L74</f>
        <v>0</v>
      </c>
      <c r="AF171" s="15">
        <f>'Adubos e corretivos'!M74</f>
        <v>10.5</v>
      </c>
      <c r="AG171" s="15">
        <f>'Adubos e corretivos'!N74</f>
        <v>0</v>
      </c>
      <c r="AH171" s="15">
        <f>'Adubos e corretivos'!O74</f>
        <v>0</v>
      </c>
      <c r="AI171" s="15">
        <f>'Adubos e corretivos'!P74</f>
        <v>0</v>
      </c>
      <c r="AJ171" s="15">
        <f>'Adubos e corretivos'!Q74</f>
        <v>0</v>
      </c>
      <c r="AK171" s="15">
        <f>'Adubos e corretivos'!R74</f>
        <v>0</v>
      </c>
      <c r="AL171" s="15">
        <f>'Adubos e corretivos'!S74</f>
        <v>0</v>
      </c>
      <c r="AM171" s="15">
        <f>'Adubos e corretivos'!T74</f>
        <v>0</v>
      </c>
      <c r="AN171" s="15">
        <f>'Adubos e corretivos'!U74</f>
        <v>0</v>
      </c>
      <c r="AO171" s="15">
        <f>'Adubos e corretivos'!V74</f>
        <v>0</v>
      </c>
    </row>
    <row r="172" spans="11:44" ht="20.25" customHeight="1" x14ac:dyDescent="0.25">
      <c r="K172" s="25"/>
      <c r="L172" s="25"/>
      <c r="M172" s="25"/>
      <c r="N172" s="25"/>
      <c r="O172" s="105"/>
      <c r="P172" s="105"/>
      <c r="Q172" s="105"/>
      <c r="R172" s="25"/>
      <c r="U172" s="462"/>
      <c r="V172" s="15" t="str">
        <f>'Adubos e corretivos'!C75</f>
        <v>Brexil Top</v>
      </c>
      <c r="W172" s="15">
        <f>'Adubos e corretivos'!D75</f>
        <v>0</v>
      </c>
      <c r="X172" s="15">
        <f>'Adubos e corretivos'!E75</f>
        <v>0</v>
      </c>
      <c r="Y172" s="15">
        <f>'Adubos e corretivos'!F75</f>
        <v>0</v>
      </c>
      <c r="Z172" s="15">
        <f>'Adubos e corretivos'!G75</f>
        <v>0</v>
      </c>
      <c r="AA172" s="15">
        <f>'Adubos e corretivos'!H75</f>
        <v>0</v>
      </c>
      <c r="AB172" s="15">
        <f>'Adubos e corretivos'!I75</f>
        <v>0</v>
      </c>
      <c r="AC172" s="15">
        <f>'Adubos e corretivos'!J75</f>
        <v>0</v>
      </c>
      <c r="AD172" s="15">
        <f>'Adubos e corretivos'!K75</f>
        <v>1.5</v>
      </c>
      <c r="AE172" s="15">
        <f>'Adubos e corretivos'!L75</f>
        <v>10</v>
      </c>
      <c r="AF172" s="15">
        <f>'Adubos e corretivos'!M75</f>
        <v>2</v>
      </c>
      <c r="AG172" s="15">
        <f>'Adubos e corretivos'!N75</f>
        <v>5</v>
      </c>
      <c r="AH172" s="15">
        <f>'Adubos e corretivos'!O75</f>
        <v>6</v>
      </c>
      <c r="AI172" s="15">
        <f>'Adubos e corretivos'!P75</f>
        <v>0</v>
      </c>
      <c r="AJ172" s="15">
        <f>'Adubos e corretivos'!Q75</f>
        <v>0.5</v>
      </c>
      <c r="AK172" s="15">
        <f>'Adubos e corretivos'!R75</f>
        <v>0</v>
      </c>
      <c r="AL172" s="15">
        <f>'Adubos e corretivos'!S75</f>
        <v>0</v>
      </c>
      <c r="AM172" s="15">
        <f>'Adubos e corretivos'!T75</f>
        <v>0</v>
      </c>
      <c r="AN172" s="15">
        <f>'Adubos e corretivos'!U75</f>
        <v>0</v>
      </c>
      <c r="AO172" s="15">
        <f>'Adubos e corretivos'!V75</f>
        <v>0</v>
      </c>
    </row>
    <row r="173" spans="11:44" ht="20.25" customHeight="1" x14ac:dyDescent="0.25">
      <c r="K173" s="25"/>
      <c r="L173" s="25"/>
      <c r="M173" s="25"/>
      <c r="N173" s="25"/>
      <c r="O173" s="105"/>
      <c r="P173" s="105"/>
      <c r="Q173" s="105"/>
      <c r="R173" s="25"/>
      <c r="U173" s="462"/>
      <c r="V173" s="15" t="str">
        <f>'Adubos e corretivos'!C76</f>
        <v>Ferro YaraVita™ Rexolin® M48</v>
      </c>
      <c r="W173" s="15">
        <f>'Adubos e corretivos'!D76</f>
        <v>0</v>
      </c>
      <c r="X173" s="15">
        <f>'Adubos e corretivos'!E76</f>
        <v>0</v>
      </c>
      <c r="Y173" s="15">
        <f>'Adubos e corretivos'!F76</f>
        <v>0</v>
      </c>
      <c r="Z173" s="15">
        <f>'Adubos e corretivos'!G76</f>
        <v>0</v>
      </c>
      <c r="AA173" s="15">
        <f>'Adubos e corretivos'!H76</f>
        <v>0</v>
      </c>
      <c r="AB173" s="15">
        <f>'Adubos e corretivos'!I76</f>
        <v>0</v>
      </c>
      <c r="AC173" s="15">
        <f>'Adubos e corretivos'!J76</f>
        <v>0</v>
      </c>
      <c r="AD173" s="15">
        <f>'Adubos e corretivos'!K76</f>
        <v>0</v>
      </c>
      <c r="AE173" s="15">
        <f>'Adubos e corretivos'!L76</f>
        <v>0</v>
      </c>
      <c r="AF173" s="15">
        <f>'Adubos e corretivos'!M76</f>
        <v>0</v>
      </c>
      <c r="AG173" s="15">
        <f>'Adubos e corretivos'!N76</f>
        <v>0</v>
      </c>
      <c r="AH173" s="15">
        <f>'Adubos e corretivos'!O76</f>
        <v>0</v>
      </c>
      <c r="AI173" s="15">
        <f>'Adubos e corretivos'!P76</f>
        <v>0</v>
      </c>
      <c r="AJ173" s="15">
        <f>'Adubos e corretivos'!Q76</f>
        <v>0</v>
      </c>
      <c r="AK173" s="15">
        <f>'Adubos e corretivos'!R76</f>
        <v>11.3</v>
      </c>
      <c r="AL173" s="15">
        <f>'Adubos e corretivos'!S76</f>
        <v>0</v>
      </c>
      <c r="AM173" s="15">
        <f>'Adubos e corretivos'!T76</f>
        <v>0</v>
      </c>
      <c r="AN173" s="15">
        <f>'Adubos e corretivos'!U76</f>
        <v>0</v>
      </c>
      <c r="AO173" s="15">
        <f>'Adubos e corretivos'!V76</f>
        <v>0</v>
      </c>
    </row>
    <row r="174" spans="11:44" ht="20.25" customHeight="1" x14ac:dyDescent="0.25">
      <c r="K174" s="25"/>
      <c r="L174" s="25"/>
      <c r="M174" s="25"/>
      <c r="N174" s="25"/>
      <c r="O174" s="25"/>
      <c r="P174" s="25"/>
      <c r="Q174" s="25"/>
      <c r="R174" s="25"/>
      <c r="U174" s="462"/>
      <c r="V174" s="15" t="str">
        <f>'Adubos e corretivos'!C77</f>
        <v>FTE BR 12</v>
      </c>
      <c r="W174" s="15">
        <f>'Adubos e corretivos'!D77</f>
        <v>0</v>
      </c>
      <c r="X174" s="15">
        <f>'Adubos e corretivos'!E77</f>
        <v>0</v>
      </c>
      <c r="Y174" s="15">
        <f>'Adubos e corretivos'!F77</f>
        <v>0</v>
      </c>
      <c r="Z174" s="15">
        <f>'Adubos e corretivos'!G77</f>
        <v>0</v>
      </c>
      <c r="AA174" s="15">
        <f>'Adubos e corretivos'!H77</f>
        <v>0</v>
      </c>
      <c r="AB174" s="15">
        <f>'Adubos e corretivos'!I77</f>
        <v>0</v>
      </c>
      <c r="AC174" s="15">
        <f>'Adubos e corretivos'!J77</f>
        <v>0</v>
      </c>
      <c r="AD174" s="15">
        <f>'Adubos e corretivos'!K77</f>
        <v>0</v>
      </c>
      <c r="AE174" s="15">
        <f>'Adubos e corretivos'!L77</f>
        <v>3.9</v>
      </c>
      <c r="AF174" s="15">
        <f>'Adubos e corretivos'!M77</f>
        <v>1.8</v>
      </c>
      <c r="AG174" s="15">
        <f>'Adubos e corretivos'!N77</f>
        <v>2</v>
      </c>
      <c r="AH174" s="15">
        <f>'Adubos e corretivos'!O77</f>
        <v>9</v>
      </c>
      <c r="AI174" s="15">
        <f>'Adubos e corretivos'!P77</f>
        <v>0.85</v>
      </c>
      <c r="AJ174" s="15">
        <f>'Adubos e corretivos'!Q77</f>
        <v>0</v>
      </c>
      <c r="AK174" s="15">
        <f>'Adubos e corretivos'!R77</f>
        <v>0</v>
      </c>
      <c r="AL174" s="15">
        <f>'Adubos e corretivos'!S77</f>
        <v>0</v>
      </c>
      <c r="AM174" s="15">
        <f>'Adubos e corretivos'!T77</f>
        <v>0</v>
      </c>
      <c r="AN174" s="15">
        <f>'Adubos e corretivos'!U77</f>
        <v>0</v>
      </c>
      <c r="AO174" s="15">
        <f>'Adubos e corretivos'!V77</f>
        <v>0</v>
      </c>
    </row>
    <row r="175" spans="11:44" ht="20.25" customHeight="1" x14ac:dyDescent="0.25">
      <c r="K175" s="25"/>
      <c r="L175" s="25"/>
      <c r="M175" s="25"/>
      <c r="N175" s="25"/>
      <c r="O175" s="105"/>
      <c r="P175" s="105"/>
      <c r="Q175" s="105"/>
      <c r="R175" s="25"/>
      <c r="S175" s="25"/>
      <c r="U175" s="462"/>
      <c r="V175" s="15" t="str">
        <f>'Adubos e corretivos'!C78</f>
        <v>Molibdato de sódio</v>
      </c>
      <c r="W175" s="15">
        <f>'Adubos e corretivos'!D78</f>
        <v>0</v>
      </c>
      <c r="X175" s="15">
        <f>'Adubos e corretivos'!E78</f>
        <v>0</v>
      </c>
      <c r="Y175" s="15">
        <f>'Adubos e corretivos'!F78</f>
        <v>0</v>
      </c>
      <c r="Z175" s="15">
        <f>'Adubos e corretivos'!G78</f>
        <v>0</v>
      </c>
      <c r="AA175" s="15">
        <f>'Adubos e corretivos'!H78</f>
        <v>0</v>
      </c>
      <c r="AB175" s="15">
        <f>'Adubos e corretivos'!I78</f>
        <v>0</v>
      </c>
      <c r="AC175" s="15">
        <f>'Adubos e corretivos'!J78</f>
        <v>0</v>
      </c>
      <c r="AD175" s="15">
        <f>'Adubos e corretivos'!K78</f>
        <v>0</v>
      </c>
      <c r="AE175" s="15">
        <f>'Adubos e corretivos'!L78</f>
        <v>0</v>
      </c>
      <c r="AF175" s="15">
        <f>'Adubos e corretivos'!M78</f>
        <v>0</v>
      </c>
      <c r="AG175" s="15">
        <f>'Adubos e corretivos'!N78</f>
        <v>0</v>
      </c>
      <c r="AH175" s="15">
        <f>'Adubos e corretivos'!O78</f>
        <v>0</v>
      </c>
      <c r="AI175" s="15">
        <f>'Adubos e corretivos'!P78</f>
        <v>0</v>
      </c>
      <c r="AJ175" s="15">
        <f>'Adubos e corretivos'!Q78</f>
        <v>39</v>
      </c>
      <c r="AK175" s="15">
        <f>'Adubos e corretivos'!R78</f>
        <v>0</v>
      </c>
      <c r="AL175" s="15">
        <f>'Adubos e corretivos'!S78</f>
        <v>0</v>
      </c>
      <c r="AM175" s="15">
        <f>'Adubos e corretivos'!T78</f>
        <v>0</v>
      </c>
      <c r="AN175" s="15">
        <f>'Adubos e corretivos'!U78</f>
        <v>0</v>
      </c>
      <c r="AO175" s="15">
        <f>'Adubos e corretivos'!V78</f>
        <v>0</v>
      </c>
    </row>
    <row r="176" spans="11:44" ht="20.25" customHeight="1" x14ac:dyDescent="0.25">
      <c r="K176" s="25"/>
      <c r="L176" s="25"/>
      <c r="M176" s="25"/>
      <c r="N176" s="25"/>
      <c r="O176" s="25"/>
      <c r="P176" s="25"/>
      <c r="Q176" s="25"/>
      <c r="R176" s="25"/>
      <c r="S176" s="25"/>
      <c r="U176" s="462"/>
      <c r="V176" s="15" t="str">
        <f>'Adubos e corretivos'!C79</f>
        <v>Sulfato de cobre</v>
      </c>
      <c r="W176" s="15">
        <f>'Adubos e corretivos'!D79</f>
        <v>0</v>
      </c>
      <c r="X176" s="15">
        <f>'Adubos e corretivos'!E79</f>
        <v>0</v>
      </c>
      <c r="Y176" s="15">
        <f>'Adubos e corretivos'!F79</f>
        <v>0</v>
      </c>
      <c r="Z176" s="15">
        <f>'Adubos e corretivos'!G79</f>
        <v>0</v>
      </c>
      <c r="AA176" s="15">
        <f>'Adubos e corretivos'!H79</f>
        <v>0</v>
      </c>
      <c r="AB176" s="15">
        <f>'Adubos e corretivos'!I79</f>
        <v>0</v>
      </c>
      <c r="AC176" s="15">
        <f>'Adubos e corretivos'!J79</f>
        <v>0</v>
      </c>
      <c r="AD176" s="15">
        <f>'Adubos e corretivos'!K79</f>
        <v>0</v>
      </c>
      <c r="AE176" s="15">
        <f>'Adubos e corretivos'!L79</f>
        <v>12</v>
      </c>
      <c r="AF176" s="15">
        <f>'Adubos e corretivos'!M79</f>
        <v>0</v>
      </c>
      <c r="AG176" s="15">
        <f>'Adubos e corretivos'!N79</f>
        <v>0</v>
      </c>
      <c r="AH176" s="15">
        <f>'Adubos e corretivos'!O79</f>
        <v>0</v>
      </c>
      <c r="AI176" s="15">
        <f>'Adubos e corretivos'!P79</f>
        <v>25</v>
      </c>
      <c r="AJ176" s="15">
        <f>'Adubos e corretivos'!Q79</f>
        <v>0</v>
      </c>
      <c r="AK176" s="15">
        <f>'Adubos e corretivos'!R79</f>
        <v>0</v>
      </c>
      <c r="AL176" s="15">
        <f>'Adubos e corretivos'!S79</f>
        <v>0</v>
      </c>
      <c r="AM176" s="15">
        <f>'Adubos e corretivos'!T79</f>
        <v>0</v>
      </c>
      <c r="AN176" s="15">
        <f>'Adubos e corretivos'!U79</f>
        <v>0</v>
      </c>
      <c r="AO176" s="15">
        <f>'Adubos e corretivos'!V79</f>
        <v>0</v>
      </c>
    </row>
    <row r="177" spans="11:41" ht="20.25" customHeight="1" x14ac:dyDescent="0.25">
      <c r="K177" s="25"/>
      <c r="L177" s="25"/>
      <c r="M177" s="25"/>
      <c r="N177" s="25"/>
      <c r="O177" s="25"/>
      <c r="P177" s="25"/>
      <c r="Q177" s="25"/>
      <c r="R177" s="25"/>
      <c r="S177" s="25"/>
      <c r="U177" s="462"/>
      <c r="V177" s="15" t="str">
        <f>'Adubos e corretivos'!C80</f>
        <v>Sulfato de manganês</v>
      </c>
      <c r="W177" s="15">
        <f>'Adubos e corretivos'!D80</f>
        <v>0</v>
      </c>
      <c r="X177" s="15">
        <f>'Adubos e corretivos'!E80</f>
        <v>0</v>
      </c>
      <c r="Y177" s="15">
        <f>'Adubos e corretivos'!F80</f>
        <v>0</v>
      </c>
      <c r="Z177" s="15">
        <f>'Adubos e corretivos'!G80</f>
        <v>0</v>
      </c>
      <c r="AA177" s="15">
        <f>'Adubos e corretivos'!H80</f>
        <v>0</v>
      </c>
      <c r="AB177" s="15">
        <f>'Adubos e corretivos'!I80</f>
        <v>0</v>
      </c>
      <c r="AC177" s="15">
        <f>'Adubos e corretivos'!J80</f>
        <v>0</v>
      </c>
      <c r="AD177" s="15">
        <f>'Adubos e corretivos'!K80</f>
        <v>0</v>
      </c>
      <c r="AE177" s="15">
        <f>'Adubos e corretivos'!L80</f>
        <v>21</v>
      </c>
      <c r="AF177" s="15">
        <f>'Adubos e corretivos'!M80</f>
        <v>0</v>
      </c>
      <c r="AG177" s="15">
        <f>'Adubos e corretivos'!N80</f>
        <v>26</v>
      </c>
      <c r="AH177" s="15">
        <f>'Adubos e corretivos'!O80</f>
        <v>0</v>
      </c>
      <c r="AI177" s="15">
        <f>'Adubos e corretivos'!P80</f>
        <v>0</v>
      </c>
      <c r="AJ177" s="15">
        <f>'Adubos e corretivos'!Q80</f>
        <v>0</v>
      </c>
      <c r="AK177" s="15">
        <f>'Adubos e corretivos'!R80</f>
        <v>0</v>
      </c>
      <c r="AL177" s="15">
        <f>'Adubos e corretivos'!S80</f>
        <v>0</v>
      </c>
      <c r="AM177" s="15">
        <f>'Adubos e corretivos'!T80</f>
        <v>0</v>
      </c>
      <c r="AN177" s="15">
        <f>'Adubos e corretivos'!U80</f>
        <v>0</v>
      </c>
      <c r="AO177" s="15">
        <f>'Adubos e corretivos'!V80</f>
        <v>0</v>
      </c>
    </row>
    <row r="178" spans="11:41" ht="20.25" customHeight="1" x14ac:dyDescent="0.25">
      <c r="K178" s="25"/>
      <c r="L178" s="25"/>
      <c r="M178" s="25"/>
      <c r="N178" s="25"/>
      <c r="O178" s="25"/>
      <c r="P178" s="25"/>
      <c r="Q178" s="25"/>
      <c r="R178" s="25"/>
      <c r="S178" s="25"/>
      <c r="U178" s="462"/>
      <c r="V178" s="15" t="str">
        <f>'Adubos e corretivos'!C81</f>
        <v>Sulfato de zinco</v>
      </c>
      <c r="W178" s="15">
        <f>'Adubos e corretivos'!D81</f>
        <v>0</v>
      </c>
      <c r="X178" s="15">
        <f>'Adubos e corretivos'!E81</f>
        <v>0</v>
      </c>
      <c r="Y178" s="15">
        <f>'Adubos e corretivos'!F81</f>
        <v>0</v>
      </c>
      <c r="Z178" s="15">
        <f>'Adubos e corretivos'!G81</f>
        <v>0</v>
      </c>
      <c r="AA178" s="15">
        <f>'Adubos e corretivos'!H81</f>
        <v>0</v>
      </c>
      <c r="AB178" s="15">
        <f>'Adubos e corretivos'!I81</f>
        <v>0</v>
      </c>
      <c r="AC178" s="15">
        <f>'Adubos e corretivos'!J81</f>
        <v>0</v>
      </c>
      <c r="AD178" s="15">
        <f>'Adubos e corretivos'!K81</f>
        <v>0</v>
      </c>
      <c r="AE178" s="15">
        <f>'Adubos e corretivos'!L81</f>
        <v>17</v>
      </c>
      <c r="AF178" s="15">
        <f>'Adubos e corretivos'!M81</f>
        <v>0</v>
      </c>
      <c r="AG178" s="15">
        <f>'Adubos e corretivos'!N81</f>
        <v>0</v>
      </c>
      <c r="AH178" s="15">
        <f>'Adubos e corretivos'!O81</f>
        <v>35</v>
      </c>
      <c r="AI178" s="15">
        <f>'Adubos e corretivos'!P81</f>
        <v>0</v>
      </c>
      <c r="AJ178" s="15">
        <f>'Adubos e corretivos'!Q81</f>
        <v>0</v>
      </c>
      <c r="AK178" s="15">
        <f>'Adubos e corretivos'!R81</f>
        <v>0</v>
      </c>
      <c r="AL178" s="15">
        <f>'Adubos e corretivos'!S81</f>
        <v>0</v>
      </c>
      <c r="AM178" s="15">
        <f>'Adubos e corretivos'!T81</f>
        <v>0</v>
      </c>
      <c r="AN178" s="15">
        <f>'Adubos e corretivos'!U81</f>
        <v>0</v>
      </c>
      <c r="AO178" s="15">
        <f>'Adubos e corretivos'!V81</f>
        <v>0</v>
      </c>
    </row>
    <row r="179" spans="11:41" ht="20.25" customHeight="1" x14ac:dyDescent="0.25">
      <c r="K179" s="25"/>
      <c r="L179" s="25"/>
      <c r="M179" s="25"/>
      <c r="N179" s="25"/>
      <c r="O179" s="25"/>
      <c r="P179" s="25"/>
      <c r="Q179" s="25"/>
      <c r="R179" s="25"/>
      <c r="S179" s="25"/>
      <c r="U179" s="462"/>
      <c r="V179" s="15">
        <f>'Adubos e corretivos'!C82</f>
        <v>0</v>
      </c>
      <c r="W179" s="15">
        <f>'Adubos e corretivos'!D82</f>
        <v>0</v>
      </c>
      <c r="X179" s="15">
        <f>'Adubos e corretivos'!E82</f>
        <v>0</v>
      </c>
      <c r="Y179" s="15">
        <f>'Adubos e corretivos'!F82</f>
        <v>0</v>
      </c>
      <c r="Z179" s="15">
        <f>'Adubos e corretivos'!G82</f>
        <v>0</v>
      </c>
      <c r="AA179" s="15">
        <f>'Adubos e corretivos'!H82</f>
        <v>0</v>
      </c>
      <c r="AB179" s="15">
        <f>'Adubos e corretivos'!I82</f>
        <v>0</v>
      </c>
      <c r="AC179" s="15">
        <f>'Adubos e corretivos'!J82</f>
        <v>0</v>
      </c>
      <c r="AD179" s="15">
        <f>'Adubos e corretivos'!K82</f>
        <v>0</v>
      </c>
      <c r="AE179" s="15">
        <f>'Adubos e corretivos'!L82</f>
        <v>0</v>
      </c>
      <c r="AF179" s="15">
        <f>'Adubos e corretivos'!M82</f>
        <v>0</v>
      </c>
      <c r="AG179" s="15">
        <f>'Adubos e corretivos'!N82</f>
        <v>0</v>
      </c>
      <c r="AH179" s="15">
        <f>'Adubos e corretivos'!O82</f>
        <v>0</v>
      </c>
      <c r="AI179" s="15">
        <f>'Adubos e corretivos'!P82</f>
        <v>0</v>
      </c>
      <c r="AJ179" s="15">
        <f>'Adubos e corretivos'!Q82</f>
        <v>0</v>
      </c>
      <c r="AK179" s="15">
        <f>'Adubos e corretivos'!R82</f>
        <v>0</v>
      </c>
      <c r="AL179" s="15">
        <f>'Adubos e corretivos'!S82</f>
        <v>0</v>
      </c>
      <c r="AM179" s="15">
        <f>'Adubos e corretivos'!T82</f>
        <v>0</v>
      </c>
      <c r="AN179" s="15">
        <f>'Adubos e corretivos'!U82</f>
        <v>0</v>
      </c>
      <c r="AO179" s="15">
        <f>'Adubos e corretivos'!V82</f>
        <v>0</v>
      </c>
    </row>
  </sheetData>
  <sheetProtection selectLockedCells="1"/>
  <mergeCells count="231">
    <mergeCell ref="M2:R2"/>
    <mergeCell ref="U3:X5"/>
    <mergeCell ref="Y3:AD6"/>
    <mergeCell ref="M4:N4"/>
    <mergeCell ref="O4:P4"/>
    <mergeCell ref="AP4:AP5"/>
    <mergeCell ref="AQ4:AR5"/>
    <mergeCell ref="AV4:AV5"/>
    <mergeCell ref="M5:N25"/>
    <mergeCell ref="V6:X6"/>
    <mergeCell ref="AQ6:AR6"/>
    <mergeCell ref="Z7:AB7"/>
    <mergeCell ref="AF7:AM7"/>
    <mergeCell ref="AQ7:AR7"/>
    <mergeCell ref="AD8:AD11"/>
    <mergeCell ref="AG8:AH8"/>
    <mergeCell ref="AI8:AJ8"/>
    <mergeCell ref="AQ8:AR8"/>
    <mergeCell ref="AF15:AF17"/>
    <mergeCell ref="AJ15:AJ17"/>
    <mergeCell ref="AK15:AK17"/>
    <mergeCell ref="AL15:AL17"/>
    <mergeCell ref="AM15:AM17"/>
    <mergeCell ref="Z21:AB21"/>
    <mergeCell ref="B9:I9"/>
    <mergeCell ref="AF9:AF11"/>
    <mergeCell ref="AJ9:AJ11"/>
    <mergeCell ref="AK9:AK11"/>
    <mergeCell ref="AL9:AL11"/>
    <mergeCell ref="AM9:AM11"/>
    <mergeCell ref="AP10:AP11"/>
    <mergeCell ref="AQ10:AR11"/>
    <mergeCell ref="AV10:AV11"/>
    <mergeCell ref="C11:I11"/>
    <mergeCell ref="C12:I12"/>
    <mergeCell ref="AF12:AF14"/>
    <mergeCell ref="AJ12:AJ14"/>
    <mergeCell ref="AK12:AK14"/>
    <mergeCell ref="AL12:AL14"/>
    <mergeCell ref="AM12:AM14"/>
    <mergeCell ref="AQ12:AR12"/>
    <mergeCell ref="C13:I13"/>
    <mergeCell ref="AQ13:AR13"/>
    <mergeCell ref="C14:G14"/>
    <mergeCell ref="AQ14:AR14"/>
    <mergeCell ref="B16:I16"/>
    <mergeCell ref="AP16:AP17"/>
    <mergeCell ref="AQ16:AR17"/>
    <mergeCell ref="AV16:AV17"/>
    <mergeCell ref="U17:X19"/>
    <mergeCell ref="Y17:AD20"/>
    <mergeCell ref="B18:D18"/>
    <mergeCell ref="F18:H18"/>
    <mergeCell ref="AF18:AF20"/>
    <mergeCell ref="AJ18:AJ20"/>
    <mergeCell ref="AK18:AK20"/>
    <mergeCell ref="AL18:AL20"/>
    <mergeCell ref="AD22:AD23"/>
    <mergeCell ref="AP25:AP26"/>
    <mergeCell ref="AQ25:AR26"/>
    <mergeCell ref="B26:I26"/>
    <mergeCell ref="U26:Z26"/>
    <mergeCell ref="AM18:AM20"/>
    <mergeCell ref="AQ18:AR18"/>
    <mergeCell ref="AQ19:AR19"/>
    <mergeCell ref="B20:E20"/>
    <mergeCell ref="V20:X20"/>
    <mergeCell ref="AQ20:AR20"/>
    <mergeCell ref="B27:C28"/>
    <mergeCell ref="E27:I27"/>
    <mergeCell ref="AP27:AP36"/>
    <mergeCell ref="AQ27:AR27"/>
    <mergeCell ref="E28:I28"/>
    <mergeCell ref="AQ28:AR28"/>
    <mergeCell ref="B29:C30"/>
    <mergeCell ref="E29:I29"/>
    <mergeCell ref="M29:N34"/>
    <mergeCell ref="O29:Q29"/>
    <mergeCell ref="AB29:AC29"/>
    <mergeCell ref="AQ29:AR29"/>
    <mergeCell ref="E30:I30"/>
    <mergeCell ref="AQ30:AR30"/>
    <mergeCell ref="B31:I33"/>
    <mergeCell ref="AQ31:AR31"/>
    <mergeCell ref="AQ32:AR32"/>
    <mergeCell ref="O33:Q33"/>
    <mergeCell ref="AQ33:AR33"/>
    <mergeCell ref="B34:I34"/>
    <mergeCell ref="O34:Q34"/>
    <mergeCell ref="AQ34:AR34"/>
    <mergeCell ref="B35:C36"/>
    <mergeCell ref="E35:I35"/>
    <mergeCell ref="AB35:AC35"/>
    <mergeCell ref="AQ35:AR35"/>
    <mergeCell ref="E36:I36"/>
    <mergeCell ref="M36:R36"/>
    <mergeCell ref="AB36:AC36"/>
    <mergeCell ref="AQ36:AR36"/>
    <mergeCell ref="B37:I38"/>
    <mergeCell ref="M38:N42"/>
    <mergeCell ref="O38:Q38"/>
    <mergeCell ref="AB38:AC38"/>
    <mergeCell ref="B39:I39"/>
    <mergeCell ref="P39:Q39"/>
    <mergeCell ref="AB39:AC39"/>
    <mergeCell ref="AP39:AQ39"/>
    <mergeCell ref="B40:C40"/>
    <mergeCell ref="B42:C42"/>
    <mergeCell ref="E42:I42"/>
    <mergeCell ref="O42:Q42"/>
    <mergeCell ref="AP42:AQ42"/>
    <mergeCell ref="B43:C43"/>
    <mergeCell ref="E43:I43"/>
    <mergeCell ref="AP43:AQ43"/>
    <mergeCell ref="E40:I40"/>
    <mergeCell ref="AP40:AQ40"/>
    <mergeCell ref="B41:C41"/>
    <mergeCell ref="E41:I41"/>
    <mergeCell ref="O41:Q41"/>
    <mergeCell ref="AP41:AQ41"/>
    <mergeCell ref="B44:C44"/>
    <mergeCell ref="E44:I44"/>
    <mergeCell ref="M44:R44"/>
    <mergeCell ref="AP44:AQ44"/>
    <mergeCell ref="B45:C45"/>
    <mergeCell ref="E45:I45"/>
    <mergeCell ref="O45:Q46"/>
    <mergeCell ref="U45:V45"/>
    <mergeCell ref="X45:Z45"/>
    <mergeCell ref="B46:C46"/>
    <mergeCell ref="X48:Y48"/>
    <mergeCell ref="B49:C49"/>
    <mergeCell ref="E49:I49"/>
    <mergeCell ref="X49:Y49"/>
    <mergeCell ref="B50:I53"/>
    <mergeCell ref="O50:P50"/>
    <mergeCell ref="E46:I46"/>
    <mergeCell ref="M46:N50"/>
    <mergeCell ref="X46:Y46"/>
    <mergeCell ref="B47:C47"/>
    <mergeCell ref="E47:I47"/>
    <mergeCell ref="O47:P47"/>
    <mergeCell ref="X47:Y47"/>
    <mergeCell ref="B48:C48"/>
    <mergeCell ref="E48:I48"/>
    <mergeCell ref="O48:Q49"/>
    <mergeCell ref="AT50:AW50"/>
    <mergeCell ref="B54:I54"/>
    <mergeCell ref="M54:N68"/>
    <mergeCell ref="O54:Q54"/>
    <mergeCell ref="U54:U55"/>
    <mergeCell ref="V54:V55"/>
    <mergeCell ref="W54:W55"/>
    <mergeCell ref="X54:AA54"/>
    <mergeCell ref="AP54:AP55"/>
    <mergeCell ref="AQ54:AQ55"/>
    <mergeCell ref="AS54:AS55"/>
    <mergeCell ref="B55:C55"/>
    <mergeCell ref="E55:I55"/>
    <mergeCell ref="O55:Q55"/>
    <mergeCell ref="B56:C56"/>
    <mergeCell ref="E56:I56"/>
    <mergeCell ref="O56:Q64"/>
    <mergeCell ref="U56:U68"/>
    <mergeCell ref="B57:C57"/>
    <mergeCell ref="E57:I57"/>
    <mergeCell ref="B60:I63"/>
    <mergeCell ref="B64:E66"/>
    <mergeCell ref="F64:I66"/>
    <mergeCell ref="O66:Q67"/>
    <mergeCell ref="B67:E67"/>
    <mergeCell ref="F67:I67"/>
    <mergeCell ref="AQ57:AR57"/>
    <mergeCell ref="B58:C58"/>
    <mergeCell ref="E58:I58"/>
    <mergeCell ref="AQ58:AR58"/>
    <mergeCell ref="B59:C59"/>
    <mergeCell ref="E59:I59"/>
    <mergeCell ref="AQ59:AR59"/>
    <mergeCell ref="O68:Q68"/>
    <mergeCell ref="U71:U72"/>
    <mergeCell ref="V71:V72"/>
    <mergeCell ref="W71:W72"/>
    <mergeCell ref="X71:Z71"/>
    <mergeCell ref="M72:N92"/>
    <mergeCell ref="O72:Q72"/>
    <mergeCell ref="O73:Q73"/>
    <mergeCell ref="U73:U82"/>
    <mergeCell ref="O74:P74"/>
    <mergeCell ref="O83:P83"/>
    <mergeCell ref="O84:P84"/>
    <mergeCell ref="U85:U86"/>
    <mergeCell ref="V85:V86"/>
    <mergeCell ref="W85:W86"/>
    <mergeCell ref="X85:AE85"/>
    <mergeCell ref="O86:Q86"/>
    <mergeCell ref="O75:P75"/>
    <mergeCell ref="O76:P76"/>
    <mergeCell ref="O78:Q78"/>
    <mergeCell ref="O80:Q80"/>
    <mergeCell ref="O81:Q81"/>
    <mergeCell ref="O82:P82"/>
    <mergeCell ref="M98:N98"/>
    <mergeCell ref="U98:U99"/>
    <mergeCell ref="V98:V99"/>
    <mergeCell ref="W98:W99"/>
    <mergeCell ref="X98:AO98"/>
    <mergeCell ref="M99:N99"/>
    <mergeCell ref="U87:U95"/>
    <mergeCell ref="O88:Q88"/>
    <mergeCell ref="O89:Q89"/>
    <mergeCell ref="O90:P90"/>
    <mergeCell ref="O91:P91"/>
    <mergeCell ref="O92:P92"/>
    <mergeCell ref="O94:Q94"/>
    <mergeCell ref="U170:U179"/>
    <mergeCell ref="U115:U130"/>
    <mergeCell ref="U131:U150"/>
    <mergeCell ref="U151:U159"/>
    <mergeCell ref="N158:P158"/>
    <mergeCell ref="N159:P159"/>
    <mergeCell ref="U160:U169"/>
    <mergeCell ref="M100:N100"/>
    <mergeCell ref="U100:U114"/>
    <mergeCell ref="M104:N109"/>
    <mergeCell ref="O104:Q104"/>
    <mergeCell ref="O105:Q105"/>
    <mergeCell ref="O106:Q106"/>
    <mergeCell ref="O107:Q107"/>
    <mergeCell ref="O108:Q108"/>
    <mergeCell ref="O109:Q109"/>
  </mergeCells>
  <dataValidations count="5">
    <dataValidation type="list" allowBlank="1" showInputMessage="1" showErrorMessage="1" sqref="O105:Q109">
      <formula1>$V$170:$V$179</formula1>
    </dataValidation>
    <dataValidation type="list" allowBlank="1" showInputMessage="1" showErrorMessage="1" sqref="O42:Q42">
      <formula1>$AK$29:$AK$38</formula1>
    </dataValidation>
    <dataValidation type="list" allowBlank="1" showInputMessage="1" showErrorMessage="1" sqref="Q82:Q84 Q90:Q92 Q74:Q76 Q47 Q50">
      <formula1>$AI$29:$AI$40</formula1>
    </dataValidation>
    <dataValidation type="list" allowBlank="1" showInputMessage="1" showErrorMessage="1" sqref="P39:Q39">
      <formula1>$AE$31:$AE$33</formula1>
    </dataValidation>
    <dataValidation type="list" allowBlank="1" showInputMessage="1" showErrorMessage="1" sqref="O68 O176 N159 O174">
      <formula1>$AG$29:$AG$30</formula1>
    </dataValidation>
  </dataValidations>
  <hyperlinks>
    <hyperlink ref="M4" location="Apresentação!A1" display="Voltar"/>
    <hyperlink ref="M4:N4" location="Painel!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corretivos'!$C$3:$C$62</xm:f>
          </x14:formula1>
          <xm:sqref>O74:P76 O82:P84 O90:P92</xm:sqref>
        </x14:dataValidation>
        <x14:dataValidation type="list" allowBlank="1" showInputMessage="1" showErrorMessage="1">
          <x14:formula1>
            <xm:f>'Adubos e corretivos'!$C$63:$C$72</xm:f>
          </x14:formula1>
          <xm:sqref>O50:P50</xm:sqref>
        </x14:dataValidation>
        <x14:dataValidation type="list" allowBlank="1" showInputMessage="1" showErrorMessage="1">
          <x14:formula1>
            <xm:f>'Adubos e corretivos'!$C$104:$C$113</xm:f>
          </x14:formula1>
          <xm:sqref>O55:Q55</xm:sqref>
        </x14:dataValidation>
        <x14:dataValidation type="list" allowBlank="1" showInputMessage="1" showErrorMessage="1">
          <x14:formula1>
            <xm:f>'Adubos e corretivos'!$C$87:$C$99</xm:f>
          </x14:formula1>
          <xm:sqref>O47:P47</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35</vt:i4>
      </vt:variant>
      <vt:variant>
        <vt:lpstr>Intervalos nomeados</vt:lpstr>
      </vt:variant>
      <vt:variant>
        <vt:i4>28</vt:i4>
      </vt:variant>
    </vt:vector>
  </HeadingPairs>
  <TitlesOfParts>
    <vt:vector size="63" baseType="lpstr">
      <vt:lpstr>Apresentação</vt:lpstr>
      <vt:lpstr>Painel</vt:lpstr>
      <vt:lpstr>Adubos e corretivos</vt:lpstr>
      <vt:lpstr>Análise de solo</vt:lpstr>
      <vt:lpstr>Análise foliar</vt:lpstr>
      <vt:lpstr>(M) Conversão de unidades</vt:lpstr>
      <vt:lpstr>Conversor unidades</vt:lpstr>
      <vt:lpstr>Espaçamentos</vt:lpstr>
      <vt:lpstr>SB e PRNT</vt:lpstr>
      <vt:lpstr>Abacate formação</vt:lpstr>
      <vt:lpstr>Abacate produção</vt:lpstr>
      <vt:lpstr>Abacaxi produção</vt:lpstr>
      <vt:lpstr>Acerola formação</vt:lpstr>
      <vt:lpstr>Acerola produção</vt:lpstr>
      <vt:lpstr>Banana formação antiga</vt:lpstr>
      <vt:lpstr>Banana produção antiga</vt:lpstr>
      <vt:lpstr>(M) Banana formação</vt:lpstr>
      <vt:lpstr>(M) Banana produção</vt:lpstr>
      <vt:lpstr>Citros formação</vt:lpstr>
      <vt:lpstr>Citros produção</vt:lpstr>
      <vt:lpstr>Goiaba formação</vt:lpstr>
      <vt:lpstr>Goiaba produção</vt:lpstr>
      <vt:lpstr>Graviola formação</vt:lpstr>
      <vt:lpstr>Graviola produção</vt:lpstr>
      <vt:lpstr>Mamão produção antigo</vt:lpstr>
      <vt:lpstr>(M) Mamão plantio a 5º mês</vt:lpstr>
      <vt:lpstr>(M) Mamão 5º mês a 1º ano</vt:lpstr>
      <vt:lpstr>(M) Mamão 2º ano</vt:lpstr>
      <vt:lpstr>Manga formação</vt:lpstr>
      <vt:lpstr>Manga produção</vt:lpstr>
      <vt:lpstr>Maracujá formação</vt:lpstr>
      <vt:lpstr>Maracujá produção</vt:lpstr>
      <vt:lpstr>Pitaya formação</vt:lpstr>
      <vt:lpstr>Pitaya produção</vt:lpstr>
      <vt:lpstr>Pupunha formação e produção</vt:lpstr>
      <vt:lpstr>'(M) Banana formação'!Area_de_impressao</vt:lpstr>
      <vt:lpstr>'(M) Banana produção'!Area_de_impressao</vt:lpstr>
      <vt:lpstr>'(M) Mamão 2º ano'!Area_de_impressao</vt:lpstr>
      <vt:lpstr>'(M) Mamão 5º mês a 1º ano'!Area_de_impressao</vt:lpstr>
      <vt:lpstr>'(M) Mamão plantio a 5º mês'!Area_de_impressao</vt:lpstr>
      <vt:lpstr>'Abacate formação'!Area_de_impressao</vt:lpstr>
      <vt:lpstr>'Abacate produção'!Area_de_impressao</vt:lpstr>
      <vt:lpstr>'Abacaxi produção'!Area_de_impressao</vt:lpstr>
      <vt:lpstr>'Acerola formação'!Area_de_impressao</vt:lpstr>
      <vt:lpstr>'Acerola produção'!Area_de_impressao</vt:lpstr>
      <vt:lpstr>'Análise de solo'!Area_de_impressao</vt:lpstr>
      <vt:lpstr>'Análise foliar'!Area_de_impressao</vt:lpstr>
      <vt:lpstr>'Banana formação antiga'!Area_de_impressao</vt:lpstr>
      <vt:lpstr>'Banana produção antiga'!Area_de_impressao</vt:lpstr>
      <vt:lpstr>'Citros formação'!Area_de_impressao</vt:lpstr>
      <vt:lpstr>'Citros produção'!Area_de_impressao</vt:lpstr>
      <vt:lpstr>'Goiaba formação'!Area_de_impressao</vt:lpstr>
      <vt:lpstr>'Goiaba produção'!Area_de_impressao</vt:lpstr>
      <vt:lpstr>'Graviola formação'!Area_de_impressao</vt:lpstr>
      <vt:lpstr>'Graviola produção'!Area_de_impressao</vt:lpstr>
      <vt:lpstr>'Mamão produção antigo'!Area_de_impressao</vt:lpstr>
      <vt:lpstr>'Manga formação'!Area_de_impressao</vt:lpstr>
      <vt:lpstr>'Manga produção'!Area_de_impressao</vt:lpstr>
      <vt:lpstr>'Maracujá formação'!Area_de_impressao</vt:lpstr>
      <vt:lpstr>'Maracujá produção'!Area_de_impressao</vt:lpstr>
      <vt:lpstr>'Pitaya formação'!Area_de_impressao</vt:lpstr>
      <vt:lpstr>'Pitaya produção'!Area_de_impressao</vt:lpstr>
      <vt:lpstr>'Pupunha formação e produção'!Area_de_impressao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tecnico</dc:creator>
  <cp:lastModifiedBy>Usuário</cp:lastModifiedBy>
  <cp:lastPrinted>2020-06-09T18:11:31Z</cp:lastPrinted>
  <dcterms:created xsi:type="dcterms:W3CDTF">2020-03-27T13:09:22Z</dcterms:created>
  <dcterms:modified xsi:type="dcterms:W3CDTF">2020-08-14T12:09:57Z</dcterms:modified>
</cp:coreProperties>
</file>