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comments14.xml" ContentType="application/vnd.openxmlformats-officedocument.spreadsheetml.comments+xml"/>
  <Override PartName="/xl/drawings/drawing18.xml" ContentType="application/vnd.openxmlformats-officedocument.drawing+xml"/>
  <Override PartName="/xl/comments15.xml" ContentType="application/vnd.openxmlformats-officedocument.spreadsheetml.comments+xml"/>
  <Override PartName="/xl/drawings/drawing19.xml" ContentType="application/vnd.openxmlformats-officedocument.drawing+xml"/>
  <Override PartName="/xl/comments16.xml" ContentType="application/vnd.openxmlformats-officedocument.spreadsheetml.comments+xml"/>
  <Override PartName="/xl/drawings/drawing20.xml" ContentType="application/vnd.openxmlformats-officedocument.drawing+xml"/>
  <Override PartName="/xl/comments17.xml" ContentType="application/vnd.openxmlformats-officedocument.spreadsheetml.comments+xml"/>
  <Override PartName="/xl/drawings/drawing21.xml" ContentType="application/vnd.openxmlformats-officedocument.drawing+xml"/>
  <Override PartName="/xl/comments18.xml" ContentType="application/vnd.openxmlformats-officedocument.spreadsheetml.comments+xml"/>
  <Override PartName="/xl/drawings/drawing22.xml" ContentType="application/vnd.openxmlformats-officedocument.drawing+xml"/>
  <Override PartName="/xl/comments1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uário\Desktop\"/>
    </mc:Choice>
  </mc:AlternateContent>
  <bookViews>
    <workbookView xWindow="0" yWindow="0" windowWidth="21840" windowHeight="12435"/>
  </bookViews>
  <sheets>
    <sheet name="Apresentação (1)" sheetId="4" r:id="rId1"/>
    <sheet name="Adubos e corretivos (1)" sheetId="6" r:id="rId2"/>
    <sheet name="Análise de solo (1)" sheetId="32" r:id="rId3"/>
    <sheet name="Análise foliar (1)" sheetId="41" r:id="rId4"/>
    <sheet name="Conversão de unidades (1)" sheetId="31" r:id="rId5"/>
    <sheet name="Espaçamentos (1)" sheetId="33" r:id="rId6"/>
    <sheet name="Abacate formação (1)" sheetId="47" r:id="rId7"/>
    <sheet name="Abacate produção (1)" sheetId="7" r:id="rId8"/>
    <sheet name="Abacaxi produção (1)" sheetId="38" r:id="rId9"/>
    <sheet name="Acerola formação (1)" sheetId="54" r:id="rId10"/>
    <sheet name="Acerola produção (1)" sheetId="37" r:id="rId11"/>
    <sheet name="Banana formação (1)" sheetId="49" r:id="rId12"/>
    <sheet name="Banana produção (1)" sheetId="39" r:id="rId13"/>
    <sheet name="Citros formação (1)" sheetId="48" r:id="rId14"/>
    <sheet name="Citros produção (1)" sheetId="40" r:id="rId15"/>
    <sheet name="Goiaba formação (1)" sheetId="50" r:id="rId16"/>
    <sheet name="Goiaba produção (1)" sheetId="36" r:id="rId17"/>
    <sheet name="Graviola formação (1)" sheetId="53" r:id="rId18"/>
    <sheet name="Graviola produção (1)" sheetId="35" r:id="rId19"/>
    <sheet name="Mamão produção (1)" sheetId="42" r:id="rId20"/>
    <sheet name="Manga formação (1)" sheetId="52" r:id="rId21"/>
    <sheet name="Manga produção (1)" sheetId="43" r:id="rId22"/>
    <sheet name="Maracujá produção (1)" sheetId="44" r:id="rId23"/>
    <sheet name="Pitaya formação (1)" sheetId="51" r:id="rId24"/>
    <sheet name="Pitaya produção (1)" sheetId="45" r:id="rId25"/>
  </sheets>
  <definedNames>
    <definedName name="_xlnm.Print_Area" localSheetId="6">'Abacate formação (1)'!$A$1:$J$113</definedName>
    <definedName name="_xlnm.Print_Area" localSheetId="7">'Abacate produção (1)'!$A$1:$J$113</definedName>
    <definedName name="_xlnm.Print_Area" localSheetId="8">'Abacaxi produção (1)'!$A$1:$J$113</definedName>
    <definedName name="_xlnm.Print_Area" localSheetId="9">'Acerola formação (1)'!$A$1:$J$113</definedName>
    <definedName name="_xlnm.Print_Area" localSheetId="10">'Acerola produção (1)'!$A$1:$J$113</definedName>
    <definedName name="_xlnm.Print_Area" localSheetId="2">'Análise de solo (1)'!$B$1:$I$67</definedName>
    <definedName name="_xlnm.Print_Area" localSheetId="3">'Análise foliar (1)'!$B$1:$I$63</definedName>
    <definedName name="_xlnm.Print_Area" localSheetId="11">'Banana formação (1)'!$A$1:$J$113</definedName>
    <definedName name="_xlnm.Print_Area" localSheetId="12">'Banana produção (1)'!$A$1:$J$113</definedName>
    <definedName name="_xlnm.Print_Area" localSheetId="13">'Citros formação (1)'!$A$1:$J$113</definedName>
    <definedName name="_xlnm.Print_Area" localSheetId="14">'Citros produção (1)'!$A$1:$J$113</definedName>
    <definedName name="_xlnm.Print_Area" localSheetId="15">'Goiaba formação (1)'!$A$1:$J$113</definedName>
    <definedName name="_xlnm.Print_Area" localSheetId="16">'Goiaba produção (1)'!$A$1:$J$113</definedName>
    <definedName name="_xlnm.Print_Area" localSheetId="17">'Graviola formação (1)'!$A$1:$J$113</definedName>
    <definedName name="_xlnm.Print_Area" localSheetId="18">'Graviola produção (1)'!$A$1:$J$113</definedName>
    <definedName name="_xlnm.Print_Area" localSheetId="19">'Mamão produção (1)'!$A$1:$J$113</definedName>
    <definedName name="_xlnm.Print_Area" localSheetId="20">'Manga formação (1)'!$A$1:$J$113</definedName>
    <definedName name="_xlnm.Print_Area" localSheetId="21">'Manga produção (1)'!$A$1:$J$113</definedName>
    <definedName name="_xlnm.Print_Area" localSheetId="22">'Maracujá produção (1)'!$A$1:$J$113</definedName>
    <definedName name="_xlnm.Print_Area" localSheetId="23">'Pitaya formação (1)'!$A$1:$J$113</definedName>
    <definedName name="_xlnm.Print_Area" localSheetId="24">'Pitaya produção (1)'!$A$1:$J$113</definedName>
    <definedName name="solver_adj" localSheetId="6" hidden="1">'Abacate formação (1)'!$AA$188:$AA$214</definedName>
    <definedName name="solver_adj" localSheetId="7" hidden="1">'Abacate produção (1)'!$AA$188:$AA$214</definedName>
    <definedName name="solver_adj" localSheetId="8" hidden="1">'Abacaxi produção (1)'!$AA$188:$AA$214</definedName>
    <definedName name="solver_adj" localSheetId="9" hidden="1">'Acerola formação (1)'!$AA$188:$AA$214</definedName>
    <definedName name="solver_adj" localSheetId="10" hidden="1">'Acerola produção (1)'!$AA$188:$AA$214</definedName>
    <definedName name="solver_adj" localSheetId="11" hidden="1">'Banana formação (1)'!$AA$188:$AA$214</definedName>
    <definedName name="solver_adj" localSheetId="12" hidden="1">'Banana produção (1)'!$AA$188:$AA$214</definedName>
    <definedName name="solver_adj" localSheetId="13" hidden="1">'Citros formação (1)'!$AA$188:$AA$214</definedName>
    <definedName name="solver_adj" localSheetId="14" hidden="1">'Citros produção (1)'!$AA$188:$AA$214</definedName>
    <definedName name="solver_adj" localSheetId="15" hidden="1">'Goiaba formação (1)'!$AA$188:$AA$214</definedName>
    <definedName name="solver_adj" localSheetId="16" hidden="1">'Goiaba produção (1)'!$AA$188:$AA$214</definedName>
    <definedName name="solver_adj" localSheetId="17" hidden="1">'Graviola formação (1)'!$AA$188:$AA$214</definedName>
    <definedName name="solver_adj" localSheetId="18" hidden="1">'Graviola produção (1)'!$AA$188:$AA$214</definedName>
    <definedName name="solver_adj" localSheetId="19" hidden="1">'Mamão produção (1)'!$AA$188:$AA$214</definedName>
    <definedName name="solver_adj" localSheetId="20" hidden="1">'Manga formação (1)'!$AA$188:$AA$214</definedName>
    <definedName name="solver_adj" localSheetId="21" hidden="1">'Manga produção (1)'!$AA$188:$AA$214</definedName>
    <definedName name="solver_adj" localSheetId="22" hidden="1">'Maracujá produção (1)'!$AA$188:$AA$214</definedName>
    <definedName name="solver_adj" localSheetId="23" hidden="1">'Pitaya formação (1)'!$AA$188:$AA$214</definedName>
    <definedName name="solver_adj" localSheetId="24" hidden="1">'Pitaya produção (1)'!$AA$188:$AA$214</definedName>
    <definedName name="solver_cvg" localSheetId="6" hidden="1">0.0001</definedName>
    <definedName name="solver_cvg" localSheetId="7" hidden="1">0.0001</definedName>
    <definedName name="solver_cvg" localSheetId="8" hidden="1">0.0001</definedName>
    <definedName name="solver_cvg" localSheetId="9" hidden="1">0.0001</definedName>
    <definedName name="solver_cvg" localSheetId="10" hidden="1">0.0001</definedName>
    <definedName name="solver_cvg" localSheetId="11" hidden="1">0.0001</definedName>
    <definedName name="solver_cvg" localSheetId="12" hidden="1">0.0001</definedName>
    <definedName name="solver_cvg" localSheetId="13" hidden="1">0.0001</definedName>
    <definedName name="solver_cvg" localSheetId="14" hidden="1">0.0001</definedName>
    <definedName name="solver_cvg" localSheetId="15" hidden="1">0.0001</definedName>
    <definedName name="solver_cvg" localSheetId="16" hidden="1">0.0001</definedName>
    <definedName name="solver_cvg" localSheetId="17" hidden="1">0.0001</definedName>
    <definedName name="solver_cvg" localSheetId="18" hidden="1">0.0001</definedName>
    <definedName name="solver_cvg" localSheetId="19" hidden="1">0.0001</definedName>
    <definedName name="solver_cvg" localSheetId="20" hidden="1">0.0001</definedName>
    <definedName name="solver_cvg" localSheetId="21" hidden="1">0.0001</definedName>
    <definedName name="solver_cvg" localSheetId="22" hidden="1">0.0001</definedName>
    <definedName name="solver_cvg" localSheetId="23" hidden="1">0.0001</definedName>
    <definedName name="solver_cvg" localSheetId="24" hidden="1">0.0001</definedName>
    <definedName name="solver_drv" localSheetId="6" hidden="1">1</definedName>
    <definedName name="solver_drv" localSheetId="7" hidden="1">1</definedName>
    <definedName name="solver_drv" localSheetId="8" hidden="1">1</definedName>
    <definedName name="solver_drv" localSheetId="9" hidden="1">1</definedName>
    <definedName name="solver_drv" localSheetId="10" hidden="1">1</definedName>
    <definedName name="solver_drv" localSheetId="11" hidden="1">1</definedName>
    <definedName name="solver_drv" localSheetId="12" hidden="1">1</definedName>
    <definedName name="solver_drv" localSheetId="13" hidden="1">1</definedName>
    <definedName name="solver_drv" localSheetId="14" hidden="1">1</definedName>
    <definedName name="solver_drv" localSheetId="15" hidden="1">1</definedName>
    <definedName name="solver_drv" localSheetId="16" hidden="1">1</definedName>
    <definedName name="solver_drv" localSheetId="17" hidden="1">1</definedName>
    <definedName name="solver_drv" localSheetId="18" hidden="1">1</definedName>
    <definedName name="solver_drv" localSheetId="19" hidden="1">1</definedName>
    <definedName name="solver_drv" localSheetId="20" hidden="1">1</definedName>
    <definedName name="solver_drv" localSheetId="21" hidden="1">1</definedName>
    <definedName name="solver_drv" localSheetId="22" hidden="1">1</definedName>
    <definedName name="solver_drv" localSheetId="23" hidden="1">1</definedName>
    <definedName name="solver_drv" localSheetId="24" hidden="1">1</definedName>
    <definedName name="solver_eng" localSheetId="6" hidden="1">1</definedName>
    <definedName name="solver_eng" localSheetId="7" hidden="1">1</definedName>
    <definedName name="solver_eng" localSheetId="8" hidden="1">1</definedName>
    <definedName name="solver_eng" localSheetId="9" hidden="1">1</definedName>
    <definedName name="solver_eng" localSheetId="10" hidden="1">1</definedName>
    <definedName name="solver_eng" localSheetId="11" hidden="1">1</definedName>
    <definedName name="solver_eng" localSheetId="12" hidden="1">1</definedName>
    <definedName name="solver_eng" localSheetId="13" hidden="1">1</definedName>
    <definedName name="solver_eng" localSheetId="14" hidden="1">1</definedName>
    <definedName name="solver_eng" localSheetId="15" hidden="1">1</definedName>
    <definedName name="solver_eng" localSheetId="16" hidden="1">1</definedName>
    <definedName name="solver_eng" localSheetId="17" hidden="1">1</definedName>
    <definedName name="solver_eng" localSheetId="18" hidden="1">1</definedName>
    <definedName name="solver_eng" localSheetId="19" hidden="1">1</definedName>
    <definedName name="solver_eng" localSheetId="20" hidden="1">1</definedName>
    <definedName name="solver_eng" localSheetId="21" hidden="1">1</definedName>
    <definedName name="solver_eng" localSheetId="22" hidden="1">1</definedName>
    <definedName name="solver_eng" localSheetId="23" hidden="1">1</definedName>
    <definedName name="solver_eng" localSheetId="24" hidden="1">1</definedName>
    <definedName name="solver_est" localSheetId="6" hidden="1">1</definedName>
    <definedName name="solver_est" localSheetId="7" hidden="1">1</definedName>
    <definedName name="solver_est" localSheetId="8" hidden="1">1</definedName>
    <definedName name="solver_est" localSheetId="9" hidden="1">1</definedName>
    <definedName name="solver_est" localSheetId="10" hidden="1">1</definedName>
    <definedName name="solver_est" localSheetId="11" hidden="1">1</definedName>
    <definedName name="solver_est" localSheetId="12" hidden="1">1</definedName>
    <definedName name="solver_est" localSheetId="13" hidden="1">1</definedName>
    <definedName name="solver_est" localSheetId="14" hidden="1">1</definedName>
    <definedName name="solver_est" localSheetId="15" hidden="1">1</definedName>
    <definedName name="solver_est" localSheetId="16" hidden="1">1</definedName>
    <definedName name="solver_est" localSheetId="17" hidden="1">1</definedName>
    <definedName name="solver_est" localSheetId="18" hidden="1">1</definedName>
    <definedName name="solver_est" localSheetId="19" hidden="1">1</definedName>
    <definedName name="solver_est" localSheetId="20" hidden="1">1</definedName>
    <definedName name="solver_est" localSheetId="21" hidden="1">1</definedName>
    <definedName name="solver_est" localSheetId="22" hidden="1">1</definedName>
    <definedName name="solver_est" localSheetId="23" hidden="1">1</definedName>
    <definedName name="solver_est" localSheetId="24" hidden="1">1</definedName>
    <definedName name="solver_itr" localSheetId="6" hidden="1">2147483647</definedName>
    <definedName name="solver_itr" localSheetId="7" hidden="1">2147483647</definedName>
    <definedName name="solver_itr" localSheetId="8" hidden="1">2147483647</definedName>
    <definedName name="solver_itr" localSheetId="9" hidden="1">2147483647</definedName>
    <definedName name="solver_itr" localSheetId="10" hidden="1">2147483647</definedName>
    <definedName name="solver_itr" localSheetId="11" hidden="1">2147483647</definedName>
    <definedName name="solver_itr" localSheetId="12" hidden="1">2147483647</definedName>
    <definedName name="solver_itr" localSheetId="13" hidden="1">2147483647</definedName>
    <definedName name="solver_itr" localSheetId="14" hidden="1">2147483647</definedName>
    <definedName name="solver_itr" localSheetId="15" hidden="1">2147483647</definedName>
    <definedName name="solver_itr" localSheetId="16" hidden="1">2147483647</definedName>
    <definedName name="solver_itr" localSheetId="17" hidden="1">2147483647</definedName>
    <definedName name="solver_itr" localSheetId="18" hidden="1">2147483647</definedName>
    <definedName name="solver_itr" localSheetId="19" hidden="1">2147483647</definedName>
    <definedName name="solver_itr" localSheetId="20" hidden="1">2147483647</definedName>
    <definedName name="solver_itr" localSheetId="21" hidden="1">2147483647</definedName>
    <definedName name="solver_itr" localSheetId="22" hidden="1">2147483647</definedName>
    <definedName name="solver_itr" localSheetId="23" hidden="1">2147483647</definedName>
    <definedName name="solver_itr" localSheetId="24" hidden="1">2147483647</definedName>
    <definedName name="solver_lhs1" localSheetId="6" hidden="1">'Abacate formação (1)'!$AC$215</definedName>
    <definedName name="solver_lhs1" localSheetId="7" hidden="1">'Abacate produção (1)'!$AC$215</definedName>
    <definedName name="solver_lhs1" localSheetId="8" hidden="1">'Abacaxi produção (1)'!$AC$215</definedName>
    <definedName name="solver_lhs1" localSheetId="9" hidden="1">'Acerola formação (1)'!$AC$215</definedName>
    <definedName name="solver_lhs1" localSheetId="10" hidden="1">'Acerola produção (1)'!$AC$215</definedName>
    <definedName name="solver_lhs1" localSheetId="11" hidden="1">'Banana formação (1)'!$AC$215</definedName>
    <definedName name="solver_lhs1" localSheetId="12" hidden="1">'Banana produção (1)'!$AC$215</definedName>
    <definedName name="solver_lhs1" localSheetId="13" hidden="1">'Citros formação (1)'!$AC$215</definedName>
    <definedName name="solver_lhs1" localSheetId="14" hidden="1">'Citros produção (1)'!$AC$215</definedName>
    <definedName name="solver_lhs1" localSheetId="15" hidden="1">'Goiaba formação (1)'!$AC$215</definedName>
    <definedName name="solver_lhs1" localSheetId="16" hidden="1">'Goiaba produção (1)'!$AC$215</definedName>
    <definedName name="solver_lhs1" localSheetId="17" hidden="1">'Graviola formação (1)'!$AC$215</definedName>
    <definedName name="solver_lhs1" localSheetId="18" hidden="1">'Graviola produção (1)'!$AC$215</definedName>
    <definedName name="solver_lhs1" localSheetId="19" hidden="1">'Mamão produção (1)'!$AC$215</definedName>
    <definedName name="solver_lhs1" localSheetId="20" hidden="1">'Manga formação (1)'!$AC$215</definedName>
    <definedName name="solver_lhs1" localSheetId="21" hidden="1">'Manga produção (1)'!$AC$215</definedName>
    <definedName name="solver_lhs1" localSheetId="22" hidden="1">'Maracujá produção (1)'!$AC$215</definedName>
    <definedName name="solver_lhs1" localSheetId="23" hidden="1">'Pitaya formação (1)'!$AC$215</definedName>
    <definedName name="solver_lhs1" localSheetId="24" hidden="1">'Pitaya produção (1)'!$AC$215</definedName>
    <definedName name="solver_lhs2" localSheetId="6" hidden="1">'Abacate formação (1)'!$AD$215</definedName>
    <definedName name="solver_lhs2" localSheetId="7" hidden="1">'Abacate produção (1)'!$AD$215</definedName>
    <definedName name="solver_lhs2" localSheetId="8" hidden="1">'Abacaxi produção (1)'!$AD$215</definedName>
    <definedName name="solver_lhs2" localSheetId="9" hidden="1">'Acerola formação (1)'!$AD$215</definedName>
    <definedName name="solver_lhs2" localSheetId="10" hidden="1">'Acerola produção (1)'!$AD$215</definedName>
    <definedName name="solver_lhs2" localSheetId="11" hidden="1">'Banana formação (1)'!$AD$215</definedName>
    <definedName name="solver_lhs2" localSheetId="12" hidden="1">'Banana produção (1)'!$AD$215</definedName>
    <definedName name="solver_lhs2" localSheetId="13" hidden="1">'Citros formação (1)'!$AD$215</definedName>
    <definedName name="solver_lhs2" localSheetId="14" hidden="1">'Citros produção (1)'!$AD$215</definedName>
    <definedName name="solver_lhs2" localSheetId="15" hidden="1">'Goiaba formação (1)'!$AD$215</definedName>
    <definedName name="solver_lhs2" localSheetId="16" hidden="1">'Goiaba produção (1)'!$AD$215</definedName>
    <definedName name="solver_lhs2" localSheetId="17" hidden="1">'Graviola formação (1)'!$AD$215</definedName>
    <definedName name="solver_lhs2" localSheetId="18" hidden="1">'Graviola produção (1)'!$AD$215</definedName>
    <definedName name="solver_lhs2" localSheetId="19" hidden="1">'Mamão produção (1)'!$AD$215</definedName>
    <definedName name="solver_lhs2" localSheetId="20" hidden="1">'Manga formação (1)'!$AD$215</definedName>
    <definedName name="solver_lhs2" localSheetId="21" hidden="1">'Manga produção (1)'!$AD$215</definedName>
    <definedName name="solver_lhs2" localSheetId="22" hidden="1">'Maracujá produção (1)'!$AD$215</definedName>
    <definedName name="solver_lhs2" localSheetId="23" hidden="1">'Pitaya formação (1)'!$AD$215</definedName>
    <definedName name="solver_lhs2" localSheetId="24" hidden="1">'Pitaya produção (1)'!$AD$215</definedName>
    <definedName name="solver_lhs3" localSheetId="6" hidden="1">'Abacate formação (1)'!$AE$215</definedName>
    <definedName name="solver_lhs3" localSheetId="7" hidden="1">'Abacate produção (1)'!$AE$215</definedName>
    <definedName name="solver_lhs3" localSheetId="8" hidden="1">'Abacaxi produção (1)'!$AE$215</definedName>
    <definedName name="solver_lhs3" localSheetId="9" hidden="1">'Acerola formação (1)'!$AE$215</definedName>
    <definedName name="solver_lhs3" localSheetId="10" hidden="1">'Acerola produção (1)'!$AE$215</definedName>
    <definedName name="solver_lhs3" localSheetId="11" hidden="1">'Banana formação (1)'!$AE$215</definedName>
    <definedName name="solver_lhs3" localSheetId="12" hidden="1">'Banana produção (1)'!$AE$215</definedName>
    <definedName name="solver_lhs3" localSheetId="13" hidden="1">'Citros formação (1)'!$AE$215</definedName>
    <definedName name="solver_lhs3" localSheetId="14" hidden="1">'Citros produção (1)'!$AE$215</definedName>
    <definedName name="solver_lhs3" localSheetId="15" hidden="1">'Goiaba formação (1)'!$AE$215</definedName>
    <definedName name="solver_lhs3" localSheetId="16" hidden="1">'Goiaba produção (1)'!$AE$215</definedName>
    <definedName name="solver_lhs3" localSheetId="17" hidden="1">'Graviola formação (1)'!$AE$215</definedName>
    <definedName name="solver_lhs3" localSheetId="18" hidden="1">'Graviola produção (1)'!$AE$215</definedName>
    <definedName name="solver_lhs3" localSheetId="19" hidden="1">'Mamão produção (1)'!$AE$215</definedName>
    <definedName name="solver_lhs3" localSheetId="20" hidden="1">'Manga formação (1)'!$AE$215</definedName>
    <definedName name="solver_lhs3" localSheetId="21" hidden="1">'Manga produção (1)'!$AE$215</definedName>
    <definedName name="solver_lhs3" localSheetId="22" hidden="1">'Maracujá produção (1)'!$AE$215</definedName>
    <definedName name="solver_lhs3" localSheetId="23" hidden="1">'Pitaya formação (1)'!$AE$215</definedName>
    <definedName name="solver_lhs3" localSheetId="24" hidden="1">'Pitaya produção (1)'!$AE$215</definedName>
    <definedName name="solver_mip" localSheetId="6" hidden="1">2147483647</definedName>
    <definedName name="solver_mip" localSheetId="7" hidden="1">2147483647</definedName>
    <definedName name="solver_mip" localSheetId="8" hidden="1">2147483647</definedName>
    <definedName name="solver_mip" localSheetId="9" hidden="1">2147483647</definedName>
    <definedName name="solver_mip" localSheetId="10" hidden="1">2147483647</definedName>
    <definedName name="solver_mip" localSheetId="11" hidden="1">2147483647</definedName>
    <definedName name="solver_mip" localSheetId="12" hidden="1">2147483647</definedName>
    <definedName name="solver_mip" localSheetId="13" hidden="1">2147483647</definedName>
    <definedName name="solver_mip" localSheetId="14" hidden="1">2147483647</definedName>
    <definedName name="solver_mip" localSheetId="15" hidden="1">2147483647</definedName>
    <definedName name="solver_mip" localSheetId="16" hidden="1">2147483647</definedName>
    <definedName name="solver_mip" localSheetId="17" hidden="1">2147483647</definedName>
    <definedName name="solver_mip" localSheetId="18" hidden="1">2147483647</definedName>
    <definedName name="solver_mip" localSheetId="19" hidden="1">2147483647</definedName>
    <definedName name="solver_mip" localSheetId="20" hidden="1">2147483647</definedName>
    <definedName name="solver_mip" localSheetId="21" hidden="1">2147483647</definedName>
    <definedName name="solver_mip" localSheetId="22" hidden="1">2147483647</definedName>
    <definedName name="solver_mip" localSheetId="23" hidden="1">2147483647</definedName>
    <definedName name="solver_mip" localSheetId="24" hidden="1">2147483647</definedName>
    <definedName name="solver_mni" localSheetId="6" hidden="1">30</definedName>
    <definedName name="solver_mni" localSheetId="7" hidden="1">30</definedName>
    <definedName name="solver_mni" localSheetId="8" hidden="1">30</definedName>
    <definedName name="solver_mni" localSheetId="9" hidden="1">30</definedName>
    <definedName name="solver_mni" localSheetId="10" hidden="1">30</definedName>
    <definedName name="solver_mni" localSheetId="11" hidden="1">30</definedName>
    <definedName name="solver_mni" localSheetId="12" hidden="1">30</definedName>
    <definedName name="solver_mni" localSheetId="13" hidden="1">30</definedName>
    <definedName name="solver_mni" localSheetId="14" hidden="1">30</definedName>
    <definedName name="solver_mni" localSheetId="15" hidden="1">30</definedName>
    <definedName name="solver_mni" localSheetId="16" hidden="1">30</definedName>
    <definedName name="solver_mni" localSheetId="17" hidden="1">30</definedName>
    <definedName name="solver_mni" localSheetId="18" hidden="1">30</definedName>
    <definedName name="solver_mni" localSheetId="19" hidden="1">30</definedName>
    <definedName name="solver_mni" localSheetId="20" hidden="1">30</definedName>
    <definedName name="solver_mni" localSheetId="21" hidden="1">30</definedName>
    <definedName name="solver_mni" localSheetId="22" hidden="1">30</definedName>
    <definedName name="solver_mni" localSheetId="23" hidden="1">30</definedName>
    <definedName name="solver_mni" localSheetId="24" hidden="1">30</definedName>
    <definedName name="solver_mrt" localSheetId="6" hidden="1">0.075</definedName>
    <definedName name="solver_mrt" localSheetId="7" hidden="1">0.075</definedName>
    <definedName name="solver_mrt" localSheetId="8" hidden="1">0.075</definedName>
    <definedName name="solver_mrt" localSheetId="9" hidden="1">0.075</definedName>
    <definedName name="solver_mrt" localSheetId="10" hidden="1">0.075</definedName>
    <definedName name="solver_mrt" localSheetId="11" hidden="1">0.075</definedName>
    <definedName name="solver_mrt" localSheetId="12" hidden="1">0.075</definedName>
    <definedName name="solver_mrt" localSheetId="13" hidden="1">0.075</definedName>
    <definedName name="solver_mrt" localSheetId="14" hidden="1">0.075</definedName>
    <definedName name="solver_mrt" localSheetId="15" hidden="1">0.075</definedName>
    <definedName name="solver_mrt" localSheetId="16" hidden="1">0.075</definedName>
    <definedName name="solver_mrt" localSheetId="17" hidden="1">0.075</definedName>
    <definedName name="solver_mrt" localSheetId="18" hidden="1">0.075</definedName>
    <definedName name="solver_mrt" localSheetId="19" hidden="1">0.075</definedName>
    <definedName name="solver_mrt" localSheetId="20" hidden="1">0.075</definedName>
    <definedName name="solver_mrt" localSheetId="21" hidden="1">0.075</definedName>
    <definedName name="solver_mrt" localSheetId="22" hidden="1">0.075</definedName>
    <definedName name="solver_mrt" localSheetId="23" hidden="1">0.075</definedName>
    <definedName name="solver_mrt" localSheetId="24" hidden="1">0.075</definedName>
    <definedName name="solver_msl" localSheetId="6" hidden="1">2</definedName>
    <definedName name="solver_msl" localSheetId="7" hidden="1">2</definedName>
    <definedName name="solver_msl" localSheetId="8" hidden="1">2</definedName>
    <definedName name="solver_msl" localSheetId="9" hidden="1">2</definedName>
    <definedName name="solver_msl" localSheetId="10" hidden="1">2</definedName>
    <definedName name="solver_msl" localSheetId="11" hidden="1">2</definedName>
    <definedName name="solver_msl" localSheetId="12" hidden="1">2</definedName>
    <definedName name="solver_msl" localSheetId="13" hidden="1">2</definedName>
    <definedName name="solver_msl" localSheetId="14" hidden="1">2</definedName>
    <definedName name="solver_msl" localSheetId="15" hidden="1">2</definedName>
    <definedName name="solver_msl" localSheetId="16" hidden="1">2</definedName>
    <definedName name="solver_msl" localSheetId="17" hidden="1">2</definedName>
    <definedName name="solver_msl" localSheetId="18" hidden="1">2</definedName>
    <definedName name="solver_msl" localSheetId="19" hidden="1">2</definedName>
    <definedName name="solver_msl" localSheetId="20" hidden="1">2</definedName>
    <definedName name="solver_msl" localSheetId="21" hidden="1">2</definedName>
    <definedName name="solver_msl" localSheetId="22" hidden="1">2</definedName>
    <definedName name="solver_msl" localSheetId="23" hidden="1">2</definedName>
    <definedName name="solver_msl" localSheetId="24" hidden="1">2</definedName>
    <definedName name="solver_neg" localSheetId="6" hidden="1">1</definedName>
    <definedName name="solver_neg" localSheetId="7" hidden="1">1</definedName>
    <definedName name="solver_neg" localSheetId="8" hidden="1">1</definedName>
    <definedName name="solver_neg" localSheetId="9" hidden="1">1</definedName>
    <definedName name="solver_neg" localSheetId="10" hidden="1">1</definedName>
    <definedName name="solver_neg" localSheetId="11" hidden="1">1</definedName>
    <definedName name="solver_neg" localSheetId="12" hidden="1">1</definedName>
    <definedName name="solver_neg" localSheetId="13" hidden="1">1</definedName>
    <definedName name="solver_neg" localSheetId="14" hidden="1">1</definedName>
    <definedName name="solver_neg" localSheetId="15" hidden="1">1</definedName>
    <definedName name="solver_neg" localSheetId="16" hidden="1">1</definedName>
    <definedName name="solver_neg" localSheetId="17" hidden="1">1</definedName>
    <definedName name="solver_neg" localSheetId="18" hidden="1">1</definedName>
    <definedName name="solver_neg" localSheetId="19" hidden="1">1</definedName>
    <definedName name="solver_neg" localSheetId="20" hidden="1">1</definedName>
    <definedName name="solver_neg" localSheetId="21" hidden="1">1</definedName>
    <definedName name="solver_neg" localSheetId="22" hidden="1">1</definedName>
    <definedName name="solver_neg" localSheetId="23" hidden="1">1</definedName>
    <definedName name="solver_neg" localSheetId="24" hidden="1">1</definedName>
    <definedName name="solver_nod" localSheetId="6" hidden="1">2147483647</definedName>
    <definedName name="solver_nod" localSheetId="7" hidden="1">2147483647</definedName>
    <definedName name="solver_nod" localSheetId="8" hidden="1">2147483647</definedName>
    <definedName name="solver_nod" localSheetId="9" hidden="1">2147483647</definedName>
    <definedName name="solver_nod" localSheetId="10" hidden="1">2147483647</definedName>
    <definedName name="solver_nod" localSheetId="11" hidden="1">2147483647</definedName>
    <definedName name="solver_nod" localSheetId="12" hidden="1">2147483647</definedName>
    <definedName name="solver_nod" localSheetId="13" hidden="1">2147483647</definedName>
    <definedName name="solver_nod" localSheetId="14" hidden="1">2147483647</definedName>
    <definedName name="solver_nod" localSheetId="15" hidden="1">2147483647</definedName>
    <definedName name="solver_nod" localSheetId="16" hidden="1">2147483647</definedName>
    <definedName name="solver_nod" localSheetId="17" hidden="1">2147483647</definedName>
    <definedName name="solver_nod" localSheetId="18" hidden="1">2147483647</definedName>
    <definedName name="solver_nod" localSheetId="19" hidden="1">2147483647</definedName>
    <definedName name="solver_nod" localSheetId="20" hidden="1">2147483647</definedName>
    <definedName name="solver_nod" localSheetId="21" hidden="1">2147483647</definedName>
    <definedName name="solver_nod" localSheetId="22" hidden="1">2147483647</definedName>
    <definedName name="solver_nod" localSheetId="23" hidden="1">2147483647</definedName>
    <definedName name="solver_nod" localSheetId="24" hidden="1">2147483647</definedName>
    <definedName name="solver_num" localSheetId="6" hidden="1">3</definedName>
    <definedName name="solver_num" localSheetId="7" hidden="1">3</definedName>
    <definedName name="solver_num" localSheetId="8" hidden="1">3</definedName>
    <definedName name="solver_num" localSheetId="9" hidden="1">3</definedName>
    <definedName name="solver_num" localSheetId="10" hidden="1">3</definedName>
    <definedName name="solver_num" localSheetId="11" hidden="1">3</definedName>
    <definedName name="solver_num" localSheetId="12" hidden="1">3</definedName>
    <definedName name="solver_num" localSheetId="13" hidden="1">3</definedName>
    <definedName name="solver_num" localSheetId="14" hidden="1">3</definedName>
    <definedName name="solver_num" localSheetId="15" hidden="1">3</definedName>
    <definedName name="solver_num" localSheetId="16" hidden="1">3</definedName>
    <definedName name="solver_num" localSheetId="17" hidden="1">3</definedName>
    <definedName name="solver_num" localSheetId="18" hidden="1">3</definedName>
    <definedName name="solver_num" localSheetId="19" hidden="1">3</definedName>
    <definedName name="solver_num" localSheetId="20" hidden="1">3</definedName>
    <definedName name="solver_num" localSheetId="21" hidden="1">3</definedName>
    <definedName name="solver_num" localSheetId="22" hidden="1">3</definedName>
    <definedName name="solver_num" localSheetId="23" hidden="1">3</definedName>
    <definedName name="solver_num" localSheetId="24" hidden="1">3</definedName>
    <definedName name="solver_nwt" localSheetId="6" hidden="1">1</definedName>
    <definedName name="solver_nwt" localSheetId="7" hidden="1">1</definedName>
    <definedName name="solver_nwt" localSheetId="8" hidden="1">1</definedName>
    <definedName name="solver_nwt" localSheetId="9" hidden="1">1</definedName>
    <definedName name="solver_nwt" localSheetId="10" hidden="1">1</definedName>
    <definedName name="solver_nwt" localSheetId="11" hidden="1">1</definedName>
    <definedName name="solver_nwt" localSheetId="12" hidden="1">1</definedName>
    <definedName name="solver_nwt" localSheetId="13" hidden="1">1</definedName>
    <definedName name="solver_nwt" localSheetId="14" hidden="1">1</definedName>
    <definedName name="solver_nwt" localSheetId="15" hidden="1">1</definedName>
    <definedName name="solver_nwt" localSheetId="16" hidden="1">1</definedName>
    <definedName name="solver_nwt" localSheetId="17" hidden="1">1</definedName>
    <definedName name="solver_nwt" localSheetId="18" hidden="1">1</definedName>
    <definedName name="solver_nwt" localSheetId="19" hidden="1">1</definedName>
    <definedName name="solver_nwt" localSheetId="20" hidden="1">1</definedName>
    <definedName name="solver_nwt" localSheetId="21" hidden="1">1</definedName>
    <definedName name="solver_nwt" localSheetId="22" hidden="1">1</definedName>
    <definedName name="solver_nwt" localSheetId="23" hidden="1">1</definedName>
    <definedName name="solver_nwt" localSheetId="24" hidden="1">1</definedName>
    <definedName name="solver_opt" localSheetId="6" hidden="1">'Abacate formação (1)'!$AB$215</definedName>
    <definedName name="solver_opt" localSheetId="7" hidden="1">'Abacate produção (1)'!$AB$215</definedName>
    <definedName name="solver_opt" localSheetId="8" hidden="1">'Abacaxi produção (1)'!$AB$215</definedName>
    <definedName name="solver_opt" localSheetId="9" hidden="1">'Acerola formação (1)'!$AB$215</definedName>
    <definedName name="solver_opt" localSheetId="10" hidden="1">'Acerola produção (1)'!$AB$215</definedName>
    <definedName name="solver_opt" localSheetId="11" hidden="1">'Banana formação (1)'!$AB$215</definedName>
    <definedName name="solver_opt" localSheetId="12" hidden="1">'Banana produção (1)'!$AB$215</definedName>
    <definedName name="solver_opt" localSheetId="13" hidden="1">'Citros formação (1)'!$AB$215</definedName>
    <definedName name="solver_opt" localSheetId="14" hidden="1">'Citros produção (1)'!$AB$215</definedName>
    <definedName name="solver_opt" localSheetId="15" hidden="1">'Goiaba formação (1)'!$AB$215</definedName>
    <definedName name="solver_opt" localSheetId="16" hidden="1">'Goiaba produção (1)'!$AB$215</definedName>
    <definedName name="solver_opt" localSheetId="17" hidden="1">'Graviola formação (1)'!$AB$215</definedName>
    <definedName name="solver_opt" localSheetId="18" hidden="1">'Graviola produção (1)'!$AB$215</definedName>
    <definedName name="solver_opt" localSheetId="19" hidden="1">'Mamão produção (1)'!$AB$215</definedName>
    <definedName name="solver_opt" localSheetId="20" hidden="1">'Manga formação (1)'!$AB$215</definedName>
    <definedName name="solver_opt" localSheetId="21" hidden="1">'Manga produção (1)'!$AB$215</definedName>
    <definedName name="solver_opt" localSheetId="22" hidden="1">'Maracujá produção (1)'!$AB$215</definedName>
    <definedName name="solver_opt" localSheetId="23" hidden="1">'Pitaya formação (1)'!$AB$215</definedName>
    <definedName name="solver_opt" localSheetId="24" hidden="1">'Pitaya produção (1)'!$AB$215</definedName>
    <definedName name="solver_pre" localSheetId="6" hidden="1">0.000001</definedName>
    <definedName name="solver_pre" localSheetId="7" hidden="1">0.000001</definedName>
    <definedName name="solver_pre" localSheetId="8" hidden="1">0.000001</definedName>
    <definedName name="solver_pre" localSheetId="9" hidden="1">0.000001</definedName>
    <definedName name="solver_pre" localSheetId="10" hidden="1">0.000001</definedName>
    <definedName name="solver_pre" localSheetId="11" hidden="1">0.000001</definedName>
    <definedName name="solver_pre" localSheetId="12" hidden="1">0.000001</definedName>
    <definedName name="solver_pre" localSheetId="13" hidden="1">0.000001</definedName>
    <definedName name="solver_pre" localSheetId="14" hidden="1">0.000001</definedName>
    <definedName name="solver_pre" localSheetId="15" hidden="1">0.000001</definedName>
    <definedName name="solver_pre" localSheetId="16" hidden="1">0.000001</definedName>
    <definedName name="solver_pre" localSheetId="17" hidden="1">0.000001</definedName>
    <definedName name="solver_pre" localSheetId="18" hidden="1">0.000001</definedName>
    <definedName name="solver_pre" localSheetId="19" hidden="1">0.000001</definedName>
    <definedName name="solver_pre" localSheetId="20" hidden="1">0.000001</definedName>
    <definedName name="solver_pre" localSheetId="21" hidden="1">0.000001</definedName>
    <definedName name="solver_pre" localSheetId="22" hidden="1">0.000001</definedName>
    <definedName name="solver_pre" localSheetId="23" hidden="1">0.000001</definedName>
    <definedName name="solver_pre" localSheetId="24" hidden="1">0.000001</definedName>
    <definedName name="solver_rbv" localSheetId="6" hidden="1">1</definedName>
    <definedName name="solver_rbv" localSheetId="7" hidden="1">1</definedName>
    <definedName name="solver_rbv" localSheetId="8" hidden="1">1</definedName>
    <definedName name="solver_rbv" localSheetId="9" hidden="1">1</definedName>
    <definedName name="solver_rbv" localSheetId="10" hidden="1">1</definedName>
    <definedName name="solver_rbv" localSheetId="11" hidden="1">1</definedName>
    <definedName name="solver_rbv" localSheetId="12" hidden="1">1</definedName>
    <definedName name="solver_rbv" localSheetId="13" hidden="1">1</definedName>
    <definedName name="solver_rbv" localSheetId="14" hidden="1">1</definedName>
    <definedName name="solver_rbv" localSheetId="15" hidden="1">1</definedName>
    <definedName name="solver_rbv" localSheetId="16" hidden="1">1</definedName>
    <definedName name="solver_rbv" localSheetId="17" hidden="1">1</definedName>
    <definedName name="solver_rbv" localSheetId="18" hidden="1">1</definedName>
    <definedName name="solver_rbv" localSheetId="19" hidden="1">1</definedName>
    <definedName name="solver_rbv" localSheetId="20" hidden="1">1</definedName>
    <definedName name="solver_rbv" localSheetId="21" hidden="1">1</definedName>
    <definedName name="solver_rbv" localSheetId="22" hidden="1">1</definedName>
    <definedName name="solver_rbv" localSheetId="23" hidden="1">1</definedName>
    <definedName name="solver_rbv" localSheetId="24" hidden="1">1</definedName>
    <definedName name="solver_rel1" localSheetId="6" hidden="1">2</definedName>
    <definedName name="solver_rel1" localSheetId="7" hidden="1">2</definedName>
    <definedName name="solver_rel1" localSheetId="8" hidden="1">2</definedName>
    <definedName name="solver_rel1" localSheetId="9" hidden="1">2</definedName>
    <definedName name="solver_rel1" localSheetId="10" hidden="1">2</definedName>
    <definedName name="solver_rel1" localSheetId="11" hidden="1">2</definedName>
    <definedName name="solver_rel1" localSheetId="12" hidden="1">2</definedName>
    <definedName name="solver_rel1" localSheetId="13" hidden="1">2</definedName>
    <definedName name="solver_rel1" localSheetId="14" hidden="1">2</definedName>
    <definedName name="solver_rel1" localSheetId="15" hidden="1">2</definedName>
    <definedName name="solver_rel1" localSheetId="16" hidden="1">2</definedName>
    <definedName name="solver_rel1" localSheetId="17" hidden="1">2</definedName>
    <definedName name="solver_rel1" localSheetId="18" hidden="1">2</definedName>
    <definedName name="solver_rel1" localSheetId="19" hidden="1">2</definedName>
    <definedName name="solver_rel1" localSheetId="20" hidden="1">2</definedName>
    <definedName name="solver_rel1" localSheetId="21" hidden="1">2</definedName>
    <definedName name="solver_rel1" localSheetId="22" hidden="1">2</definedName>
    <definedName name="solver_rel1" localSheetId="23" hidden="1">2</definedName>
    <definedName name="solver_rel1" localSheetId="24" hidden="1">2</definedName>
    <definedName name="solver_rel2" localSheetId="6" hidden="1">2</definedName>
    <definedName name="solver_rel2" localSheetId="7" hidden="1">2</definedName>
    <definedName name="solver_rel2" localSheetId="8" hidden="1">2</definedName>
    <definedName name="solver_rel2" localSheetId="9" hidden="1">2</definedName>
    <definedName name="solver_rel2" localSheetId="10" hidden="1">2</definedName>
    <definedName name="solver_rel2" localSheetId="11" hidden="1">2</definedName>
    <definedName name="solver_rel2" localSheetId="12" hidden="1">2</definedName>
    <definedName name="solver_rel2" localSheetId="13" hidden="1">2</definedName>
    <definedName name="solver_rel2" localSheetId="14" hidden="1">2</definedName>
    <definedName name="solver_rel2" localSheetId="15" hidden="1">2</definedName>
    <definedName name="solver_rel2" localSheetId="16" hidden="1">2</definedName>
    <definedName name="solver_rel2" localSheetId="17" hidden="1">2</definedName>
    <definedName name="solver_rel2" localSheetId="18" hidden="1">2</definedName>
    <definedName name="solver_rel2" localSheetId="19" hidden="1">2</definedName>
    <definedName name="solver_rel2" localSheetId="20" hidden="1">2</definedName>
    <definedName name="solver_rel2" localSheetId="21" hidden="1">2</definedName>
    <definedName name="solver_rel2" localSheetId="22" hidden="1">2</definedName>
    <definedName name="solver_rel2" localSheetId="23" hidden="1">2</definedName>
    <definedName name="solver_rel2" localSheetId="24" hidden="1">2</definedName>
    <definedName name="solver_rel3" localSheetId="6" hidden="1">2</definedName>
    <definedName name="solver_rel3" localSheetId="7" hidden="1">2</definedName>
    <definedName name="solver_rel3" localSheetId="8" hidden="1">2</definedName>
    <definedName name="solver_rel3" localSheetId="9" hidden="1">2</definedName>
    <definedName name="solver_rel3" localSheetId="10" hidden="1">2</definedName>
    <definedName name="solver_rel3" localSheetId="11" hidden="1">2</definedName>
    <definedName name="solver_rel3" localSheetId="12" hidden="1">2</definedName>
    <definedName name="solver_rel3" localSheetId="13" hidden="1">2</definedName>
    <definedName name="solver_rel3" localSheetId="14" hidden="1">2</definedName>
    <definedName name="solver_rel3" localSheetId="15" hidden="1">2</definedName>
    <definedName name="solver_rel3" localSheetId="16" hidden="1">2</definedName>
    <definedName name="solver_rel3" localSheetId="17" hidden="1">2</definedName>
    <definedName name="solver_rel3" localSheetId="18" hidden="1">2</definedName>
    <definedName name="solver_rel3" localSheetId="19" hidden="1">2</definedName>
    <definedName name="solver_rel3" localSheetId="20" hidden="1">2</definedName>
    <definedName name="solver_rel3" localSheetId="21" hidden="1">2</definedName>
    <definedName name="solver_rel3" localSheetId="22" hidden="1">2</definedName>
    <definedName name="solver_rel3" localSheetId="23" hidden="1">2</definedName>
    <definedName name="solver_rel3" localSheetId="24" hidden="1">2</definedName>
    <definedName name="solver_rhs1" localSheetId="6" hidden="1">'Abacate formação (1)'!$AC$30</definedName>
    <definedName name="solver_rhs1" localSheetId="7" hidden="1">'Abacate produção (1)'!$AC$30</definedName>
    <definedName name="solver_rhs1" localSheetId="8" hidden="1">'Abacaxi produção (1)'!$AC$30</definedName>
    <definedName name="solver_rhs1" localSheetId="9" hidden="1">'Acerola formação (1)'!$AC$30</definedName>
    <definedName name="solver_rhs1" localSheetId="10" hidden="1">'Acerola produção (1)'!$AC$30</definedName>
    <definedName name="solver_rhs1" localSheetId="11" hidden="1">'Banana formação (1)'!$AC$30</definedName>
    <definedName name="solver_rhs1" localSheetId="12" hidden="1">'Banana produção (1)'!$AC$30</definedName>
    <definedName name="solver_rhs1" localSheetId="13" hidden="1">'Citros formação (1)'!$AC$30</definedName>
    <definedName name="solver_rhs1" localSheetId="14" hidden="1">'Citros produção (1)'!$AC$30</definedName>
    <definedName name="solver_rhs1" localSheetId="15" hidden="1">'Goiaba formação (1)'!$AC$30</definedName>
    <definedName name="solver_rhs1" localSheetId="16" hidden="1">'Goiaba produção (1)'!$AC$30</definedName>
    <definedName name="solver_rhs1" localSheetId="17" hidden="1">'Graviola formação (1)'!$AC$30</definedName>
    <definedName name="solver_rhs1" localSheetId="18" hidden="1">'Graviola produção (1)'!$AC$30</definedName>
    <definedName name="solver_rhs1" localSheetId="19" hidden="1">'Mamão produção (1)'!$AC$30</definedName>
    <definedName name="solver_rhs1" localSheetId="20" hidden="1">'Manga formação (1)'!$AC$30</definedName>
    <definedName name="solver_rhs1" localSheetId="21" hidden="1">'Manga produção (1)'!$AC$30</definedName>
    <definedName name="solver_rhs1" localSheetId="22" hidden="1">'Maracujá produção (1)'!$AC$30</definedName>
    <definedName name="solver_rhs1" localSheetId="23" hidden="1">'Pitaya formação (1)'!$AC$30</definedName>
    <definedName name="solver_rhs1" localSheetId="24" hidden="1">'Pitaya produção (1)'!$AC$30</definedName>
    <definedName name="solver_rhs2" localSheetId="6" hidden="1">'Abacate formação (1)'!$AC$31</definedName>
    <definedName name="solver_rhs2" localSheetId="7" hidden="1">'Abacate produção (1)'!$AC$31</definedName>
    <definedName name="solver_rhs2" localSheetId="8" hidden="1">'Abacaxi produção (1)'!$AC$31</definedName>
    <definedName name="solver_rhs2" localSheetId="9" hidden="1">'Acerola formação (1)'!$AC$31</definedName>
    <definedName name="solver_rhs2" localSheetId="10" hidden="1">'Acerola produção (1)'!$AC$31</definedName>
    <definedName name="solver_rhs2" localSheetId="11" hidden="1">'Banana formação (1)'!$AC$31</definedName>
    <definedName name="solver_rhs2" localSheetId="12" hidden="1">'Banana produção (1)'!$AC$31</definedName>
    <definedName name="solver_rhs2" localSheetId="13" hidden="1">'Citros formação (1)'!$AC$31</definedName>
    <definedName name="solver_rhs2" localSheetId="14" hidden="1">'Citros produção (1)'!$AC$31</definedName>
    <definedName name="solver_rhs2" localSheetId="15" hidden="1">'Goiaba formação (1)'!$AC$31</definedName>
    <definedName name="solver_rhs2" localSheetId="16" hidden="1">'Goiaba produção (1)'!$AC$31</definedName>
    <definedName name="solver_rhs2" localSheetId="17" hidden="1">'Graviola formação (1)'!$AC$31</definedName>
    <definedName name="solver_rhs2" localSheetId="18" hidden="1">'Graviola produção (1)'!$AC$31</definedName>
    <definedName name="solver_rhs2" localSheetId="19" hidden="1">'Mamão produção (1)'!$AC$31</definedName>
    <definedName name="solver_rhs2" localSheetId="20" hidden="1">'Manga formação (1)'!$AC$31</definedName>
    <definedName name="solver_rhs2" localSheetId="21" hidden="1">'Manga produção (1)'!$AC$31</definedName>
    <definedName name="solver_rhs2" localSheetId="22" hidden="1">'Maracujá produção (1)'!$AC$31</definedName>
    <definedName name="solver_rhs2" localSheetId="23" hidden="1">'Pitaya formação (1)'!$AC$31</definedName>
    <definedName name="solver_rhs2" localSheetId="24" hidden="1">'Pitaya produção (1)'!$AC$31</definedName>
    <definedName name="solver_rhs3" localSheetId="6" hidden="1">'Abacate formação (1)'!$AC$32</definedName>
    <definedName name="solver_rhs3" localSheetId="7" hidden="1">'Abacate produção (1)'!$AC$32</definedName>
    <definedName name="solver_rhs3" localSheetId="8" hidden="1">'Abacaxi produção (1)'!$AC$32</definedName>
    <definedName name="solver_rhs3" localSheetId="9" hidden="1">'Acerola formação (1)'!$AC$32</definedName>
    <definedName name="solver_rhs3" localSheetId="10" hidden="1">'Acerola produção (1)'!$AC$32</definedName>
    <definedName name="solver_rhs3" localSheetId="11" hidden="1">'Banana formação (1)'!$AC$32</definedName>
    <definedName name="solver_rhs3" localSheetId="12" hidden="1">'Banana produção (1)'!$AC$32</definedName>
    <definedName name="solver_rhs3" localSheetId="13" hidden="1">'Citros formação (1)'!$AC$32</definedName>
    <definedName name="solver_rhs3" localSheetId="14" hidden="1">'Citros produção (1)'!$AC$32</definedName>
    <definedName name="solver_rhs3" localSheetId="15" hidden="1">'Goiaba formação (1)'!$AC$32</definedName>
    <definedName name="solver_rhs3" localSheetId="16" hidden="1">'Goiaba produção (1)'!$AC$32</definedName>
    <definedName name="solver_rhs3" localSheetId="17" hidden="1">'Graviola formação (1)'!$AC$32</definedName>
    <definedName name="solver_rhs3" localSheetId="18" hidden="1">'Graviola produção (1)'!$AC$32</definedName>
    <definedName name="solver_rhs3" localSheetId="19" hidden="1">'Mamão produção (1)'!$AC$32</definedName>
    <definedName name="solver_rhs3" localSheetId="20" hidden="1">'Manga formação (1)'!$AC$32</definedName>
    <definedName name="solver_rhs3" localSheetId="21" hidden="1">'Manga produção (1)'!$AC$32</definedName>
    <definedName name="solver_rhs3" localSheetId="22" hidden="1">'Maracujá produção (1)'!$AC$32</definedName>
    <definedName name="solver_rhs3" localSheetId="23" hidden="1">'Pitaya formação (1)'!$AC$32</definedName>
    <definedName name="solver_rhs3" localSheetId="24" hidden="1">'Pitaya produção (1)'!$AC$32</definedName>
    <definedName name="solver_rlx" localSheetId="6" hidden="1">2</definedName>
    <definedName name="solver_rlx" localSheetId="7" hidden="1">2</definedName>
    <definedName name="solver_rlx" localSheetId="8" hidden="1">2</definedName>
    <definedName name="solver_rlx" localSheetId="9" hidden="1">2</definedName>
    <definedName name="solver_rlx" localSheetId="10" hidden="1">2</definedName>
    <definedName name="solver_rlx" localSheetId="11" hidden="1">2</definedName>
    <definedName name="solver_rlx" localSheetId="12" hidden="1">2</definedName>
    <definedName name="solver_rlx" localSheetId="13" hidden="1">2</definedName>
    <definedName name="solver_rlx" localSheetId="14" hidden="1">2</definedName>
    <definedName name="solver_rlx" localSheetId="15" hidden="1">2</definedName>
    <definedName name="solver_rlx" localSheetId="16" hidden="1">2</definedName>
    <definedName name="solver_rlx" localSheetId="17" hidden="1">2</definedName>
    <definedName name="solver_rlx" localSheetId="18" hidden="1">2</definedName>
    <definedName name="solver_rlx" localSheetId="19" hidden="1">2</definedName>
    <definedName name="solver_rlx" localSheetId="20" hidden="1">2</definedName>
    <definedName name="solver_rlx" localSheetId="21" hidden="1">2</definedName>
    <definedName name="solver_rlx" localSheetId="22" hidden="1">2</definedName>
    <definedName name="solver_rlx" localSheetId="23" hidden="1">2</definedName>
    <definedName name="solver_rlx" localSheetId="24" hidden="1">2</definedName>
    <definedName name="solver_rsd" localSheetId="6" hidden="1">0</definedName>
    <definedName name="solver_rsd" localSheetId="7" hidden="1">0</definedName>
    <definedName name="solver_rsd" localSheetId="8" hidden="1">0</definedName>
    <definedName name="solver_rsd" localSheetId="9" hidden="1">0</definedName>
    <definedName name="solver_rsd" localSheetId="10" hidden="1">0</definedName>
    <definedName name="solver_rsd" localSheetId="11" hidden="1">0</definedName>
    <definedName name="solver_rsd" localSheetId="12" hidden="1">0</definedName>
    <definedName name="solver_rsd" localSheetId="13" hidden="1">0</definedName>
    <definedName name="solver_rsd" localSheetId="14" hidden="1">0</definedName>
    <definedName name="solver_rsd" localSheetId="15" hidden="1">0</definedName>
    <definedName name="solver_rsd" localSheetId="16" hidden="1">0</definedName>
    <definedName name="solver_rsd" localSheetId="17" hidden="1">0</definedName>
    <definedName name="solver_rsd" localSheetId="18" hidden="1">0</definedName>
    <definedName name="solver_rsd" localSheetId="19" hidden="1">0</definedName>
    <definedName name="solver_rsd" localSheetId="20" hidden="1">0</definedName>
    <definedName name="solver_rsd" localSheetId="21" hidden="1">0</definedName>
    <definedName name="solver_rsd" localSheetId="22" hidden="1">0</definedName>
    <definedName name="solver_rsd" localSheetId="23" hidden="1">0</definedName>
    <definedName name="solver_rsd" localSheetId="24" hidden="1">0</definedName>
    <definedName name="solver_scl" localSheetId="6" hidden="1">1</definedName>
    <definedName name="solver_scl" localSheetId="7" hidden="1">1</definedName>
    <definedName name="solver_scl" localSheetId="8" hidden="1">1</definedName>
    <definedName name="solver_scl" localSheetId="9" hidden="1">1</definedName>
    <definedName name="solver_scl" localSheetId="10" hidden="1">1</definedName>
    <definedName name="solver_scl" localSheetId="11" hidden="1">1</definedName>
    <definedName name="solver_scl" localSheetId="12" hidden="1">1</definedName>
    <definedName name="solver_scl" localSheetId="13" hidden="1">1</definedName>
    <definedName name="solver_scl" localSheetId="14" hidden="1">1</definedName>
    <definedName name="solver_scl" localSheetId="15" hidden="1">1</definedName>
    <definedName name="solver_scl" localSheetId="16" hidden="1">1</definedName>
    <definedName name="solver_scl" localSheetId="17" hidden="1">1</definedName>
    <definedName name="solver_scl" localSheetId="18" hidden="1">1</definedName>
    <definedName name="solver_scl" localSheetId="19" hidden="1">1</definedName>
    <definedName name="solver_scl" localSheetId="20" hidden="1">1</definedName>
    <definedName name="solver_scl" localSheetId="21" hidden="1">1</definedName>
    <definedName name="solver_scl" localSheetId="22" hidden="1">1</definedName>
    <definedName name="solver_scl" localSheetId="23" hidden="1">1</definedName>
    <definedName name="solver_scl" localSheetId="24" hidden="1">1</definedName>
    <definedName name="solver_sho" localSheetId="6" hidden="1">2</definedName>
    <definedName name="solver_sho" localSheetId="7" hidden="1">2</definedName>
    <definedName name="solver_sho" localSheetId="8" hidden="1">2</definedName>
    <definedName name="solver_sho" localSheetId="9" hidden="1">2</definedName>
    <definedName name="solver_sho" localSheetId="10" hidden="1">2</definedName>
    <definedName name="solver_sho" localSheetId="11" hidden="1">2</definedName>
    <definedName name="solver_sho" localSheetId="12" hidden="1">2</definedName>
    <definedName name="solver_sho" localSheetId="13" hidden="1">2</definedName>
    <definedName name="solver_sho" localSheetId="14" hidden="1">2</definedName>
    <definedName name="solver_sho" localSheetId="15" hidden="1">2</definedName>
    <definedName name="solver_sho" localSheetId="16" hidden="1">2</definedName>
    <definedName name="solver_sho" localSheetId="17" hidden="1">2</definedName>
    <definedName name="solver_sho" localSheetId="18" hidden="1">2</definedName>
    <definedName name="solver_sho" localSheetId="19" hidden="1">2</definedName>
    <definedName name="solver_sho" localSheetId="20" hidden="1">2</definedName>
    <definedName name="solver_sho" localSheetId="21" hidden="1">2</definedName>
    <definedName name="solver_sho" localSheetId="22" hidden="1">2</definedName>
    <definedName name="solver_sho" localSheetId="23" hidden="1">2</definedName>
    <definedName name="solver_sho" localSheetId="24" hidden="1">2</definedName>
    <definedName name="solver_ssz" localSheetId="6" hidden="1">100</definedName>
    <definedName name="solver_ssz" localSheetId="7" hidden="1">100</definedName>
    <definedName name="solver_ssz" localSheetId="8" hidden="1">100</definedName>
    <definedName name="solver_ssz" localSheetId="9" hidden="1">100</definedName>
    <definedName name="solver_ssz" localSheetId="10" hidden="1">100</definedName>
    <definedName name="solver_ssz" localSheetId="11" hidden="1">100</definedName>
    <definedName name="solver_ssz" localSheetId="12" hidden="1">100</definedName>
    <definedName name="solver_ssz" localSheetId="13" hidden="1">100</definedName>
    <definedName name="solver_ssz" localSheetId="14" hidden="1">100</definedName>
    <definedName name="solver_ssz" localSheetId="15" hidden="1">100</definedName>
    <definedName name="solver_ssz" localSheetId="16" hidden="1">100</definedName>
    <definedName name="solver_ssz" localSheetId="17" hidden="1">100</definedName>
    <definedName name="solver_ssz" localSheetId="18" hidden="1">100</definedName>
    <definedName name="solver_ssz" localSheetId="19" hidden="1">100</definedName>
    <definedName name="solver_ssz" localSheetId="20" hidden="1">100</definedName>
    <definedName name="solver_ssz" localSheetId="21" hidden="1">100</definedName>
    <definedName name="solver_ssz" localSheetId="22" hidden="1">100</definedName>
    <definedName name="solver_ssz" localSheetId="23" hidden="1">100</definedName>
    <definedName name="solver_ssz" localSheetId="24" hidden="1">100</definedName>
    <definedName name="solver_tim" localSheetId="6" hidden="1">2147483647</definedName>
    <definedName name="solver_tim" localSheetId="7" hidden="1">2147483647</definedName>
    <definedName name="solver_tim" localSheetId="8" hidden="1">2147483647</definedName>
    <definedName name="solver_tim" localSheetId="9" hidden="1">2147483647</definedName>
    <definedName name="solver_tim" localSheetId="10" hidden="1">2147483647</definedName>
    <definedName name="solver_tim" localSheetId="11" hidden="1">2147483647</definedName>
    <definedName name="solver_tim" localSheetId="12" hidden="1">2147483647</definedName>
    <definedName name="solver_tim" localSheetId="13" hidden="1">2147483647</definedName>
    <definedName name="solver_tim" localSheetId="14" hidden="1">2147483647</definedName>
    <definedName name="solver_tim" localSheetId="15" hidden="1">2147483647</definedName>
    <definedName name="solver_tim" localSheetId="16" hidden="1">2147483647</definedName>
    <definedName name="solver_tim" localSheetId="17" hidden="1">2147483647</definedName>
    <definedName name="solver_tim" localSheetId="18" hidden="1">2147483647</definedName>
    <definedName name="solver_tim" localSheetId="19" hidden="1">2147483647</definedName>
    <definedName name="solver_tim" localSheetId="20" hidden="1">2147483647</definedName>
    <definedName name="solver_tim" localSheetId="21" hidden="1">2147483647</definedName>
    <definedName name="solver_tim" localSheetId="22" hidden="1">2147483647</definedName>
    <definedName name="solver_tim" localSheetId="23" hidden="1">2147483647</definedName>
    <definedName name="solver_tim" localSheetId="24" hidden="1">2147483647</definedName>
    <definedName name="solver_tol" localSheetId="6" hidden="1">0.01</definedName>
    <definedName name="solver_tol" localSheetId="7" hidden="1">0.01</definedName>
    <definedName name="solver_tol" localSheetId="8" hidden="1">0.01</definedName>
    <definedName name="solver_tol" localSheetId="9" hidden="1">0.01</definedName>
    <definedName name="solver_tol" localSheetId="10" hidden="1">0.01</definedName>
    <definedName name="solver_tol" localSheetId="11" hidden="1">0.01</definedName>
    <definedName name="solver_tol" localSheetId="12" hidden="1">0.01</definedName>
    <definedName name="solver_tol" localSheetId="13" hidden="1">0.01</definedName>
    <definedName name="solver_tol" localSheetId="14" hidden="1">0.01</definedName>
    <definedName name="solver_tol" localSheetId="15" hidden="1">0.01</definedName>
    <definedName name="solver_tol" localSheetId="16" hidden="1">0.01</definedName>
    <definedName name="solver_tol" localSheetId="17" hidden="1">0.01</definedName>
    <definedName name="solver_tol" localSheetId="18" hidden="1">0.01</definedName>
    <definedName name="solver_tol" localSheetId="19" hidden="1">0.01</definedName>
    <definedName name="solver_tol" localSheetId="20" hidden="1">0.01</definedName>
    <definedName name="solver_tol" localSheetId="21" hidden="1">0.01</definedName>
    <definedName name="solver_tol" localSheetId="22" hidden="1">0.01</definedName>
    <definedName name="solver_tol" localSheetId="23" hidden="1">0.01</definedName>
    <definedName name="solver_tol" localSheetId="24" hidden="1">0.01</definedName>
    <definedName name="solver_typ" localSheetId="6" hidden="1">2</definedName>
    <definedName name="solver_typ" localSheetId="7" hidden="1">2</definedName>
    <definedName name="solver_typ" localSheetId="8" hidden="1">2</definedName>
    <definedName name="solver_typ" localSheetId="9" hidden="1">2</definedName>
    <definedName name="solver_typ" localSheetId="10" hidden="1">2</definedName>
    <definedName name="solver_typ" localSheetId="11" hidden="1">2</definedName>
    <definedName name="solver_typ" localSheetId="12" hidden="1">2</definedName>
    <definedName name="solver_typ" localSheetId="13" hidden="1">2</definedName>
    <definedName name="solver_typ" localSheetId="14" hidden="1">2</definedName>
    <definedName name="solver_typ" localSheetId="15" hidden="1">2</definedName>
    <definedName name="solver_typ" localSheetId="16" hidden="1">2</definedName>
    <definedName name="solver_typ" localSheetId="17" hidden="1">2</definedName>
    <definedName name="solver_typ" localSheetId="18" hidden="1">2</definedName>
    <definedName name="solver_typ" localSheetId="19" hidden="1">2</definedName>
    <definedName name="solver_typ" localSheetId="20" hidden="1">2</definedName>
    <definedName name="solver_typ" localSheetId="21" hidden="1">2</definedName>
    <definedName name="solver_typ" localSheetId="22" hidden="1">2</definedName>
    <definedName name="solver_typ" localSheetId="23" hidden="1">2</definedName>
    <definedName name="solver_typ" localSheetId="24" hidden="1">2</definedName>
    <definedName name="solver_val" localSheetId="6" hidden="1">0</definedName>
    <definedName name="solver_val" localSheetId="7" hidden="1">0</definedName>
    <definedName name="solver_val" localSheetId="8" hidden="1">0</definedName>
    <definedName name="solver_val" localSheetId="9" hidden="1">0</definedName>
    <definedName name="solver_val" localSheetId="10" hidden="1">0</definedName>
    <definedName name="solver_val" localSheetId="11" hidden="1">0</definedName>
    <definedName name="solver_val" localSheetId="12" hidden="1">0</definedName>
    <definedName name="solver_val" localSheetId="13" hidden="1">0</definedName>
    <definedName name="solver_val" localSheetId="14" hidden="1">0</definedName>
    <definedName name="solver_val" localSheetId="15" hidden="1">0</definedName>
    <definedName name="solver_val" localSheetId="16" hidden="1">0</definedName>
    <definedName name="solver_val" localSheetId="17" hidden="1">0</definedName>
    <definedName name="solver_val" localSheetId="18" hidden="1">0</definedName>
    <definedName name="solver_val" localSheetId="19" hidden="1">0</definedName>
    <definedName name="solver_val" localSheetId="20" hidden="1">0</definedName>
    <definedName name="solver_val" localSheetId="21" hidden="1">0</definedName>
    <definedName name="solver_val" localSheetId="22" hidden="1">0</definedName>
    <definedName name="solver_val" localSheetId="23" hidden="1">0</definedName>
    <definedName name="solver_val" localSheetId="24" hidden="1">0</definedName>
    <definedName name="solver_ver" localSheetId="6" hidden="1">3</definedName>
    <definedName name="solver_ver" localSheetId="7" hidden="1">3</definedName>
    <definedName name="solver_ver" localSheetId="8" hidden="1">3</definedName>
    <definedName name="solver_ver" localSheetId="9" hidden="1">3</definedName>
    <definedName name="solver_ver" localSheetId="10" hidden="1">3</definedName>
    <definedName name="solver_ver" localSheetId="11" hidden="1">3</definedName>
    <definedName name="solver_ver" localSheetId="12" hidden="1">3</definedName>
    <definedName name="solver_ver" localSheetId="13" hidden="1">3</definedName>
    <definedName name="solver_ver" localSheetId="14" hidden="1">3</definedName>
    <definedName name="solver_ver" localSheetId="15" hidden="1">3</definedName>
    <definedName name="solver_ver" localSheetId="16" hidden="1">3</definedName>
    <definedName name="solver_ver" localSheetId="17" hidden="1">3</definedName>
    <definedName name="solver_ver" localSheetId="18" hidden="1">3</definedName>
    <definedName name="solver_ver" localSheetId="19" hidden="1">3</definedName>
    <definedName name="solver_ver" localSheetId="20" hidden="1">3</definedName>
    <definedName name="solver_ver" localSheetId="21" hidden="1">3</definedName>
    <definedName name="solver_ver" localSheetId="22" hidden="1">3</definedName>
    <definedName name="solver_ver" localSheetId="23" hidden="1">3</definedName>
    <definedName name="solver_ver" localSheetId="24" hidden="1">3</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46" i="54" l="1"/>
  <c r="AC30" i="54"/>
  <c r="AA215" i="54" l="1"/>
  <c r="V214" i="54"/>
  <c r="V213" i="54"/>
  <c r="V212" i="54"/>
  <c r="V211" i="54"/>
  <c r="V210" i="54"/>
  <c r="V209" i="54"/>
  <c r="X208" i="54"/>
  <c r="AC208" i="54" s="1"/>
  <c r="V208" i="54"/>
  <c r="V207" i="54"/>
  <c r="V206" i="54"/>
  <c r="Y206" i="54" s="1"/>
  <c r="AD206" i="54" s="1"/>
  <c r="V205" i="54"/>
  <c r="V204" i="54"/>
  <c r="V203" i="54"/>
  <c r="V202" i="54"/>
  <c r="V201" i="54"/>
  <c r="V200" i="54"/>
  <c r="V199" i="54"/>
  <c r="V198" i="54"/>
  <c r="V197" i="54"/>
  <c r="X196" i="54"/>
  <c r="AC196" i="54" s="1"/>
  <c r="V196" i="54"/>
  <c r="V195" i="54"/>
  <c r="V194" i="54"/>
  <c r="W194" i="54" s="1"/>
  <c r="AB194" i="54" s="1"/>
  <c r="V193" i="54"/>
  <c r="V192" i="54"/>
  <c r="V191" i="54"/>
  <c r="V190" i="54"/>
  <c r="V189" i="54"/>
  <c r="V188" i="54"/>
  <c r="AO179" i="54"/>
  <c r="AN179" i="54"/>
  <c r="AM179" i="54"/>
  <c r="AL179" i="54"/>
  <c r="AK179" i="54"/>
  <c r="AJ179" i="54"/>
  <c r="AI179" i="54"/>
  <c r="AH179" i="54"/>
  <c r="AG179" i="54"/>
  <c r="AF179" i="54"/>
  <c r="AE179" i="54"/>
  <c r="AD179" i="54"/>
  <c r="AC179" i="54"/>
  <c r="AB179" i="54"/>
  <c r="AA179" i="54"/>
  <c r="Z179" i="54"/>
  <c r="Y179" i="54"/>
  <c r="X179" i="54"/>
  <c r="W179" i="54"/>
  <c r="V179" i="54"/>
  <c r="AO178" i="54"/>
  <c r="AN178" i="54"/>
  <c r="AM178" i="54"/>
  <c r="AL178" i="54"/>
  <c r="AK178" i="54"/>
  <c r="AJ178" i="54"/>
  <c r="AI178" i="54"/>
  <c r="AH178" i="54"/>
  <c r="AG178" i="54"/>
  <c r="AF178" i="54"/>
  <c r="AE178" i="54"/>
  <c r="AD178" i="54"/>
  <c r="AC178" i="54"/>
  <c r="AB178" i="54"/>
  <c r="AA178" i="54"/>
  <c r="Z178" i="54"/>
  <c r="Y178" i="54"/>
  <c r="X178" i="54"/>
  <c r="W178" i="54"/>
  <c r="V178" i="54"/>
  <c r="AO177" i="54"/>
  <c r="AN177" i="54"/>
  <c r="AM177" i="54"/>
  <c r="AL177" i="54"/>
  <c r="AK177" i="54"/>
  <c r="AJ177" i="54"/>
  <c r="AI177" i="54"/>
  <c r="AH177" i="54"/>
  <c r="AG177" i="54"/>
  <c r="AF177" i="54"/>
  <c r="AE177" i="54"/>
  <c r="AD177" i="54"/>
  <c r="AC177" i="54"/>
  <c r="AB177" i="54"/>
  <c r="AA177" i="54"/>
  <c r="Z177" i="54"/>
  <c r="Y177" i="54"/>
  <c r="X177" i="54"/>
  <c r="W177" i="54"/>
  <c r="V177" i="54"/>
  <c r="AO176" i="54"/>
  <c r="AN176" i="54"/>
  <c r="AM176" i="54"/>
  <c r="AL176" i="54"/>
  <c r="AK176" i="54"/>
  <c r="AJ176" i="54"/>
  <c r="AI176" i="54"/>
  <c r="AH176" i="54"/>
  <c r="AG176" i="54"/>
  <c r="AF176" i="54"/>
  <c r="AE176" i="54"/>
  <c r="AD176" i="54"/>
  <c r="AC176" i="54"/>
  <c r="AB176" i="54"/>
  <c r="AA176" i="54"/>
  <c r="Z176" i="54"/>
  <c r="Y176" i="54"/>
  <c r="X176" i="54"/>
  <c r="W176" i="54"/>
  <c r="V176" i="54"/>
  <c r="AO175" i="54"/>
  <c r="AN175" i="54"/>
  <c r="AM175" i="54"/>
  <c r="AL175" i="54"/>
  <c r="AK175" i="54"/>
  <c r="AJ175" i="54"/>
  <c r="AI175" i="54"/>
  <c r="AH175" i="54"/>
  <c r="AG175" i="54"/>
  <c r="AF175" i="54"/>
  <c r="AE175" i="54"/>
  <c r="AD175" i="54"/>
  <c r="AC175" i="54"/>
  <c r="AB175" i="54"/>
  <c r="AA175" i="54"/>
  <c r="Z175" i="54"/>
  <c r="Y175" i="54"/>
  <c r="X175" i="54"/>
  <c r="W175" i="54"/>
  <c r="V175" i="54"/>
  <c r="AO174" i="54"/>
  <c r="AN174" i="54"/>
  <c r="AM174" i="54"/>
  <c r="AL174" i="54"/>
  <c r="AK174" i="54"/>
  <c r="AJ174" i="54"/>
  <c r="AI174" i="54"/>
  <c r="AH174" i="54"/>
  <c r="AG174" i="54"/>
  <c r="AF174" i="54"/>
  <c r="AE174" i="54"/>
  <c r="AD174" i="54"/>
  <c r="AC174" i="54"/>
  <c r="AB174" i="54"/>
  <c r="AA174" i="54"/>
  <c r="Z174" i="54"/>
  <c r="Y174" i="54"/>
  <c r="X174" i="54"/>
  <c r="W174" i="54"/>
  <c r="V174" i="54"/>
  <c r="AO173" i="54"/>
  <c r="AN173" i="54"/>
  <c r="AM173" i="54"/>
  <c r="AL173" i="54"/>
  <c r="AK173" i="54"/>
  <c r="AJ173" i="54"/>
  <c r="AI173" i="54"/>
  <c r="AH173" i="54"/>
  <c r="AG173" i="54"/>
  <c r="AF173" i="54"/>
  <c r="AE173" i="54"/>
  <c r="AD173" i="54"/>
  <c r="AC173" i="54"/>
  <c r="AB173" i="54"/>
  <c r="AA173" i="54"/>
  <c r="Z173" i="54"/>
  <c r="Y173" i="54"/>
  <c r="X173" i="54"/>
  <c r="W173" i="54"/>
  <c r="V173" i="54"/>
  <c r="AO172" i="54"/>
  <c r="AN172" i="54"/>
  <c r="AM172" i="54"/>
  <c r="AL172" i="54"/>
  <c r="AK172" i="54"/>
  <c r="AJ172" i="54"/>
  <c r="AI172" i="54"/>
  <c r="AH172" i="54"/>
  <c r="AG172" i="54"/>
  <c r="AF172" i="54"/>
  <c r="AE172" i="54"/>
  <c r="AD172" i="54"/>
  <c r="AC172" i="54"/>
  <c r="AB172" i="54"/>
  <c r="AA172" i="54"/>
  <c r="Z172" i="54"/>
  <c r="Y172" i="54"/>
  <c r="X172" i="54"/>
  <c r="W172" i="54"/>
  <c r="V172" i="54"/>
  <c r="AO171" i="54"/>
  <c r="AN171" i="54"/>
  <c r="AM171" i="54"/>
  <c r="AL171" i="54"/>
  <c r="AK171" i="54"/>
  <c r="AJ171" i="54"/>
  <c r="AI171" i="54"/>
  <c r="AH171" i="54"/>
  <c r="AG171" i="54"/>
  <c r="AF171" i="54"/>
  <c r="AE171" i="54"/>
  <c r="AD171" i="54"/>
  <c r="AC171" i="54"/>
  <c r="AB171" i="54"/>
  <c r="AA171" i="54"/>
  <c r="Z171" i="54"/>
  <c r="Y171" i="54"/>
  <c r="X171" i="54"/>
  <c r="W171" i="54"/>
  <c r="V171" i="54"/>
  <c r="AO170" i="54"/>
  <c r="AN170" i="54"/>
  <c r="AM170" i="54"/>
  <c r="AL170" i="54"/>
  <c r="AK170" i="54"/>
  <c r="AJ170" i="54"/>
  <c r="AI170" i="54"/>
  <c r="AH170" i="54"/>
  <c r="AG170" i="54"/>
  <c r="AF170" i="54"/>
  <c r="AE170" i="54"/>
  <c r="AD170" i="54"/>
  <c r="AC170" i="54"/>
  <c r="AB170" i="54"/>
  <c r="AA170" i="54"/>
  <c r="Z170" i="54"/>
  <c r="Y170" i="54"/>
  <c r="X170" i="54"/>
  <c r="W170" i="54"/>
  <c r="V170" i="54"/>
  <c r="AO169" i="54"/>
  <c r="AN169" i="54"/>
  <c r="AM169" i="54"/>
  <c r="AL169" i="54"/>
  <c r="AK169" i="54"/>
  <c r="AJ169" i="54"/>
  <c r="AI169" i="54"/>
  <c r="AH169" i="54"/>
  <c r="AG169" i="54"/>
  <c r="AF169" i="54"/>
  <c r="AE169" i="54"/>
  <c r="AD169" i="54"/>
  <c r="AC169" i="54"/>
  <c r="AB169" i="54"/>
  <c r="AA169" i="54"/>
  <c r="Z169" i="54"/>
  <c r="Y169" i="54"/>
  <c r="X169" i="54"/>
  <c r="W169" i="54"/>
  <c r="V169" i="54"/>
  <c r="AO168" i="54"/>
  <c r="AN168" i="54"/>
  <c r="AM168" i="54"/>
  <c r="AL168" i="54"/>
  <c r="AK168" i="54"/>
  <c r="AJ168" i="54"/>
  <c r="AI168" i="54"/>
  <c r="AH168" i="54"/>
  <c r="AG168" i="54"/>
  <c r="AF168" i="54"/>
  <c r="AE168" i="54"/>
  <c r="AD168" i="54"/>
  <c r="AD95" i="54" s="1"/>
  <c r="AC168" i="54"/>
  <c r="AB168" i="54"/>
  <c r="AA168" i="54"/>
  <c r="Z168" i="54"/>
  <c r="Y168" i="54"/>
  <c r="X168" i="54"/>
  <c r="W168" i="54"/>
  <c r="V168" i="54"/>
  <c r="AO167" i="54"/>
  <c r="AN167" i="54"/>
  <c r="AM167" i="54"/>
  <c r="AL167" i="54"/>
  <c r="X94" i="54" s="1"/>
  <c r="AK167" i="54"/>
  <c r="AJ167" i="54"/>
  <c r="AI167" i="54"/>
  <c r="AH167" i="54"/>
  <c r="AG167" i="54"/>
  <c r="AF167" i="54"/>
  <c r="AE167" i="54"/>
  <c r="AD167" i="54"/>
  <c r="AC167" i="54"/>
  <c r="AB167" i="54"/>
  <c r="AA167" i="54"/>
  <c r="Z167" i="54"/>
  <c r="Y167" i="54"/>
  <c r="X167" i="54"/>
  <c r="W167" i="54"/>
  <c r="V167" i="54"/>
  <c r="AO166" i="54"/>
  <c r="AN166" i="54"/>
  <c r="AM166" i="54"/>
  <c r="AL166" i="54"/>
  <c r="AK166" i="54"/>
  <c r="AJ166" i="54"/>
  <c r="AI166" i="54"/>
  <c r="AH166" i="54"/>
  <c r="AG166" i="54"/>
  <c r="AF166" i="54"/>
  <c r="AE166" i="54"/>
  <c r="AD166" i="54"/>
  <c r="AC166" i="54"/>
  <c r="AB166" i="54"/>
  <c r="AA166" i="54"/>
  <c r="Z166" i="54"/>
  <c r="Y166" i="54"/>
  <c r="X166" i="54"/>
  <c r="W166" i="54"/>
  <c r="V166" i="54"/>
  <c r="AO165" i="54"/>
  <c r="AN165" i="54"/>
  <c r="AM165" i="54"/>
  <c r="AL165" i="54"/>
  <c r="AK165" i="54"/>
  <c r="AJ165" i="54"/>
  <c r="AI165" i="54"/>
  <c r="AH165" i="54"/>
  <c r="AG165" i="54"/>
  <c r="AF165" i="54"/>
  <c r="AE165" i="54"/>
  <c r="AD165" i="54"/>
  <c r="AD92" i="54" s="1"/>
  <c r="AC165" i="54"/>
  <c r="AB165" i="54"/>
  <c r="AA165" i="54"/>
  <c r="Z165" i="54"/>
  <c r="Y165" i="54"/>
  <c r="X165" i="54"/>
  <c r="W165" i="54"/>
  <c r="V165" i="54"/>
  <c r="AO164" i="54"/>
  <c r="AN164" i="54"/>
  <c r="AM164" i="54"/>
  <c r="AL164" i="54"/>
  <c r="X91" i="54" s="1"/>
  <c r="AK164" i="54"/>
  <c r="AJ164" i="54"/>
  <c r="AI164" i="54"/>
  <c r="AH164" i="54"/>
  <c r="AG164" i="54"/>
  <c r="AF164" i="54"/>
  <c r="AE164" i="54"/>
  <c r="AD164" i="54"/>
  <c r="AC164" i="54"/>
  <c r="AB164" i="54"/>
  <c r="AA164" i="54"/>
  <c r="Z164" i="54"/>
  <c r="Z91" i="54" s="1"/>
  <c r="Y164" i="54"/>
  <c r="X164" i="54"/>
  <c r="W164" i="54"/>
  <c r="V164" i="54"/>
  <c r="AO163" i="54"/>
  <c r="AN163" i="54"/>
  <c r="AM163" i="54"/>
  <c r="AL163" i="54"/>
  <c r="AK163" i="54"/>
  <c r="AJ163" i="54"/>
  <c r="AI163" i="54"/>
  <c r="AH163" i="54"/>
  <c r="AG163" i="54"/>
  <c r="AF163" i="54"/>
  <c r="AE163" i="54"/>
  <c r="AD163" i="54"/>
  <c r="AC163" i="54"/>
  <c r="AB163" i="54"/>
  <c r="AB90" i="54" s="1"/>
  <c r="AA163" i="54"/>
  <c r="Z163" i="54"/>
  <c r="Y163" i="54"/>
  <c r="X163" i="54"/>
  <c r="W163" i="54"/>
  <c r="V163" i="54"/>
  <c r="V90" i="54" s="1"/>
  <c r="AO162" i="54"/>
  <c r="AN162" i="54"/>
  <c r="AM162" i="54"/>
  <c r="AL162" i="54"/>
  <c r="AK162" i="54"/>
  <c r="AJ162" i="54"/>
  <c r="AI162" i="54"/>
  <c r="AH162" i="54"/>
  <c r="AG162" i="54"/>
  <c r="AF162" i="54"/>
  <c r="AE162" i="54"/>
  <c r="AD162" i="54"/>
  <c r="AD89" i="54" s="1"/>
  <c r="AC162" i="54"/>
  <c r="AB162" i="54"/>
  <c r="AA162" i="54"/>
  <c r="Z162" i="54"/>
  <c r="Y162" i="54"/>
  <c r="X162" i="54"/>
  <c r="W162" i="54"/>
  <c r="V162" i="54"/>
  <c r="AO161" i="54"/>
  <c r="AN161" i="54"/>
  <c r="AM161" i="54"/>
  <c r="AL161" i="54"/>
  <c r="X88" i="54" s="1"/>
  <c r="AK161" i="54"/>
  <c r="AJ161" i="54"/>
  <c r="AI161" i="54"/>
  <c r="AH161" i="54"/>
  <c r="AG161" i="54"/>
  <c r="AF161" i="54"/>
  <c r="AE161" i="54"/>
  <c r="AD161" i="54"/>
  <c r="AC161" i="54"/>
  <c r="AB161" i="54"/>
  <c r="AA161" i="54"/>
  <c r="Z161" i="54"/>
  <c r="Z88" i="54" s="1"/>
  <c r="Y161" i="54"/>
  <c r="X161" i="54"/>
  <c r="W161" i="54"/>
  <c r="V161" i="54"/>
  <c r="AO160" i="54"/>
  <c r="AN160" i="54"/>
  <c r="AM160" i="54"/>
  <c r="AL160" i="54"/>
  <c r="AK160" i="54"/>
  <c r="AJ160" i="54"/>
  <c r="AI160" i="54"/>
  <c r="AH160" i="54"/>
  <c r="AG160" i="54"/>
  <c r="AF160" i="54"/>
  <c r="AE160" i="54"/>
  <c r="AD160" i="54"/>
  <c r="AC160" i="54"/>
  <c r="AB160" i="54"/>
  <c r="AB87" i="54" s="1"/>
  <c r="AA160" i="54"/>
  <c r="Z160" i="54"/>
  <c r="Y160" i="54"/>
  <c r="X160" i="54"/>
  <c r="W160" i="54"/>
  <c r="V160" i="54"/>
  <c r="V87" i="54" s="1"/>
  <c r="AO159" i="54"/>
  <c r="AN159" i="54"/>
  <c r="AM159" i="54"/>
  <c r="AL159" i="54"/>
  <c r="AK159" i="54"/>
  <c r="AJ159" i="54"/>
  <c r="AI159" i="54"/>
  <c r="AH159" i="54"/>
  <c r="AG159" i="54"/>
  <c r="AF159" i="54"/>
  <c r="AE159" i="54"/>
  <c r="AD159" i="54"/>
  <c r="AC159" i="54"/>
  <c r="AB159" i="54"/>
  <c r="AA159" i="54"/>
  <c r="Z159" i="54"/>
  <c r="Y159" i="54"/>
  <c r="X159" i="54"/>
  <c r="W159" i="54"/>
  <c r="V159" i="54"/>
  <c r="AO158" i="54"/>
  <c r="AN158" i="54"/>
  <c r="AM158" i="54"/>
  <c r="AL158" i="54"/>
  <c r="AK158" i="54"/>
  <c r="AJ158" i="54"/>
  <c r="AI158" i="54"/>
  <c r="AH158" i="54"/>
  <c r="AG158" i="54"/>
  <c r="AF158" i="54"/>
  <c r="AE158" i="54"/>
  <c r="AD158" i="54"/>
  <c r="AC158" i="54"/>
  <c r="AB158" i="54"/>
  <c r="AA158" i="54"/>
  <c r="Z158" i="54"/>
  <c r="Y158" i="54"/>
  <c r="X158" i="54"/>
  <c r="W158" i="54"/>
  <c r="V158" i="54"/>
  <c r="AO157" i="54"/>
  <c r="AN157" i="54"/>
  <c r="AM157" i="54"/>
  <c r="AL157" i="54"/>
  <c r="AK157" i="54"/>
  <c r="AJ157" i="54"/>
  <c r="AI157" i="54"/>
  <c r="AH157" i="54"/>
  <c r="AG157" i="54"/>
  <c r="AF157" i="54"/>
  <c r="AE157" i="54"/>
  <c r="AD157" i="54"/>
  <c r="AC157" i="54"/>
  <c r="AB157" i="54"/>
  <c r="AA157" i="54"/>
  <c r="Z157" i="54"/>
  <c r="Y157" i="54"/>
  <c r="X157" i="54"/>
  <c r="W157" i="54"/>
  <c r="V157" i="54"/>
  <c r="AO156" i="54"/>
  <c r="AN156" i="54"/>
  <c r="AM156" i="54"/>
  <c r="AL156" i="54"/>
  <c r="AK156" i="54"/>
  <c r="AJ156" i="54"/>
  <c r="AI156" i="54"/>
  <c r="AH156" i="54"/>
  <c r="AG156" i="54"/>
  <c r="AF156" i="54"/>
  <c r="AE156" i="54"/>
  <c r="AD156" i="54"/>
  <c r="AC156" i="54"/>
  <c r="AB156" i="54"/>
  <c r="AA156" i="54"/>
  <c r="Z156" i="54"/>
  <c r="Y156" i="54"/>
  <c r="X156" i="54"/>
  <c r="W156" i="54"/>
  <c r="V156" i="54"/>
  <c r="AO155" i="54"/>
  <c r="AN155" i="54"/>
  <c r="AM155" i="54"/>
  <c r="AL155" i="54"/>
  <c r="AK155" i="54"/>
  <c r="AJ155" i="54"/>
  <c r="AI155" i="54"/>
  <c r="AH155" i="54"/>
  <c r="AG155" i="54"/>
  <c r="AF155" i="54"/>
  <c r="AE155" i="54"/>
  <c r="AD155" i="54"/>
  <c r="AC155" i="54"/>
  <c r="AB155" i="54"/>
  <c r="AA155" i="54"/>
  <c r="Z155" i="54"/>
  <c r="Y155" i="54"/>
  <c r="X155" i="54"/>
  <c r="W155" i="54"/>
  <c r="V155" i="54"/>
  <c r="AO154" i="54"/>
  <c r="AN154" i="54"/>
  <c r="AM154" i="54"/>
  <c r="AL154" i="54"/>
  <c r="AK154" i="54"/>
  <c r="AJ154" i="54"/>
  <c r="AI154" i="54"/>
  <c r="AH154" i="54"/>
  <c r="AG154" i="54"/>
  <c r="AF154" i="54"/>
  <c r="AE154" i="54"/>
  <c r="AD154" i="54"/>
  <c r="AC154" i="54"/>
  <c r="AB154" i="54"/>
  <c r="AA154" i="54"/>
  <c r="Z154" i="54"/>
  <c r="Y154" i="54"/>
  <c r="X154" i="54"/>
  <c r="W154" i="54"/>
  <c r="V154" i="54"/>
  <c r="AO153" i="54"/>
  <c r="AN153" i="54"/>
  <c r="AM153" i="54"/>
  <c r="AL153" i="54"/>
  <c r="AK153" i="54"/>
  <c r="AJ153" i="54"/>
  <c r="AI153" i="54"/>
  <c r="AH153" i="54"/>
  <c r="AG153" i="54"/>
  <c r="AF153" i="54"/>
  <c r="AE153" i="54"/>
  <c r="AD153" i="54"/>
  <c r="AC153" i="54"/>
  <c r="AB153" i="54"/>
  <c r="AA153" i="54"/>
  <c r="Z153" i="54"/>
  <c r="Y153" i="54"/>
  <c r="X153" i="54"/>
  <c r="W153" i="54"/>
  <c r="V153" i="54"/>
  <c r="AO152" i="54"/>
  <c r="AN152" i="54"/>
  <c r="AM152" i="54"/>
  <c r="AL152" i="54"/>
  <c r="AK152" i="54"/>
  <c r="AJ152" i="54"/>
  <c r="AI152" i="54"/>
  <c r="AH152" i="54"/>
  <c r="AG152" i="54"/>
  <c r="AF152" i="54"/>
  <c r="AE152" i="54"/>
  <c r="AD152" i="54"/>
  <c r="AC152" i="54"/>
  <c r="AB152" i="54"/>
  <c r="AA152" i="54"/>
  <c r="Z152" i="54"/>
  <c r="Y152" i="54"/>
  <c r="X152" i="54"/>
  <c r="W152" i="54"/>
  <c r="V152" i="54"/>
  <c r="AO151" i="54"/>
  <c r="AN151" i="54"/>
  <c r="AM151" i="54"/>
  <c r="AL151" i="54"/>
  <c r="AK151" i="54"/>
  <c r="AJ151" i="54"/>
  <c r="AI151" i="54"/>
  <c r="AH151" i="54"/>
  <c r="AG151" i="54"/>
  <c r="AF151" i="54"/>
  <c r="AE151" i="54"/>
  <c r="AD151" i="54"/>
  <c r="AC151" i="54"/>
  <c r="AB151" i="54"/>
  <c r="AA151" i="54"/>
  <c r="Z151" i="54"/>
  <c r="Y151" i="54"/>
  <c r="X151" i="54"/>
  <c r="W151" i="54"/>
  <c r="V151" i="54"/>
  <c r="AO150" i="54"/>
  <c r="AN150" i="54"/>
  <c r="AM150" i="54"/>
  <c r="AL150" i="54"/>
  <c r="AK150" i="54"/>
  <c r="AJ150" i="54"/>
  <c r="AI150" i="54"/>
  <c r="AH150" i="54"/>
  <c r="AG150" i="54"/>
  <c r="AF150" i="54"/>
  <c r="AE150" i="54"/>
  <c r="AD150" i="54"/>
  <c r="AC150" i="54"/>
  <c r="AB150" i="54"/>
  <c r="AA150" i="54"/>
  <c r="Z150" i="54"/>
  <c r="Y150" i="54"/>
  <c r="X150" i="54"/>
  <c r="W150" i="54"/>
  <c r="V150" i="54"/>
  <c r="AO149" i="54"/>
  <c r="AN149" i="54"/>
  <c r="AM149" i="54"/>
  <c r="AL149" i="54"/>
  <c r="AK149" i="54"/>
  <c r="AJ149" i="54"/>
  <c r="AI149" i="54"/>
  <c r="AH149" i="54"/>
  <c r="AG149" i="54"/>
  <c r="AF149" i="54"/>
  <c r="AE149" i="54"/>
  <c r="AD149" i="54"/>
  <c r="AC149" i="54"/>
  <c r="AB149" i="54"/>
  <c r="AA149" i="54"/>
  <c r="Z149" i="54"/>
  <c r="Y149" i="54"/>
  <c r="X149" i="54"/>
  <c r="W149" i="54"/>
  <c r="V149" i="54"/>
  <c r="AO148" i="54"/>
  <c r="AN148" i="54"/>
  <c r="AM148" i="54"/>
  <c r="AL148" i="54"/>
  <c r="AK148" i="54"/>
  <c r="AJ148" i="54"/>
  <c r="AI148" i="54"/>
  <c r="AH148" i="54"/>
  <c r="AG148" i="54"/>
  <c r="AF148" i="54"/>
  <c r="AE148" i="54"/>
  <c r="AD148" i="54"/>
  <c r="AC148" i="54"/>
  <c r="AB148" i="54"/>
  <c r="AA148" i="54"/>
  <c r="Z148" i="54"/>
  <c r="Y148" i="54"/>
  <c r="X148" i="54"/>
  <c r="W148" i="54"/>
  <c r="V148" i="54"/>
  <c r="AO147" i="54"/>
  <c r="AN147" i="54"/>
  <c r="AM147" i="54"/>
  <c r="AL147" i="54"/>
  <c r="AK147" i="54"/>
  <c r="AJ147" i="54"/>
  <c r="AI147" i="54"/>
  <c r="AH147" i="54"/>
  <c r="AG147" i="54"/>
  <c r="AF147" i="54"/>
  <c r="AE147" i="54"/>
  <c r="AD147" i="54"/>
  <c r="AC147" i="54"/>
  <c r="AB147" i="54"/>
  <c r="AA147" i="54"/>
  <c r="Z147" i="54"/>
  <c r="Y147" i="54"/>
  <c r="X147" i="54"/>
  <c r="W147" i="54"/>
  <c r="V147" i="54"/>
  <c r="AO146" i="54"/>
  <c r="AN146" i="54"/>
  <c r="AM146" i="54"/>
  <c r="AL146" i="54"/>
  <c r="AK146" i="54"/>
  <c r="AJ146" i="54"/>
  <c r="AI146" i="54"/>
  <c r="AH146" i="54"/>
  <c r="AG146" i="54"/>
  <c r="AF146" i="54"/>
  <c r="AE146" i="54"/>
  <c r="AD146" i="54"/>
  <c r="AC146" i="54"/>
  <c r="AB146" i="54"/>
  <c r="AA146" i="54"/>
  <c r="Z146" i="54"/>
  <c r="Y146" i="54"/>
  <c r="X146" i="54"/>
  <c r="W146" i="54"/>
  <c r="V146" i="54"/>
  <c r="AO145" i="54"/>
  <c r="AN145" i="54"/>
  <c r="AM145" i="54"/>
  <c r="AL145" i="54"/>
  <c r="AK145" i="54"/>
  <c r="AJ145" i="54"/>
  <c r="AI145" i="54"/>
  <c r="AH145" i="54"/>
  <c r="AG145" i="54"/>
  <c r="AF145" i="54"/>
  <c r="AE145" i="54"/>
  <c r="AD145" i="54"/>
  <c r="AC145" i="54"/>
  <c r="AB145" i="54"/>
  <c r="AA145" i="54"/>
  <c r="Z145" i="54"/>
  <c r="Y145" i="54"/>
  <c r="X145" i="54"/>
  <c r="W145" i="54"/>
  <c r="V145" i="54"/>
  <c r="AO144" i="54"/>
  <c r="AN144" i="54"/>
  <c r="AM144" i="54"/>
  <c r="AL144" i="54"/>
  <c r="AK144" i="54"/>
  <c r="AJ144" i="54"/>
  <c r="AI144" i="54"/>
  <c r="AH144" i="54"/>
  <c r="AG144" i="54"/>
  <c r="AF144" i="54"/>
  <c r="AE144" i="54"/>
  <c r="AD144" i="54"/>
  <c r="AC144" i="54"/>
  <c r="AB144" i="54"/>
  <c r="AA144" i="54"/>
  <c r="Z144" i="54"/>
  <c r="Y144" i="54"/>
  <c r="X144" i="54"/>
  <c r="W144" i="54"/>
  <c r="V144" i="54"/>
  <c r="AO143" i="54"/>
  <c r="AN143" i="54"/>
  <c r="AM143" i="54"/>
  <c r="AL143" i="54"/>
  <c r="AK143" i="54"/>
  <c r="AJ143" i="54"/>
  <c r="AI143" i="54"/>
  <c r="AH143" i="54"/>
  <c r="AG143" i="54"/>
  <c r="AF143" i="54"/>
  <c r="AE143" i="54"/>
  <c r="AD143" i="54"/>
  <c r="AC143" i="54"/>
  <c r="AB143" i="54"/>
  <c r="AA143" i="54"/>
  <c r="Z143" i="54"/>
  <c r="Y143" i="54"/>
  <c r="X143" i="54"/>
  <c r="W143" i="54"/>
  <c r="V143" i="54"/>
  <c r="Q143" i="54"/>
  <c r="AO142" i="54"/>
  <c r="AN142" i="54"/>
  <c r="AM142" i="54"/>
  <c r="AL142" i="54"/>
  <c r="AK142" i="54"/>
  <c r="AJ142" i="54"/>
  <c r="AI142" i="54"/>
  <c r="AH142" i="54"/>
  <c r="AG142" i="54"/>
  <c r="AF142" i="54"/>
  <c r="AE142" i="54"/>
  <c r="AD142" i="54"/>
  <c r="AC142" i="54"/>
  <c r="AB142" i="54"/>
  <c r="AA142" i="54"/>
  <c r="Z142" i="54"/>
  <c r="Y142" i="54"/>
  <c r="X142" i="54"/>
  <c r="W142" i="54"/>
  <c r="V142" i="54"/>
  <c r="Q142" i="54"/>
  <c r="AO141" i="54"/>
  <c r="AN141" i="54"/>
  <c r="AM141" i="54"/>
  <c r="AL141" i="54"/>
  <c r="AK141" i="54"/>
  <c r="AJ141" i="54"/>
  <c r="AI141" i="54"/>
  <c r="AH141" i="54"/>
  <c r="AG141" i="54"/>
  <c r="AF141" i="54"/>
  <c r="AE141" i="54"/>
  <c r="AD141" i="54"/>
  <c r="AC141" i="54"/>
  <c r="AB141" i="54"/>
  <c r="AA141" i="54"/>
  <c r="Z141" i="54"/>
  <c r="Y141" i="54"/>
  <c r="X141" i="54"/>
  <c r="W141" i="54"/>
  <c r="V141" i="54"/>
  <c r="Q141" i="54"/>
  <c r="AO140" i="54"/>
  <c r="AN140" i="54"/>
  <c r="AM140" i="54"/>
  <c r="AL140" i="54"/>
  <c r="AK140" i="54"/>
  <c r="AJ140" i="54"/>
  <c r="AI140" i="54"/>
  <c r="AH140" i="54"/>
  <c r="AG140" i="54"/>
  <c r="AF140" i="54"/>
  <c r="AE140" i="54"/>
  <c r="AD140" i="54"/>
  <c r="AC140" i="54"/>
  <c r="AB140" i="54"/>
  <c r="AA140" i="54"/>
  <c r="Z140" i="54"/>
  <c r="Y140" i="54"/>
  <c r="X140" i="54"/>
  <c r="W140" i="54"/>
  <c r="V140" i="54"/>
  <c r="Q140" i="54"/>
  <c r="AO139" i="54"/>
  <c r="AN139" i="54"/>
  <c r="AM139" i="54"/>
  <c r="AL139" i="54"/>
  <c r="AK139" i="54"/>
  <c r="AJ139" i="54"/>
  <c r="AI139" i="54"/>
  <c r="AH139" i="54"/>
  <c r="AG139" i="54"/>
  <c r="AF139" i="54"/>
  <c r="AE139" i="54"/>
  <c r="AD139" i="54"/>
  <c r="AC139" i="54"/>
  <c r="AB139" i="54"/>
  <c r="AA139" i="54"/>
  <c r="Z139" i="54"/>
  <c r="Y139" i="54"/>
  <c r="X139" i="54"/>
  <c r="W139" i="54"/>
  <c r="V139" i="54"/>
  <c r="Q139" i="54"/>
  <c r="AO138" i="54"/>
  <c r="AN138" i="54"/>
  <c r="AM138" i="54"/>
  <c r="AL138" i="54"/>
  <c r="AK138" i="54"/>
  <c r="AJ138" i="54"/>
  <c r="AI138" i="54"/>
  <c r="AH138" i="54"/>
  <c r="AG138" i="54"/>
  <c r="AF138" i="54"/>
  <c r="AE138" i="54"/>
  <c r="AD138" i="54"/>
  <c r="AC138" i="54"/>
  <c r="AB138" i="54"/>
  <c r="AA138" i="54"/>
  <c r="Z138" i="54"/>
  <c r="Y138" i="54"/>
  <c r="X138" i="54"/>
  <c r="W138" i="54"/>
  <c r="V138" i="54"/>
  <c r="Q138" i="54"/>
  <c r="AO137" i="54"/>
  <c r="AN137" i="54"/>
  <c r="AM137" i="54"/>
  <c r="AL137" i="54"/>
  <c r="AK137" i="54"/>
  <c r="AJ137" i="54"/>
  <c r="AI137" i="54"/>
  <c r="AH137" i="54"/>
  <c r="AG137" i="54"/>
  <c r="AF137" i="54"/>
  <c r="AE137" i="54"/>
  <c r="AD137" i="54"/>
  <c r="AC137" i="54"/>
  <c r="AB137" i="54"/>
  <c r="AA137" i="54"/>
  <c r="Z137" i="54"/>
  <c r="Y137" i="54"/>
  <c r="X137" i="54"/>
  <c r="W137" i="54"/>
  <c r="V137" i="54"/>
  <c r="Q137" i="54"/>
  <c r="AO136" i="54"/>
  <c r="AN136" i="54"/>
  <c r="AM136" i="54"/>
  <c r="AL136" i="54"/>
  <c r="AK136" i="54"/>
  <c r="AJ136" i="54"/>
  <c r="AI136" i="54"/>
  <c r="AH136" i="54"/>
  <c r="AG136" i="54"/>
  <c r="AF136" i="54"/>
  <c r="AE136" i="54"/>
  <c r="AD136" i="54"/>
  <c r="AC136" i="54"/>
  <c r="AB136" i="54"/>
  <c r="AA136" i="54"/>
  <c r="Z136" i="54"/>
  <c r="Y136" i="54"/>
  <c r="X136" i="54"/>
  <c r="W136" i="54"/>
  <c r="V136" i="54"/>
  <c r="Q136" i="54"/>
  <c r="AO135" i="54"/>
  <c r="AN135" i="54"/>
  <c r="AM135" i="54"/>
  <c r="AL135" i="54"/>
  <c r="AK135" i="54"/>
  <c r="AJ135" i="54"/>
  <c r="AI135" i="54"/>
  <c r="AH135" i="54"/>
  <c r="AG135" i="54"/>
  <c r="AF135" i="54"/>
  <c r="AE135" i="54"/>
  <c r="AD135" i="54"/>
  <c r="AC135" i="54"/>
  <c r="AB135" i="54"/>
  <c r="AA135" i="54"/>
  <c r="Z135" i="54"/>
  <c r="Y135" i="54"/>
  <c r="X135" i="54"/>
  <c r="W135" i="54"/>
  <c r="V135" i="54"/>
  <c r="Q135" i="54"/>
  <c r="AO134" i="54"/>
  <c r="AN134" i="54"/>
  <c r="AM134" i="54"/>
  <c r="AL134" i="54"/>
  <c r="AK134" i="54"/>
  <c r="AJ134" i="54"/>
  <c r="AI134" i="54"/>
  <c r="AH134" i="54"/>
  <c r="AG134" i="54"/>
  <c r="AF134" i="54"/>
  <c r="AE134" i="54"/>
  <c r="AD134" i="54"/>
  <c r="AC134" i="54"/>
  <c r="AB134" i="54"/>
  <c r="AA134" i="54"/>
  <c r="Z134" i="54"/>
  <c r="Y134" i="54"/>
  <c r="X134" i="54"/>
  <c r="W134" i="54"/>
  <c r="V134" i="54"/>
  <c r="Q134" i="54"/>
  <c r="AO133" i="54"/>
  <c r="AN133" i="54"/>
  <c r="AM133" i="54"/>
  <c r="AL133" i="54"/>
  <c r="AK133" i="54"/>
  <c r="AJ133" i="54"/>
  <c r="AI133" i="54"/>
  <c r="AH133" i="54"/>
  <c r="AG133" i="54"/>
  <c r="AF133" i="54"/>
  <c r="AE133" i="54"/>
  <c r="AD133" i="54"/>
  <c r="AC133" i="54"/>
  <c r="AB133" i="54"/>
  <c r="AA133" i="54"/>
  <c r="Z133" i="54"/>
  <c r="Y133" i="54"/>
  <c r="X133" i="54"/>
  <c r="W133" i="54"/>
  <c r="V133" i="54"/>
  <c r="Q133" i="54"/>
  <c r="AO132" i="54"/>
  <c r="AN132" i="54"/>
  <c r="AM132" i="54"/>
  <c r="AL132" i="54"/>
  <c r="AK132" i="54"/>
  <c r="AJ132" i="54"/>
  <c r="AI132" i="54"/>
  <c r="AH132" i="54"/>
  <c r="AG132" i="54"/>
  <c r="AF132" i="54"/>
  <c r="AE132" i="54"/>
  <c r="AD132" i="54"/>
  <c r="AC132" i="54"/>
  <c r="AB132" i="54"/>
  <c r="AA132" i="54"/>
  <c r="Z132" i="54"/>
  <c r="Y132" i="54"/>
  <c r="X132" i="54"/>
  <c r="W132" i="54"/>
  <c r="V132" i="54"/>
  <c r="Q132" i="54"/>
  <c r="AO131" i="54"/>
  <c r="AN131" i="54"/>
  <c r="AM131" i="54"/>
  <c r="AL131" i="54"/>
  <c r="AK131" i="54"/>
  <c r="AJ131" i="54"/>
  <c r="AI131" i="54"/>
  <c r="AH131" i="54"/>
  <c r="AG131" i="54"/>
  <c r="AF131" i="54"/>
  <c r="AE131" i="54"/>
  <c r="AD131" i="54"/>
  <c r="AC131" i="54"/>
  <c r="AB131" i="54"/>
  <c r="AA131" i="54"/>
  <c r="Z131" i="54"/>
  <c r="Y131" i="54"/>
  <c r="X131" i="54"/>
  <c r="W131" i="54"/>
  <c r="V131" i="54"/>
  <c r="Q131" i="54"/>
  <c r="AO130" i="54"/>
  <c r="AN130" i="54"/>
  <c r="AM130" i="54"/>
  <c r="AL130" i="54"/>
  <c r="AK130" i="54"/>
  <c r="AJ130" i="54"/>
  <c r="AI130" i="54"/>
  <c r="AH130" i="54"/>
  <c r="AG130" i="54"/>
  <c r="AF130" i="54"/>
  <c r="AE130" i="54"/>
  <c r="AD130" i="54"/>
  <c r="AC130" i="54"/>
  <c r="AB130" i="54"/>
  <c r="AA130" i="54"/>
  <c r="Z130" i="54"/>
  <c r="Y130" i="54"/>
  <c r="X130" i="54"/>
  <c r="W130" i="54"/>
  <c r="V130" i="54"/>
  <c r="Q130" i="54"/>
  <c r="AO129" i="54"/>
  <c r="AN129" i="54"/>
  <c r="AM129" i="54"/>
  <c r="AL129" i="54"/>
  <c r="AK129" i="54"/>
  <c r="AJ129" i="54"/>
  <c r="AI129" i="54"/>
  <c r="AH129" i="54"/>
  <c r="AG129" i="54"/>
  <c r="AF129" i="54"/>
  <c r="AE129" i="54"/>
  <c r="AD129" i="54"/>
  <c r="AC129" i="54"/>
  <c r="AB129" i="54"/>
  <c r="AA129" i="54"/>
  <c r="Z129" i="54"/>
  <c r="Y129" i="54"/>
  <c r="X129" i="54"/>
  <c r="W129" i="54"/>
  <c r="V129" i="54"/>
  <c r="Q129" i="54"/>
  <c r="AO128" i="54"/>
  <c r="AN128" i="54"/>
  <c r="AM128" i="54"/>
  <c r="AL128" i="54"/>
  <c r="AK128" i="54"/>
  <c r="AJ128" i="54"/>
  <c r="AI128" i="54"/>
  <c r="AH128" i="54"/>
  <c r="AG128" i="54"/>
  <c r="AF128" i="54"/>
  <c r="AE128" i="54"/>
  <c r="AD128" i="54"/>
  <c r="AC128" i="54"/>
  <c r="AB128" i="54"/>
  <c r="AA128" i="54"/>
  <c r="Z128" i="54"/>
  <c r="Y128" i="54"/>
  <c r="X128" i="54"/>
  <c r="W128" i="54"/>
  <c r="V128" i="54"/>
  <c r="Q128" i="54"/>
  <c r="AO127" i="54"/>
  <c r="AN127" i="54"/>
  <c r="AM127" i="54"/>
  <c r="AL127" i="54"/>
  <c r="AK127" i="54"/>
  <c r="AJ127" i="54"/>
  <c r="AI127" i="54"/>
  <c r="AH127" i="54"/>
  <c r="AG127" i="54"/>
  <c r="AF127" i="54"/>
  <c r="AE127" i="54"/>
  <c r="AD127" i="54"/>
  <c r="AC127" i="54"/>
  <c r="AB127" i="54"/>
  <c r="AA127" i="54"/>
  <c r="Z127" i="54"/>
  <c r="Y127" i="54"/>
  <c r="X127" i="54"/>
  <c r="W127" i="54"/>
  <c r="V127" i="54"/>
  <c r="Q127" i="54"/>
  <c r="AO126" i="54"/>
  <c r="AN126" i="54"/>
  <c r="AM126" i="54"/>
  <c r="AL126" i="54"/>
  <c r="AK126" i="54"/>
  <c r="AJ126" i="54"/>
  <c r="AI126" i="54"/>
  <c r="AH126" i="54"/>
  <c r="AG126" i="54"/>
  <c r="AF126" i="54"/>
  <c r="AE126" i="54"/>
  <c r="AD126" i="54"/>
  <c r="AC126" i="54"/>
  <c r="AB126" i="54"/>
  <c r="AA126" i="54"/>
  <c r="Z126" i="54"/>
  <c r="Y126" i="54"/>
  <c r="X126" i="54"/>
  <c r="W126" i="54"/>
  <c r="V126" i="54"/>
  <c r="Q126" i="54"/>
  <c r="AO125" i="54"/>
  <c r="AN125" i="54"/>
  <c r="AM125" i="54"/>
  <c r="AL125" i="54"/>
  <c r="AK125" i="54"/>
  <c r="AJ125" i="54"/>
  <c r="AI125" i="54"/>
  <c r="AH125" i="54"/>
  <c r="AG125" i="54"/>
  <c r="AF125" i="54"/>
  <c r="AE125" i="54"/>
  <c r="AD125" i="54"/>
  <c r="AC125" i="54"/>
  <c r="AB125" i="54"/>
  <c r="AA125" i="54"/>
  <c r="Z125" i="54"/>
  <c r="Y125" i="54"/>
  <c r="X125" i="54"/>
  <c r="W125" i="54"/>
  <c r="V125" i="54"/>
  <c r="Q125" i="54"/>
  <c r="AO124" i="54"/>
  <c r="AN124" i="54"/>
  <c r="AM124" i="54"/>
  <c r="AL124" i="54"/>
  <c r="AK124" i="54"/>
  <c r="AJ124" i="54"/>
  <c r="AI124" i="54"/>
  <c r="AH124" i="54"/>
  <c r="AG124" i="54"/>
  <c r="AF124" i="54"/>
  <c r="AE124" i="54"/>
  <c r="AD124" i="54"/>
  <c r="AC124" i="54"/>
  <c r="AB124" i="54"/>
  <c r="AA124" i="54"/>
  <c r="Z124" i="54"/>
  <c r="Y124" i="54"/>
  <c r="X124" i="54"/>
  <c r="W124" i="54"/>
  <c r="V124" i="54"/>
  <c r="Q124" i="54"/>
  <c r="AO123" i="54"/>
  <c r="AN123" i="54"/>
  <c r="AM123" i="54"/>
  <c r="AL123" i="54"/>
  <c r="AK123" i="54"/>
  <c r="AJ123" i="54"/>
  <c r="AI123" i="54"/>
  <c r="AH123" i="54"/>
  <c r="AG123" i="54"/>
  <c r="AF123" i="54"/>
  <c r="AE123" i="54"/>
  <c r="AD123" i="54"/>
  <c r="AC123" i="54"/>
  <c r="AB123" i="54"/>
  <c r="AA123" i="54"/>
  <c r="Z123" i="54"/>
  <c r="Y123" i="54"/>
  <c r="X123" i="54"/>
  <c r="W123" i="54"/>
  <c r="V123" i="54"/>
  <c r="Q123" i="54"/>
  <c r="AO122" i="54"/>
  <c r="AN122" i="54"/>
  <c r="AM122" i="54"/>
  <c r="AL122" i="54"/>
  <c r="AK122" i="54"/>
  <c r="AJ122" i="54"/>
  <c r="AI122" i="54"/>
  <c r="AH122" i="54"/>
  <c r="AG122" i="54"/>
  <c r="AF122" i="54"/>
  <c r="AE122" i="54"/>
  <c r="AD122" i="54"/>
  <c r="AC122" i="54"/>
  <c r="AB122" i="54"/>
  <c r="AA122" i="54"/>
  <c r="Z122" i="54"/>
  <c r="Y122" i="54"/>
  <c r="X122" i="54"/>
  <c r="W122" i="54"/>
  <c r="V122" i="54"/>
  <c r="Q122" i="54"/>
  <c r="AO121" i="54"/>
  <c r="AN121" i="54"/>
  <c r="AM121" i="54"/>
  <c r="AL121" i="54"/>
  <c r="AK121" i="54"/>
  <c r="AJ121" i="54"/>
  <c r="AI121" i="54"/>
  <c r="AH121" i="54"/>
  <c r="AG121" i="54"/>
  <c r="AF121" i="54"/>
  <c r="AE121" i="54"/>
  <c r="AD121" i="54"/>
  <c r="AC121" i="54"/>
  <c r="AB121" i="54"/>
  <c r="AA121" i="54"/>
  <c r="Z121" i="54"/>
  <c r="Y121" i="54"/>
  <c r="X121" i="54"/>
  <c r="W121" i="54"/>
  <c r="V121" i="54"/>
  <c r="Q121" i="54"/>
  <c r="AO120" i="54"/>
  <c r="AN120" i="54"/>
  <c r="AM120" i="54"/>
  <c r="AL120" i="54"/>
  <c r="AK120" i="54"/>
  <c r="AJ120" i="54"/>
  <c r="AI120" i="54"/>
  <c r="AH120" i="54"/>
  <c r="AG120" i="54"/>
  <c r="AF120" i="54"/>
  <c r="AE120" i="54"/>
  <c r="AD120" i="54"/>
  <c r="AC120" i="54"/>
  <c r="AB120" i="54"/>
  <c r="AA120" i="54"/>
  <c r="Z120" i="54"/>
  <c r="Y120" i="54"/>
  <c r="X120" i="54"/>
  <c r="W120" i="54"/>
  <c r="V120" i="54"/>
  <c r="Q120" i="54"/>
  <c r="AO119" i="54"/>
  <c r="AN119" i="54"/>
  <c r="AM119" i="54"/>
  <c r="AL119" i="54"/>
  <c r="AK119" i="54"/>
  <c r="AJ119" i="54"/>
  <c r="AI119" i="54"/>
  <c r="AH119" i="54"/>
  <c r="AG119" i="54"/>
  <c r="AF119" i="54"/>
  <c r="AE119" i="54"/>
  <c r="AD119" i="54"/>
  <c r="AC119" i="54"/>
  <c r="AB119" i="54"/>
  <c r="AA119" i="54"/>
  <c r="Z119" i="54"/>
  <c r="Y119" i="54"/>
  <c r="X119" i="54"/>
  <c r="W119" i="54"/>
  <c r="V119" i="54"/>
  <c r="Q119" i="54"/>
  <c r="AO118" i="54"/>
  <c r="AN118" i="54"/>
  <c r="AM118" i="54"/>
  <c r="AL118" i="54"/>
  <c r="AK118" i="54"/>
  <c r="AJ118" i="54"/>
  <c r="AI118" i="54"/>
  <c r="AH118" i="54"/>
  <c r="AG118" i="54"/>
  <c r="AF118" i="54"/>
  <c r="AE118" i="54"/>
  <c r="AD118" i="54"/>
  <c r="AC118" i="54"/>
  <c r="AB118" i="54"/>
  <c r="AA118" i="54"/>
  <c r="Z118" i="54"/>
  <c r="Y118" i="54"/>
  <c r="X118" i="54"/>
  <c r="W118" i="54"/>
  <c r="V118" i="54"/>
  <c r="Q118" i="54"/>
  <c r="AO117" i="54"/>
  <c r="AN117" i="54"/>
  <c r="AM117" i="54"/>
  <c r="AL117" i="54"/>
  <c r="AK117" i="54"/>
  <c r="AJ117" i="54"/>
  <c r="AI117" i="54"/>
  <c r="AH117" i="54"/>
  <c r="AG117" i="54"/>
  <c r="AF117" i="54"/>
  <c r="AE117" i="54"/>
  <c r="AD117" i="54"/>
  <c r="AC117" i="54"/>
  <c r="AB117" i="54"/>
  <c r="AA117" i="54"/>
  <c r="Z117" i="54"/>
  <c r="Y117" i="54"/>
  <c r="X117" i="54"/>
  <c r="W117" i="54"/>
  <c r="V117" i="54"/>
  <c r="Q117" i="54"/>
  <c r="AO116" i="54"/>
  <c r="AN116" i="54"/>
  <c r="AM116" i="54"/>
  <c r="AL116" i="54"/>
  <c r="AK116" i="54"/>
  <c r="AJ116" i="54"/>
  <c r="AI116" i="54"/>
  <c r="AH116" i="54"/>
  <c r="AG116" i="54"/>
  <c r="AF116" i="54"/>
  <c r="AE116" i="54"/>
  <c r="AD116" i="54"/>
  <c r="AC116" i="54"/>
  <c r="AB116" i="54"/>
  <c r="AA116" i="54"/>
  <c r="Z116" i="54"/>
  <c r="Y116" i="54"/>
  <c r="X116" i="54"/>
  <c r="W116" i="54"/>
  <c r="V116" i="54"/>
  <c r="AO115" i="54"/>
  <c r="AN115" i="54"/>
  <c r="AM115" i="54"/>
  <c r="AL115" i="54"/>
  <c r="AK115" i="54"/>
  <c r="AJ115" i="54"/>
  <c r="AI115" i="54"/>
  <c r="AH115" i="54"/>
  <c r="AG115" i="54"/>
  <c r="AF115" i="54"/>
  <c r="AE115" i="54"/>
  <c r="AD115" i="54"/>
  <c r="AC115" i="54"/>
  <c r="AB115" i="54"/>
  <c r="AA115" i="54"/>
  <c r="Z115" i="54"/>
  <c r="Y115" i="54"/>
  <c r="X115" i="54"/>
  <c r="W115" i="54"/>
  <c r="V115" i="54"/>
  <c r="AO114" i="54"/>
  <c r="AN114" i="54"/>
  <c r="AM114" i="54"/>
  <c r="AL114" i="54"/>
  <c r="AK114" i="54"/>
  <c r="AJ114" i="54"/>
  <c r="AI114" i="54"/>
  <c r="AH114" i="54"/>
  <c r="AG114" i="54"/>
  <c r="AF114" i="54"/>
  <c r="AE114" i="54"/>
  <c r="AD114" i="54"/>
  <c r="AC114" i="54"/>
  <c r="AB114" i="54"/>
  <c r="AA114" i="54"/>
  <c r="Z114" i="54"/>
  <c r="Y114" i="54"/>
  <c r="X114" i="54"/>
  <c r="W114" i="54"/>
  <c r="V114" i="54"/>
  <c r="AO113" i="54"/>
  <c r="AN113" i="54"/>
  <c r="AM113" i="54"/>
  <c r="AL113" i="54"/>
  <c r="AK113" i="54"/>
  <c r="AJ113" i="54"/>
  <c r="AI113" i="54"/>
  <c r="AH113" i="54"/>
  <c r="AG113" i="54"/>
  <c r="AF113" i="54"/>
  <c r="AE113" i="54"/>
  <c r="AD113" i="54"/>
  <c r="AC113" i="54"/>
  <c r="AB113" i="54"/>
  <c r="AA113" i="54"/>
  <c r="Z113" i="54"/>
  <c r="Y113" i="54"/>
  <c r="X113" i="54"/>
  <c r="W113" i="54"/>
  <c r="V113" i="54"/>
  <c r="AO112" i="54"/>
  <c r="AN112" i="54"/>
  <c r="AM112" i="54"/>
  <c r="AL112" i="54"/>
  <c r="AK112" i="54"/>
  <c r="AJ112" i="54"/>
  <c r="AI112" i="54"/>
  <c r="AH112" i="54"/>
  <c r="AG112" i="54"/>
  <c r="AF112" i="54"/>
  <c r="AE112" i="54"/>
  <c r="AD112" i="54"/>
  <c r="AC112" i="54"/>
  <c r="AB112" i="54"/>
  <c r="AA112" i="54"/>
  <c r="Z112" i="54"/>
  <c r="Y112" i="54"/>
  <c r="X112" i="54"/>
  <c r="W112" i="54"/>
  <c r="V112" i="54"/>
  <c r="AO111" i="54"/>
  <c r="AN111" i="54"/>
  <c r="AM111" i="54"/>
  <c r="AL111" i="54"/>
  <c r="AK111" i="54"/>
  <c r="AJ111" i="54"/>
  <c r="AI111" i="54"/>
  <c r="AH111" i="54"/>
  <c r="AG111" i="54"/>
  <c r="AF111" i="54"/>
  <c r="AE111" i="54"/>
  <c r="AD111" i="54"/>
  <c r="AC111" i="54"/>
  <c r="AB111" i="54"/>
  <c r="AA111" i="54"/>
  <c r="Z111" i="54"/>
  <c r="Y111" i="54"/>
  <c r="X111" i="54"/>
  <c r="W111" i="54"/>
  <c r="V111" i="54"/>
  <c r="AO110" i="54"/>
  <c r="AN110" i="54"/>
  <c r="AM110" i="54"/>
  <c r="AL110" i="54"/>
  <c r="AK110" i="54"/>
  <c r="AJ110" i="54"/>
  <c r="AI110" i="54"/>
  <c r="AH110" i="54"/>
  <c r="AG110" i="54"/>
  <c r="AF110" i="54"/>
  <c r="AE110" i="54"/>
  <c r="AD110" i="54"/>
  <c r="AC110" i="54"/>
  <c r="AB110" i="54"/>
  <c r="AA110" i="54"/>
  <c r="Z110" i="54"/>
  <c r="Y110" i="54"/>
  <c r="X110" i="54"/>
  <c r="W110" i="54"/>
  <c r="V110" i="54"/>
  <c r="AO109" i="54"/>
  <c r="AN109" i="54"/>
  <c r="AM109" i="54"/>
  <c r="AL109" i="54"/>
  <c r="AK109" i="54"/>
  <c r="AJ109" i="54"/>
  <c r="AI109" i="54"/>
  <c r="AH109" i="54"/>
  <c r="AG109" i="54"/>
  <c r="AF109" i="54"/>
  <c r="AE109" i="54"/>
  <c r="AD109" i="54"/>
  <c r="AC109" i="54"/>
  <c r="AB109" i="54"/>
  <c r="AA109" i="54"/>
  <c r="Z109" i="54"/>
  <c r="Y109" i="54"/>
  <c r="X109" i="54"/>
  <c r="W109" i="54"/>
  <c r="V109" i="54"/>
  <c r="AO108" i="54"/>
  <c r="AN108" i="54"/>
  <c r="AM108" i="54"/>
  <c r="AL108" i="54"/>
  <c r="AK108" i="54"/>
  <c r="AJ108" i="54"/>
  <c r="AI108" i="54"/>
  <c r="AH108" i="54"/>
  <c r="AG108" i="54"/>
  <c r="AF108" i="54"/>
  <c r="AE108" i="54"/>
  <c r="AD108" i="54"/>
  <c r="AC108" i="54"/>
  <c r="AB108" i="54"/>
  <c r="AA108" i="54"/>
  <c r="Z108" i="54"/>
  <c r="Y108" i="54"/>
  <c r="X108" i="54"/>
  <c r="W108" i="54"/>
  <c r="V108" i="54"/>
  <c r="AO107" i="54"/>
  <c r="AN107" i="54"/>
  <c r="AM107" i="54"/>
  <c r="AL107" i="54"/>
  <c r="AK107" i="54"/>
  <c r="AJ107" i="54"/>
  <c r="AI107" i="54"/>
  <c r="AH107" i="54"/>
  <c r="AG107" i="54"/>
  <c r="AF107" i="54"/>
  <c r="AE107" i="54"/>
  <c r="AD107" i="54"/>
  <c r="AC107" i="54"/>
  <c r="AB107" i="54"/>
  <c r="AA107" i="54"/>
  <c r="Z107" i="54"/>
  <c r="Y107" i="54"/>
  <c r="X107" i="54"/>
  <c r="W107" i="54"/>
  <c r="V107" i="54"/>
  <c r="AO106" i="54"/>
  <c r="AN106" i="54"/>
  <c r="AM106" i="54"/>
  <c r="AL106" i="54"/>
  <c r="AK106" i="54"/>
  <c r="AJ106" i="54"/>
  <c r="AI106" i="54"/>
  <c r="AH106" i="54"/>
  <c r="AG106" i="54"/>
  <c r="AF106" i="54"/>
  <c r="AE106" i="54"/>
  <c r="AD106" i="54"/>
  <c r="AC106" i="54"/>
  <c r="AB106" i="54"/>
  <c r="AA106" i="54"/>
  <c r="Z106" i="54"/>
  <c r="Y106" i="54"/>
  <c r="X106" i="54"/>
  <c r="W106" i="54"/>
  <c r="V106" i="54"/>
  <c r="AO105" i="54"/>
  <c r="AN105" i="54"/>
  <c r="AM105" i="54"/>
  <c r="AL105" i="54"/>
  <c r="AK105" i="54"/>
  <c r="AJ105" i="54"/>
  <c r="AI105" i="54"/>
  <c r="AH105" i="54"/>
  <c r="AG105" i="54"/>
  <c r="AF105" i="54"/>
  <c r="AE105" i="54"/>
  <c r="AD105" i="54"/>
  <c r="AC105" i="54"/>
  <c r="AB105" i="54"/>
  <c r="AA105" i="54"/>
  <c r="Z105" i="54"/>
  <c r="Y105" i="54"/>
  <c r="X105" i="54"/>
  <c r="W105" i="54"/>
  <c r="V105" i="54"/>
  <c r="X210" i="54" s="1"/>
  <c r="AC210" i="54" s="1"/>
  <c r="AO104" i="54"/>
  <c r="AN104" i="54"/>
  <c r="AM104" i="54"/>
  <c r="AL104" i="54"/>
  <c r="AK104" i="54"/>
  <c r="AJ104" i="54"/>
  <c r="AI104" i="54"/>
  <c r="AH104" i="54"/>
  <c r="AG104" i="54"/>
  <c r="AF104" i="54"/>
  <c r="AE104" i="54"/>
  <c r="AD104" i="54"/>
  <c r="AC104" i="54"/>
  <c r="AB104" i="54"/>
  <c r="AA104" i="54"/>
  <c r="Z104" i="54"/>
  <c r="Y104" i="54"/>
  <c r="X104" i="54"/>
  <c r="W104" i="54"/>
  <c r="V104" i="54"/>
  <c r="AO103" i="54"/>
  <c r="AN103" i="54"/>
  <c r="AM103" i="54"/>
  <c r="AL103" i="54"/>
  <c r="AK103" i="54"/>
  <c r="AJ103" i="54"/>
  <c r="AI103" i="54"/>
  <c r="AH103" i="54"/>
  <c r="AG103" i="54"/>
  <c r="AF103" i="54"/>
  <c r="AE103" i="54"/>
  <c r="AD103" i="54"/>
  <c r="AC103" i="54"/>
  <c r="AB103" i="54"/>
  <c r="AA103" i="54"/>
  <c r="Z103" i="54"/>
  <c r="Y103" i="54"/>
  <c r="X103" i="54"/>
  <c r="W103" i="54"/>
  <c r="V103" i="54"/>
  <c r="AO102" i="54"/>
  <c r="AN102" i="54"/>
  <c r="AM102" i="54"/>
  <c r="AL102" i="54"/>
  <c r="AK102" i="54"/>
  <c r="AJ102" i="54"/>
  <c r="AI102" i="54"/>
  <c r="AH102" i="54"/>
  <c r="AG102" i="54"/>
  <c r="AF102" i="54"/>
  <c r="AE102" i="54"/>
  <c r="AD102" i="54"/>
  <c r="AC102" i="54"/>
  <c r="AB102" i="54"/>
  <c r="AA102" i="54"/>
  <c r="Z102" i="54"/>
  <c r="Y102" i="54"/>
  <c r="X102" i="54"/>
  <c r="W102" i="54"/>
  <c r="V102" i="54"/>
  <c r="AO101" i="54"/>
  <c r="AN101" i="54"/>
  <c r="AM101" i="54"/>
  <c r="AL101" i="54"/>
  <c r="AK101" i="54"/>
  <c r="AJ101" i="54"/>
  <c r="AI101" i="54"/>
  <c r="AH101" i="54"/>
  <c r="AG101" i="54"/>
  <c r="AF101" i="54"/>
  <c r="AE101" i="54"/>
  <c r="AD101" i="54"/>
  <c r="AC101" i="54"/>
  <c r="AB101" i="54"/>
  <c r="AA101" i="54"/>
  <c r="Z101" i="54"/>
  <c r="Y101" i="54"/>
  <c r="X101" i="54"/>
  <c r="W101" i="54"/>
  <c r="V101" i="54"/>
  <c r="AO100" i="54"/>
  <c r="AN100" i="54"/>
  <c r="AM100" i="54"/>
  <c r="AL100" i="54"/>
  <c r="AK100" i="54"/>
  <c r="AJ100" i="54"/>
  <c r="AI100" i="54"/>
  <c r="AH100" i="54"/>
  <c r="AG100" i="54"/>
  <c r="AF100" i="54"/>
  <c r="AE100" i="54"/>
  <c r="AD100" i="54"/>
  <c r="AC100" i="54"/>
  <c r="AB100" i="54"/>
  <c r="AA100" i="54"/>
  <c r="Z100" i="54"/>
  <c r="Y100" i="54"/>
  <c r="X100" i="54"/>
  <c r="W100" i="54"/>
  <c r="V100" i="54"/>
  <c r="AE95" i="54"/>
  <c r="AC95" i="54"/>
  <c r="AB95" i="54"/>
  <c r="AA95" i="54"/>
  <c r="Z95" i="54"/>
  <c r="Y95" i="54"/>
  <c r="X95" i="54"/>
  <c r="W95" i="54"/>
  <c r="V95" i="54"/>
  <c r="AD94" i="54"/>
  <c r="AC94" i="54"/>
  <c r="AB94" i="54"/>
  <c r="AE94" i="54" s="1"/>
  <c r="AA94" i="54"/>
  <c r="Z94" i="54"/>
  <c r="Y94" i="54"/>
  <c r="W94" i="54"/>
  <c r="V94" i="54"/>
  <c r="AD93" i="54"/>
  <c r="AC93" i="54"/>
  <c r="AB93" i="54"/>
  <c r="AE93" i="54" s="1"/>
  <c r="AA93" i="54"/>
  <c r="Z93" i="54"/>
  <c r="Y93" i="54"/>
  <c r="X93" i="54"/>
  <c r="W93" i="54"/>
  <c r="V93" i="54"/>
  <c r="AC92" i="54"/>
  <c r="AB92" i="54"/>
  <c r="AE92" i="54" s="1"/>
  <c r="AA92" i="54"/>
  <c r="Z92" i="54"/>
  <c r="Y92" i="54"/>
  <c r="X92" i="54"/>
  <c r="W92" i="54"/>
  <c r="V92" i="54"/>
  <c r="AD91" i="54"/>
  <c r="AC91" i="54"/>
  <c r="AE91" i="54" s="1"/>
  <c r="AB91" i="54"/>
  <c r="AA91" i="54"/>
  <c r="Y91" i="54"/>
  <c r="W91" i="54"/>
  <c r="V91" i="54"/>
  <c r="AD90" i="54"/>
  <c r="AC90" i="54"/>
  <c r="AA90" i="54"/>
  <c r="Z90" i="54"/>
  <c r="Y90" i="54"/>
  <c r="X90" i="54"/>
  <c r="W90" i="54"/>
  <c r="AC89" i="54"/>
  <c r="AE89" i="54" s="1"/>
  <c r="AB89" i="54"/>
  <c r="AA89" i="54"/>
  <c r="Z89" i="54"/>
  <c r="Y89" i="54"/>
  <c r="X89" i="54"/>
  <c r="W89" i="54"/>
  <c r="V89" i="54"/>
  <c r="AD88" i="54"/>
  <c r="AC88" i="54"/>
  <c r="AB88" i="54"/>
  <c r="AE88" i="54" s="1"/>
  <c r="AA88" i="54"/>
  <c r="Y88" i="54"/>
  <c r="W88" i="54"/>
  <c r="V88" i="54"/>
  <c r="AD87" i="54"/>
  <c r="AC87" i="54"/>
  <c r="AA87" i="54"/>
  <c r="Z87" i="54"/>
  <c r="Y87" i="54"/>
  <c r="X87" i="54"/>
  <c r="W87" i="54"/>
  <c r="B85" i="54"/>
  <c r="Z82" i="54"/>
  <c r="Y82" i="54"/>
  <c r="X82" i="54"/>
  <c r="W82" i="54"/>
  <c r="V82" i="54"/>
  <c r="Z81" i="54"/>
  <c r="Y81" i="54"/>
  <c r="X81" i="54"/>
  <c r="W81" i="54"/>
  <c r="V81" i="54"/>
  <c r="Z80" i="54"/>
  <c r="Y80" i="54"/>
  <c r="X80" i="54"/>
  <c r="W80" i="54"/>
  <c r="V80" i="54"/>
  <c r="Z79" i="54"/>
  <c r="Y79" i="54"/>
  <c r="X79" i="54"/>
  <c r="W79" i="54"/>
  <c r="V79" i="54"/>
  <c r="Z78" i="54"/>
  <c r="Y78" i="54"/>
  <c r="X78" i="54"/>
  <c r="W78" i="54"/>
  <c r="V78" i="54"/>
  <c r="Z77" i="54"/>
  <c r="Y77" i="54"/>
  <c r="X77" i="54"/>
  <c r="W77" i="54"/>
  <c r="V77" i="54"/>
  <c r="Z76" i="54"/>
  <c r="Y76" i="54"/>
  <c r="X76" i="54"/>
  <c r="W76" i="54"/>
  <c r="V76" i="54"/>
  <c r="Z75" i="54"/>
  <c r="Y75" i="54"/>
  <c r="X75" i="54"/>
  <c r="W75" i="54"/>
  <c r="V75" i="54"/>
  <c r="Z74" i="54"/>
  <c r="Y74" i="54"/>
  <c r="X74" i="54"/>
  <c r="W74" i="54"/>
  <c r="V74" i="54"/>
  <c r="Z73" i="54"/>
  <c r="Y73" i="54"/>
  <c r="X73" i="54"/>
  <c r="W73" i="54"/>
  <c r="V73" i="54"/>
  <c r="AA68" i="54"/>
  <c r="Z68" i="54"/>
  <c r="Y68" i="54"/>
  <c r="X68" i="54"/>
  <c r="W68" i="54"/>
  <c r="V68" i="54"/>
  <c r="AA67" i="54"/>
  <c r="Z67" i="54"/>
  <c r="Y67" i="54"/>
  <c r="X67" i="54"/>
  <c r="W67" i="54"/>
  <c r="V67" i="54"/>
  <c r="AA66" i="54"/>
  <c r="Z66" i="54"/>
  <c r="Y66" i="54"/>
  <c r="X66" i="54"/>
  <c r="W66" i="54"/>
  <c r="V66" i="54"/>
  <c r="AA65" i="54"/>
  <c r="Z65" i="54"/>
  <c r="Y65" i="54"/>
  <c r="X65" i="54"/>
  <c r="W65" i="54"/>
  <c r="V65" i="54"/>
  <c r="AA64" i="54"/>
  <c r="Z64" i="54"/>
  <c r="Y64" i="54"/>
  <c r="X64" i="54"/>
  <c r="W64" i="54"/>
  <c r="V64" i="54"/>
  <c r="AA63" i="54"/>
  <c r="Z63" i="54"/>
  <c r="Y63" i="54"/>
  <c r="X63" i="54"/>
  <c r="W63" i="54"/>
  <c r="V63" i="54"/>
  <c r="AA62" i="54"/>
  <c r="Z62" i="54"/>
  <c r="Y62" i="54"/>
  <c r="X62" i="54"/>
  <c r="W62" i="54"/>
  <c r="V62" i="54"/>
  <c r="AA61" i="54"/>
  <c r="Z61" i="54"/>
  <c r="Y61" i="54"/>
  <c r="X61" i="54"/>
  <c r="W61" i="54"/>
  <c r="V61" i="54"/>
  <c r="AA60" i="54"/>
  <c r="Z60" i="54"/>
  <c r="Y60" i="54"/>
  <c r="X60" i="54"/>
  <c r="W60" i="54"/>
  <c r="V60" i="54"/>
  <c r="AU59" i="54"/>
  <c r="AA59" i="54"/>
  <c r="Z59" i="54"/>
  <c r="Y59" i="54"/>
  <c r="X59" i="54"/>
  <c r="W59" i="54"/>
  <c r="V59" i="54"/>
  <c r="AA58" i="54"/>
  <c r="Z58" i="54"/>
  <c r="Y58" i="54"/>
  <c r="X58" i="54"/>
  <c r="W58" i="54"/>
  <c r="V58" i="54"/>
  <c r="AU57" i="54"/>
  <c r="AA57" i="54"/>
  <c r="Z57" i="54"/>
  <c r="Y57" i="54"/>
  <c r="X57" i="54"/>
  <c r="W57" i="54"/>
  <c r="V57" i="54"/>
  <c r="AA56" i="54"/>
  <c r="Z56" i="54"/>
  <c r="Y56" i="54"/>
  <c r="X56" i="54"/>
  <c r="W56" i="54"/>
  <c r="V56" i="54"/>
  <c r="AU55" i="54"/>
  <c r="AU53" i="54"/>
  <c r="AU51" i="54"/>
  <c r="AC47" i="54"/>
  <c r="AC46" i="54"/>
  <c r="AE45" i="54"/>
  <c r="AC45" i="54"/>
  <c r="AE46" i="54" s="1"/>
  <c r="J38" i="54" s="1"/>
  <c r="B45" i="54"/>
  <c r="AP44" i="54"/>
  <c r="B94" i="54" s="1"/>
  <c r="AP43" i="54"/>
  <c r="B91" i="54" s="1"/>
  <c r="AP42" i="54"/>
  <c r="B88" i="54" s="1"/>
  <c r="AP41" i="54"/>
  <c r="AP40" i="54"/>
  <c r="B82" i="54" s="1"/>
  <c r="X39" i="54"/>
  <c r="X38" i="54"/>
  <c r="B38" i="54"/>
  <c r="AL37" i="54"/>
  <c r="AK37" i="54"/>
  <c r="X37" i="54"/>
  <c r="AL36" i="54"/>
  <c r="AK36" i="54"/>
  <c r="AU58" i="54" s="1"/>
  <c r="X36" i="54"/>
  <c r="AL35" i="54"/>
  <c r="AK35" i="54"/>
  <c r="X35" i="54"/>
  <c r="Q35" i="54"/>
  <c r="P35" i="54"/>
  <c r="O35" i="54" s="1"/>
  <c r="AL34" i="54"/>
  <c r="AK34" i="54"/>
  <c r="AU56" i="54" s="1"/>
  <c r="X34" i="54"/>
  <c r="AL33" i="54"/>
  <c r="AK33" i="54"/>
  <c r="X33" i="54"/>
  <c r="AL32" i="54"/>
  <c r="AK32" i="54"/>
  <c r="AU54" i="54" s="1"/>
  <c r="AD32" i="54"/>
  <c r="X32" i="54"/>
  <c r="AL31" i="54"/>
  <c r="AK31" i="54"/>
  <c r="AG31" i="54"/>
  <c r="AD31" i="54"/>
  <c r="X31" i="54"/>
  <c r="AL30" i="54"/>
  <c r="AK30" i="54"/>
  <c r="AU52" i="54" s="1"/>
  <c r="AD30" i="54"/>
  <c r="O96" i="54"/>
  <c r="X30" i="54"/>
  <c r="B30" i="54"/>
  <c r="AL29" i="54"/>
  <c r="AK29" i="54"/>
  <c r="X29" i="54"/>
  <c r="X28" i="54"/>
  <c r="AQ27" i="54"/>
  <c r="B27" i="54"/>
  <c r="P25" i="54"/>
  <c r="P24" i="54" s="1"/>
  <c r="G20" i="54" s="1"/>
  <c r="I24" i="54"/>
  <c r="G24" i="54"/>
  <c r="E24" i="54"/>
  <c r="C24" i="54"/>
  <c r="AB23" i="54"/>
  <c r="AA23" i="54"/>
  <c r="Z23" i="54"/>
  <c r="AC23" i="54" s="1"/>
  <c r="Y23" i="54"/>
  <c r="I23" i="54"/>
  <c r="G23" i="54"/>
  <c r="E23" i="54"/>
  <c r="C23" i="54"/>
  <c r="AD22" i="54"/>
  <c r="AB39" i="54" s="1"/>
  <c r="AC32" i="54" s="1"/>
  <c r="AC22" i="54"/>
  <c r="AB22" i="54"/>
  <c r="AA22" i="54"/>
  <c r="Z22" i="54"/>
  <c r="Y22" i="54"/>
  <c r="I22" i="54"/>
  <c r="G22" i="54"/>
  <c r="E22" i="54"/>
  <c r="C22" i="54"/>
  <c r="I21" i="54"/>
  <c r="G21" i="54"/>
  <c r="E21" i="54"/>
  <c r="C21" i="54"/>
  <c r="AQ20" i="54"/>
  <c r="B72" i="54" s="1"/>
  <c r="AQ36" i="54" s="1"/>
  <c r="AI20" i="54"/>
  <c r="I20" i="54"/>
  <c r="AQ19" i="54"/>
  <c r="AI19" i="54"/>
  <c r="AQ18" i="54"/>
  <c r="AJ18" i="54"/>
  <c r="AK18" i="54" s="1"/>
  <c r="AV26" i="54" s="1"/>
  <c r="AI18" i="54"/>
  <c r="I18" i="54"/>
  <c r="E18" i="54"/>
  <c r="AL18" i="54" s="1"/>
  <c r="AI17" i="54"/>
  <c r="AI16" i="54"/>
  <c r="AJ15" i="54"/>
  <c r="AK15" i="54" s="1"/>
  <c r="AU26" i="54" s="1"/>
  <c r="AI15" i="54"/>
  <c r="AQ14" i="54"/>
  <c r="AI14" i="54"/>
  <c r="I14" i="54"/>
  <c r="AQ13" i="54"/>
  <c r="AI13" i="54"/>
  <c r="AJ12" i="54" s="1"/>
  <c r="AK12" i="54" s="1"/>
  <c r="AT26" i="54" s="1"/>
  <c r="AQ12" i="54"/>
  <c r="AI12" i="54"/>
  <c r="AI11" i="54"/>
  <c r="AB11" i="54"/>
  <c r="AA11" i="54"/>
  <c r="Z11" i="54"/>
  <c r="AC11" i="54" s="1"/>
  <c r="Y11" i="54"/>
  <c r="AI10" i="54"/>
  <c r="AB10" i="54"/>
  <c r="AA10" i="54"/>
  <c r="Z10" i="54"/>
  <c r="AC10" i="54" s="1"/>
  <c r="Y10" i="54"/>
  <c r="AD8" i="54" s="1"/>
  <c r="AB36" i="54" s="1"/>
  <c r="AC31" i="54" s="1"/>
  <c r="AL9" i="54"/>
  <c r="AI9" i="54"/>
  <c r="AJ9" i="54" s="1"/>
  <c r="AK9" i="54" s="1"/>
  <c r="AS26" i="54" s="1"/>
  <c r="AC9" i="54"/>
  <c r="AB9" i="54"/>
  <c r="AA9" i="54"/>
  <c r="Z9" i="54"/>
  <c r="Y9" i="54"/>
  <c r="AQ8" i="54"/>
  <c r="B54" i="54" s="1"/>
  <c r="AQ30" i="54" s="1"/>
  <c r="AB8" i="54"/>
  <c r="AA8" i="54"/>
  <c r="Z8" i="54"/>
  <c r="AC8" i="54" s="1"/>
  <c r="Y8" i="54"/>
  <c r="AQ7" i="54"/>
  <c r="B51" i="54" s="1"/>
  <c r="AQ29" i="54" s="1"/>
  <c r="AQ6" i="54"/>
  <c r="B48" i="54" s="1"/>
  <c r="AQ28" i="54" s="1"/>
  <c r="AD31" i="7"/>
  <c r="AD32" i="7"/>
  <c r="AD30" i="7"/>
  <c r="V46" i="51"/>
  <c r="AD32" i="51"/>
  <c r="V46" i="52"/>
  <c r="V46" i="53"/>
  <c r="AD32" i="53"/>
  <c r="AA215" i="53"/>
  <c r="V214" i="53"/>
  <c r="V213" i="53"/>
  <c r="V212" i="53"/>
  <c r="V211" i="53"/>
  <c r="V210" i="53"/>
  <c r="V209" i="53"/>
  <c r="V208" i="53"/>
  <c r="V207" i="53"/>
  <c r="V206" i="53"/>
  <c r="V205" i="53"/>
  <c r="V204" i="53"/>
  <c r="V203" i="53"/>
  <c r="V202" i="53"/>
  <c r="V201" i="53"/>
  <c r="V200" i="53"/>
  <c r="V199" i="53"/>
  <c r="V198" i="53"/>
  <c r="V197" i="53"/>
  <c r="V196" i="53"/>
  <c r="V195" i="53"/>
  <c r="V194" i="53"/>
  <c r="V193" i="53"/>
  <c r="V192" i="53"/>
  <c r="V191" i="53"/>
  <c r="V190" i="53"/>
  <c r="V189" i="53"/>
  <c r="V188" i="53"/>
  <c r="AO179" i="53"/>
  <c r="AN179" i="53"/>
  <c r="AM179" i="53"/>
  <c r="AL179" i="53"/>
  <c r="AK179" i="53"/>
  <c r="AJ179" i="53"/>
  <c r="AI179" i="53"/>
  <c r="AH179" i="53"/>
  <c r="AG179" i="53"/>
  <c r="AF179" i="53"/>
  <c r="AE179" i="53"/>
  <c r="AD179" i="53"/>
  <c r="AC179" i="53"/>
  <c r="AB179" i="53"/>
  <c r="AA179" i="53"/>
  <c r="Z179" i="53"/>
  <c r="Y179" i="53"/>
  <c r="X179" i="53"/>
  <c r="W179" i="53"/>
  <c r="V179" i="53"/>
  <c r="AO178" i="53"/>
  <c r="AN178" i="53"/>
  <c r="AM178" i="53"/>
  <c r="AL178" i="53"/>
  <c r="AK178" i="53"/>
  <c r="AJ178" i="53"/>
  <c r="AI178" i="53"/>
  <c r="AH178" i="53"/>
  <c r="AG178" i="53"/>
  <c r="AF178" i="53"/>
  <c r="AE178" i="53"/>
  <c r="AD178" i="53"/>
  <c r="AC178" i="53"/>
  <c r="AB178" i="53"/>
  <c r="AA178" i="53"/>
  <c r="Z178" i="53"/>
  <c r="Y178" i="53"/>
  <c r="X178" i="53"/>
  <c r="W178" i="53"/>
  <c r="V178" i="53"/>
  <c r="AO177" i="53"/>
  <c r="AN177" i="53"/>
  <c r="AM177" i="53"/>
  <c r="AL177" i="53"/>
  <c r="AK177" i="53"/>
  <c r="AJ177" i="53"/>
  <c r="AI177" i="53"/>
  <c r="AH177" i="53"/>
  <c r="AG177" i="53"/>
  <c r="AF177" i="53"/>
  <c r="AE177" i="53"/>
  <c r="AD177" i="53"/>
  <c r="AC177" i="53"/>
  <c r="AB177" i="53"/>
  <c r="AA177" i="53"/>
  <c r="Z177" i="53"/>
  <c r="Y177" i="53"/>
  <c r="X177" i="53"/>
  <c r="W177" i="53"/>
  <c r="V177" i="53"/>
  <c r="AO176" i="53"/>
  <c r="AN176" i="53"/>
  <c r="AM176" i="53"/>
  <c r="AL176" i="53"/>
  <c r="AK176" i="53"/>
  <c r="AJ176" i="53"/>
  <c r="AI176" i="53"/>
  <c r="AH176" i="53"/>
  <c r="AG176" i="53"/>
  <c r="AF176" i="53"/>
  <c r="AE176" i="53"/>
  <c r="AD176" i="53"/>
  <c r="AC176" i="53"/>
  <c r="AB176" i="53"/>
  <c r="AA176" i="53"/>
  <c r="Z176" i="53"/>
  <c r="Y176" i="53"/>
  <c r="X176" i="53"/>
  <c r="V176" i="53"/>
  <c r="AO175" i="53"/>
  <c r="AN175" i="53"/>
  <c r="AM175" i="53"/>
  <c r="AL175" i="53"/>
  <c r="AK175" i="53"/>
  <c r="AJ175" i="53"/>
  <c r="AI175" i="53"/>
  <c r="AH175" i="53"/>
  <c r="AG175" i="53"/>
  <c r="AF175" i="53"/>
  <c r="AE175" i="53"/>
  <c r="AD175" i="53"/>
  <c r="AC175" i="53"/>
  <c r="AB175" i="53"/>
  <c r="AA175" i="53"/>
  <c r="Z175" i="53"/>
  <c r="Y175" i="53"/>
  <c r="X175" i="53"/>
  <c r="V175" i="53"/>
  <c r="AO174" i="53"/>
  <c r="AN174" i="53"/>
  <c r="AM174" i="53"/>
  <c r="AL174" i="53"/>
  <c r="AK174" i="53"/>
  <c r="AJ174" i="53"/>
  <c r="AI174" i="53"/>
  <c r="AH174" i="53"/>
  <c r="AG174" i="53"/>
  <c r="AF174" i="53"/>
  <c r="AE174" i="53"/>
  <c r="AD174" i="53"/>
  <c r="AC174" i="53"/>
  <c r="AB174" i="53"/>
  <c r="AA174" i="53"/>
  <c r="Z174" i="53"/>
  <c r="Y174" i="53"/>
  <c r="X174" i="53"/>
  <c r="V174" i="53"/>
  <c r="AO173" i="53"/>
  <c r="AN173" i="53"/>
  <c r="AM173" i="53"/>
  <c r="AL173" i="53"/>
  <c r="AK173" i="53"/>
  <c r="AJ173" i="53"/>
  <c r="AI173" i="53"/>
  <c r="AH173" i="53"/>
  <c r="AG173" i="53"/>
  <c r="AF173" i="53"/>
  <c r="AE173" i="53"/>
  <c r="AD173" i="53"/>
  <c r="AC173" i="53"/>
  <c r="AB173" i="53"/>
  <c r="AA173" i="53"/>
  <c r="Z173" i="53"/>
  <c r="Y173" i="53"/>
  <c r="X173" i="53"/>
  <c r="V173" i="53"/>
  <c r="AO172" i="53"/>
  <c r="AN172" i="53"/>
  <c r="AM172" i="53"/>
  <c r="AL172" i="53"/>
  <c r="AK172" i="53"/>
  <c r="AJ172" i="53"/>
  <c r="AI172" i="53"/>
  <c r="AH172" i="53"/>
  <c r="AG172" i="53"/>
  <c r="AF172" i="53"/>
  <c r="AE172" i="53"/>
  <c r="AD172" i="53"/>
  <c r="AC172" i="53"/>
  <c r="AB172" i="53"/>
  <c r="AA172" i="53"/>
  <c r="Z172" i="53"/>
  <c r="Y172" i="53"/>
  <c r="X172" i="53"/>
  <c r="W172" i="53"/>
  <c r="V172" i="53"/>
  <c r="AO171" i="53"/>
  <c r="AN171" i="53"/>
  <c r="AM171" i="53"/>
  <c r="AL171" i="53"/>
  <c r="AK171" i="53"/>
  <c r="AJ171" i="53"/>
  <c r="AI171" i="53"/>
  <c r="AH171" i="53"/>
  <c r="AG171" i="53"/>
  <c r="AF171" i="53"/>
  <c r="AE171" i="53"/>
  <c r="AD171" i="53"/>
  <c r="AC171" i="53"/>
  <c r="AB171" i="53"/>
  <c r="AA171" i="53"/>
  <c r="Z171" i="53"/>
  <c r="Y171" i="53"/>
  <c r="X171" i="53"/>
  <c r="V171" i="53"/>
  <c r="AO170" i="53"/>
  <c r="AN170" i="53"/>
  <c r="AM170" i="53"/>
  <c r="AL170" i="53"/>
  <c r="AK170" i="53"/>
  <c r="AJ170" i="53"/>
  <c r="AI170" i="53"/>
  <c r="AH170" i="53"/>
  <c r="AG170" i="53"/>
  <c r="AF170" i="53"/>
  <c r="AE170" i="53"/>
  <c r="AD170" i="53"/>
  <c r="AC170" i="53"/>
  <c r="AB170" i="53"/>
  <c r="AA170" i="53"/>
  <c r="Z170" i="53"/>
  <c r="Y170" i="53"/>
  <c r="X170" i="53"/>
  <c r="V170" i="53"/>
  <c r="AO169" i="53"/>
  <c r="AN169" i="53"/>
  <c r="AM169" i="53"/>
  <c r="AL169" i="53"/>
  <c r="AK169" i="53"/>
  <c r="AJ169" i="53"/>
  <c r="AI169" i="53"/>
  <c r="AH169" i="53"/>
  <c r="AG169" i="53"/>
  <c r="AF169" i="53"/>
  <c r="AE169" i="53"/>
  <c r="AD169" i="53"/>
  <c r="AC169" i="53"/>
  <c r="AB169" i="53"/>
  <c r="AA169" i="53"/>
  <c r="Z169" i="53"/>
  <c r="Y169" i="53"/>
  <c r="X169" i="53"/>
  <c r="W169" i="53"/>
  <c r="V169" i="53"/>
  <c r="AO168" i="53"/>
  <c r="AN168" i="53"/>
  <c r="AM168" i="53"/>
  <c r="AL168" i="53"/>
  <c r="X95" i="53" s="1"/>
  <c r="AK168" i="53"/>
  <c r="AJ168" i="53"/>
  <c r="AI168" i="53"/>
  <c r="AH168" i="53"/>
  <c r="AG168" i="53"/>
  <c r="AF168" i="53"/>
  <c r="AE168" i="53"/>
  <c r="AD168" i="53"/>
  <c r="AD95" i="53" s="1"/>
  <c r="AC168" i="53"/>
  <c r="AC95" i="53" s="1"/>
  <c r="AB168" i="53"/>
  <c r="AB95" i="53" s="1"/>
  <c r="AA168" i="53"/>
  <c r="Z168" i="53"/>
  <c r="Z95" i="53" s="1"/>
  <c r="Y168" i="53"/>
  <c r="X168" i="53"/>
  <c r="W168" i="53"/>
  <c r="W95" i="53" s="1"/>
  <c r="V168" i="53"/>
  <c r="V95" i="53" s="1"/>
  <c r="AO167" i="53"/>
  <c r="AN167" i="53"/>
  <c r="AM167" i="53"/>
  <c r="AL167" i="53"/>
  <c r="X94" i="53" s="1"/>
  <c r="AK167" i="53"/>
  <c r="AJ167" i="53"/>
  <c r="AI167" i="53"/>
  <c r="AH167" i="53"/>
  <c r="AG167" i="53"/>
  <c r="AF167" i="53"/>
  <c r="AE167" i="53"/>
  <c r="AD167" i="53"/>
  <c r="AD94" i="53" s="1"/>
  <c r="AC167" i="53"/>
  <c r="AB167" i="53"/>
  <c r="AB94" i="53" s="1"/>
  <c r="AA167" i="53"/>
  <c r="Z167" i="53"/>
  <c r="Z94" i="53" s="1"/>
  <c r="Y167" i="53"/>
  <c r="Y94" i="53" s="1"/>
  <c r="X167" i="53"/>
  <c r="W167" i="53"/>
  <c r="V167" i="53"/>
  <c r="V94" i="53" s="1"/>
  <c r="AO166" i="53"/>
  <c r="AN166" i="53"/>
  <c r="AM166" i="53"/>
  <c r="AL166" i="53"/>
  <c r="AK166" i="53"/>
  <c r="AJ166" i="53"/>
  <c r="AI166" i="53"/>
  <c r="AH166" i="53"/>
  <c r="AG166" i="53"/>
  <c r="AF166" i="53"/>
  <c r="AE166" i="53"/>
  <c r="AD166" i="53"/>
  <c r="AD93" i="53" s="1"/>
  <c r="AC166" i="53"/>
  <c r="AB166" i="53"/>
  <c r="AA166" i="53"/>
  <c r="AA93" i="53" s="1"/>
  <c r="Z166" i="53"/>
  <c r="Z93" i="53" s="1"/>
  <c r="Y166" i="53"/>
  <c r="X166" i="53"/>
  <c r="W166" i="53"/>
  <c r="V166" i="53"/>
  <c r="AO165" i="53"/>
  <c r="AN165" i="53"/>
  <c r="AM165" i="53"/>
  <c r="AL165" i="53"/>
  <c r="X92" i="53" s="1"/>
  <c r="AK165" i="53"/>
  <c r="AJ165" i="53"/>
  <c r="AI165" i="53"/>
  <c r="AH165" i="53"/>
  <c r="AG165" i="53"/>
  <c r="AF165" i="53"/>
  <c r="AE165" i="53"/>
  <c r="AD165" i="53"/>
  <c r="AD92" i="53" s="1"/>
  <c r="AC165" i="53"/>
  <c r="AC92" i="53" s="1"/>
  <c r="AB165" i="53"/>
  <c r="AB92" i="53" s="1"/>
  <c r="AA165" i="53"/>
  <c r="Z165" i="53"/>
  <c r="Z92" i="53" s="1"/>
  <c r="Y165" i="53"/>
  <c r="X165" i="53"/>
  <c r="W165" i="53"/>
  <c r="W92" i="53" s="1"/>
  <c r="V165" i="53"/>
  <c r="V92" i="53" s="1"/>
  <c r="AO164" i="53"/>
  <c r="AN164" i="53"/>
  <c r="AM164" i="53"/>
  <c r="AL164" i="53"/>
  <c r="X91" i="53" s="1"/>
  <c r="AK164" i="53"/>
  <c r="AJ164" i="53"/>
  <c r="AI164" i="53"/>
  <c r="AH164" i="53"/>
  <c r="AG164" i="53"/>
  <c r="AF164" i="53"/>
  <c r="AE164" i="53"/>
  <c r="AD164" i="53"/>
  <c r="AD91" i="53" s="1"/>
  <c r="AC164" i="53"/>
  <c r="AB164" i="53"/>
  <c r="AB91" i="53" s="1"/>
  <c r="AA164" i="53"/>
  <c r="Z164" i="53"/>
  <c r="Z91" i="53" s="1"/>
  <c r="Y164" i="53"/>
  <c r="Y91" i="53" s="1"/>
  <c r="X164" i="53"/>
  <c r="W164" i="53"/>
  <c r="V164" i="53"/>
  <c r="V91" i="53" s="1"/>
  <c r="AO163" i="53"/>
  <c r="AN163" i="53"/>
  <c r="AM163" i="53"/>
  <c r="AL163" i="53"/>
  <c r="X90" i="53" s="1"/>
  <c r="AK163" i="53"/>
  <c r="AJ163" i="53"/>
  <c r="AI163" i="53"/>
  <c r="AH163" i="53"/>
  <c r="AG163" i="53"/>
  <c r="AF163" i="53"/>
  <c r="AE163" i="53"/>
  <c r="AD163" i="53"/>
  <c r="AD90" i="53" s="1"/>
  <c r="AC163" i="53"/>
  <c r="AB163" i="53"/>
  <c r="AB90" i="53" s="1"/>
  <c r="AA163" i="53"/>
  <c r="AA90" i="53" s="1"/>
  <c r="Z163" i="53"/>
  <c r="Z90" i="53" s="1"/>
  <c r="Y163" i="53"/>
  <c r="X163" i="53"/>
  <c r="W163" i="53"/>
  <c r="V163" i="53"/>
  <c r="V90" i="53" s="1"/>
  <c r="AO162" i="53"/>
  <c r="AN162" i="53"/>
  <c r="AM162" i="53"/>
  <c r="AL162" i="53"/>
  <c r="X89" i="53" s="1"/>
  <c r="AK162" i="53"/>
  <c r="AJ162" i="53"/>
  <c r="AI162" i="53"/>
  <c r="AH162" i="53"/>
  <c r="AG162" i="53"/>
  <c r="AF162" i="53"/>
  <c r="AE162" i="53"/>
  <c r="AD162" i="53"/>
  <c r="AD89" i="53" s="1"/>
  <c r="AC162" i="53"/>
  <c r="AC89" i="53" s="1"/>
  <c r="AB162" i="53"/>
  <c r="AB89" i="53" s="1"/>
  <c r="AA162" i="53"/>
  <c r="Z162" i="53"/>
  <c r="Z89" i="53" s="1"/>
  <c r="Y162" i="53"/>
  <c r="X162" i="53"/>
  <c r="W162" i="53"/>
  <c r="W89" i="53" s="1"/>
  <c r="V162" i="53"/>
  <c r="V89" i="53" s="1"/>
  <c r="AO161" i="53"/>
  <c r="AN161" i="53"/>
  <c r="AM161" i="53"/>
  <c r="AL161" i="53"/>
  <c r="X88" i="53" s="1"/>
  <c r="AK161" i="53"/>
  <c r="AJ161" i="53"/>
  <c r="AI161" i="53"/>
  <c r="AH161" i="53"/>
  <c r="AG161" i="53"/>
  <c r="AF161" i="53"/>
  <c r="AE161" i="53"/>
  <c r="AD161" i="53"/>
  <c r="AD88" i="53" s="1"/>
  <c r="AC161" i="53"/>
  <c r="AB161" i="53"/>
  <c r="AB88" i="53" s="1"/>
  <c r="AA161" i="53"/>
  <c r="Z161" i="53"/>
  <c r="Z88" i="53" s="1"/>
  <c r="Y161" i="53"/>
  <c r="Y88" i="53" s="1"/>
  <c r="X161" i="53"/>
  <c r="W161" i="53"/>
  <c r="V161" i="53"/>
  <c r="V88" i="53" s="1"/>
  <c r="AO160" i="53"/>
  <c r="AN160" i="53"/>
  <c r="AM160" i="53"/>
  <c r="AL160" i="53"/>
  <c r="X87" i="53" s="1"/>
  <c r="AK160" i="53"/>
  <c r="AJ160" i="53"/>
  <c r="AI160" i="53"/>
  <c r="AH160" i="53"/>
  <c r="AG160" i="53"/>
  <c r="AF160" i="53"/>
  <c r="AE160" i="53"/>
  <c r="AD160" i="53"/>
  <c r="AD87" i="53" s="1"/>
  <c r="AC160" i="53"/>
  <c r="AB160" i="53"/>
  <c r="AB87" i="53" s="1"/>
  <c r="AA160" i="53"/>
  <c r="AA87" i="53" s="1"/>
  <c r="Z160" i="53"/>
  <c r="Z87" i="53" s="1"/>
  <c r="Y160" i="53"/>
  <c r="X160" i="53"/>
  <c r="V160" i="53"/>
  <c r="V87" i="53" s="1"/>
  <c r="AO159" i="53"/>
  <c r="AN159" i="53"/>
  <c r="AM159" i="53"/>
  <c r="AL159" i="53"/>
  <c r="AK159" i="53"/>
  <c r="AJ159" i="53"/>
  <c r="AI159" i="53"/>
  <c r="AH159" i="53"/>
  <c r="AG159" i="53"/>
  <c r="AF159" i="53"/>
  <c r="AE159" i="53"/>
  <c r="AD159" i="53"/>
  <c r="AC159" i="53"/>
  <c r="AB159" i="53"/>
  <c r="AA159" i="53"/>
  <c r="Z159" i="53"/>
  <c r="Y159" i="53"/>
  <c r="X159" i="53"/>
  <c r="W159" i="53"/>
  <c r="V159" i="53"/>
  <c r="AO158" i="53"/>
  <c r="AN158" i="53"/>
  <c r="AM158" i="53"/>
  <c r="AL158" i="53"/>
  <c r="AK158" i="53"/>
  <c r="AJ158" i="53"/>
  <c r="AI158" i="53"/>
  <c r="AH158" i="53"/>
  <c r="AG158" i="53"/>
  <c r="AF158" i="53"/>
  <c r="AE158" i="53"/>
  <c r="AD158" i="53"/>
  <c r="AC158" i="53"/>
  <c r="AB158" i="53"/>
  <c r="AA158" i="53"/>
  <c r="Z158" i="53"/>
  <c r="Y158" i="53"/>
  <c r="X158" i="53"/>
  <c r="W158" i="53"/>
  <c r="V158" i="53"/>
  <c r="AO157" i="53"/>
  <c r="AN157" i="53"/>
  <c r="AM157" i="53"/>
  <c r="AL157" i="53"/>
  <c r="AK157" i="53"/>
  <c r="AJ157" i="53"/>
  <c r="AI157" i="53"/>
  <c r="AH157" i="53"/>
  <c r="AG157" i="53"/>
  <c r="AF157" i="53"/>
  <c r="AE157" i="53"/>
  <c r="AD157" i="53"/>
  <c r="AC157" i="53"/>
  <c r="AB157" i="53"/>
  <c r="AA157" i="53"/>
  <c r="Z157" i="53"/>
  <c r="Y157" i="53"/>
  <c r="X157" i="53"/>
  <c r="W157" i="53"/>
  <c r="V157" i="53"/>
  <c r="AO156" i="53"/>
  <c r="AN156" i="53"/>
  <c r="AM156" i="53"/>
  <c r="AL156" i="53"/>
  <c r="AK156" i="53"/>
  <c r="AJ156" i="53"/>
  <c r="AI156" i="53"/>
  <c r="AH156" i="53"/>
  <c r="AG156" i="53"/>
  <c r="AF156" i="53"/>
  <c r="AE156" i="53"/>
  <c r="AD156" i="53"/>
  <c r="AC156" i="53"/>
  <c r="AB156" i="53"/>
  <c r="AA156" i="53"/>
  <c r="Z156" i="53"/>
  <c r="Y156" i="53"/>
  <c r="X156" i="53"/>
  <c r="W156" i="53"/>
  <c r="V156" i="53"/>
  <c r="AO155" i="53"/>
  <c r="AN155" i="53"/>
  <c r="AM155" i="53"/>
  <c r="AL155" i="53"/>
  <c r="AK155" i="53"/>
  <c r="AJ155" i="53"/>
  <c r="AI155" i="53"/>
  <c r="AH155" i="53"/>
  <c r="AG155" i="53"/>
  <c r="AF155" i="53"/>
  <c r="AE155" i="53"/>
  <c r="AD155" i="53"/>
  <c r="AC155" i="53"/>
  <c r="AB155" i="53"/>
  <c r="AA155" i="53"/>
  <c r="Z155" i="53"/>
  <c r="Y155" i="53"/>
  <c r="X155" i="53"/>
  <c r="W155" i="53"/>
  <c r="V155" i="53"/>
  <c r="AO154" i="53"/>
  <c r="AN154" i="53"/>
  <c r="AM154" i="53"/>
  <c r="AL154" i="53"/>
  <c r="AK154" i="53"/>
  <c r="AJ154" i="53"/>
  <c r="AI154" i="53"/>
  <c r="AH154" i="53"/>
  <c r="AG154" i="53"/>
  <c r="AF154" i="53"/>
  <c r="AE154" i="53"/>
  <c r="AD154" i="53"/>
  <c r="AC154" i="53"/>
  <c r="AB154" i="53"/>
  <c r="AA154" i="53"/>
  <c r="Z154" i="53"/>
  <c r="Y154" i="53"/>
  <c r="X154" i="53"/>
  <c r="W154" i="53"/>
  <c r="V154" i="53"/>
  <c r="AO153" i="53"/>
  <c r="AN153" i="53"/>
  <c r="AM153" i="53"/>
  <c r="AL153" i="53"/>
  <c r="AK153" i="53"/>
  <c r="AJ153" i="53"/>
  <c r="AI153" i="53"/>
  <c r="AH153" i="53"/>
  <c r="AG153" i="53"/>
  <c r="AF153" i="53"/>
  <c r="AE153" i="53"/>
  <c r="AD153" i="53"/>
  <c r="AC153" i="53"/>
  <c r="AB153" i="53"/>
  <c r="AA153" i="53"/>
  <c r="Z153" i="53"/>
  <c r="Y153" i="53"/>
  <c r="X153" i="53"/>
  <c r="W153" i="53"/>
  <c r="V153" i="53"/>
  <c r="AO152" i="53"/>
  <c r="AN152" i="53"/>
  <c r="AM152" i="53"/>
  <c r="AL152" i="53"/>
  <c r="AK152" i="53"/>
  <c r="AJ152" i="53"/>
  <c r="AI152" i="53"/>
  <c r="AH152" i="53"/>
  <c r="AG152" i="53"/>
  <c r="AF152" i="53"/>
  <c r="AE152" i="53"/>
  <c r="AD152" i="53"/>
  <c r="AC152" i="53"/>
  <c r="AB152" i="53"/>
  <c r="AA152" i="53"/>
  <c r="Z152" i="53"/>
  <c r="Y152" i="53"/>
  <c r="X152" i="53"/>
  <c r="W152" i="53"/>
  <c r="V152" i="53"/>
  <c r="AO151" i="53"/>
  <c r="AN151" i="53"/>
  <c r="AM151" i="53"/>
  <c r="AL151" i="53"/>
  <c r="AK151" i="53"/>
  <c r="AJ151" i="53"/>
  <c r="AI151" i="53"/>
  <c r="AH151" i="53"/>
  <c r="AG151" i="53"/>
  <c r="AF151" i="53"/>
  <c r="AE151" i="53"/>
  <c r="AD151" i="53"/>
  <c r="AC151" i="53"/>
  <c r="AB151" i="53"/>
  <c r="AA151" i="53"/>
  <c r="Z151" i="53"/>
  <c r="Y151" i="53"/>
  <c r="X151" i="53"/>
  <c r="W151" i="53"/>
  <c r="V151" i="53"/>
  <c r="AO150" i="53"/>
  <c r="AN150" i="53"/>
  <c r="AM150" i="53"/>
  <c r="AL150" i="53"/>
  <c r="AK150" i="53"/>
  <c r="AJ150" i="53"/>
  <c r="AI150" i="53"/>
  <c r="AH150" i="53"/>
  <c r="AG150" i="53"/>
  <c r="AF150" i="53"/>
  <c r="AE150" i="53"/>
  <c r="AD150" i="53"/>
  <c r="AC150" i="53"/>
  <c r="AB150" i="53"/>
  <c r="AA150" i="53"/>
  <c r="Z150" i="53"/>
  <c r="Y150" i="53"/>
  <c r="X150" i="53"/>
  <c r="W150" i="53"/>
  <c r="V150" i="53"/>
  <c r="AO149" i="53"/>
  <c r="AN149" i="53"/>
  <c r="AM149" i="53"/>
  <c r="AL149" i="53"/>
  <c r="AK149" i="53"/>
  <c r="AJ149" i="53"/>
  <c r="AI149" i="53"/>
  <c r="AH149" i="53"/>
  <c r="AG149" i="53"/>
  <c r="AF149" i="53"/>
  <c r="AE149" i="53"/>
  <c r="AD149" i="53"/>
  <c r="AC149" i="53"/>
  <c r="AB149" i="53"/>
  <c r="AA149" i="53"/>
  <c r="Z149" i="53"/>
  <c r="Y149" i="53"/>
  <c r="X149" i="53"/>
  <c r="V149" i="53"/>
  <c r="AO148" i="53"/>
  <c r="AN148" i="53"/>
  <c r="AM148" i="53"/>
  <c r="AL148" i="53"/>
  <c r="AK148" i="53"/>
  <c r="AJ148" i="53"/>
  <c r="AI148" i="53"/>
  <c r="AH148" i="53"/>
  <c r="AG148" i="53"/>
  <c r="AF148" i="53"/>
  <c r="AE148" i="53"/>
  <c r="AD148" i="53"/>
  <c r="AC148" i="53"/>
  <c r="AB148" i="53"/>
  <c r="AA148" i="53"/>
  <c r="Z148" i="53"/>
  <c r="Y148" i="53"/>
  <c r="X148" i="53"/>
  <c r="V148" i="53"/>
  <c r="AO147" i="53"/>
  <c r="AN147" i="53"/>
  <c r="AM147" i="53"/>
  <c r="AL147" i="53"/>
  <c r="AK147" i="53"/>
  <c r="AJ147" i="53"/>
  <c r="AI147" i="53"/>
  <c r="AH147" i="53"/>
  <c r="AG147" i="53"/>
  <c r="AF147" i="53"/>
  <c r="AE147" i="53"/>
  <c r="AD147" i="53"/>
  <c r="AC147" i="53"/>
  <c r="AB147" i="53"/>
  <c r="AA147" i="53"/>
  <c r="Z147" i="53"/>
  <c r="Y147" i="53"/>
  <c r="X147" i="53"/>
  <c r="V147" i="53"/>
  <c r="AO146" i="53"/>
  <c r="AN146" i="53"/>
  <c r="AM146" i="53"/>
  <c r="AL146" i="53"/>
  <c r="AK146" i="53"/>
  <c r="AJ146" i="53"/>
  <c r="AI146" i="53"/>
  <c r="AH146" i="53"/>
  <c r="AG146" i="53"/>
  <c r="AF146" i="53"/>
  <c r="AE146" i="53"/>
  <c r="AD146" i="53"/>
  <c r="AC146" i="53"/>
  <c r="AB146" i="53"/>
  <c r="AA146" i="53"/>
  <c r="Z146" i="53"/>
  <c r="Y146" i="53"/>
  <c r="X146" i="53"/>
  <c r="V146" i="53"/>
  <c r="AO145" i="53"/>
  <c r="AN145" i="53"/>
  <c r="AM145" i="53"/>
  <c r="AL145" i="53"/>
  <c r="AK145" i="53"/>
  <c r="AJ145" i="53"/>
  <c r="AI145" i="53"/>
  <c r="AH145" i="53"/>
  <c r="AG145" i="53"/>
  <c r="AF145" i="53"/>
  <c r="AE145" i="53"/>
  <c r="AD145" i="53"/>
  <c r="AC145" i="53"/>
  <c r="AB145" i="53"/>
  <c r="AA145" i="53"/>
  <c r="Z145" i="53"/>
  <c r="Y145" i="53"/>
  <c r="X145" i="53"/>
  <c r="W145" i="53"/>
  <c r="V145" i="53"/>
  <c r="AO144" i="53"/>
  <c r="AN144" i="53"/>
  <c r="AM144" i="53"/>
  <c r="AL144" i="53"/>
  <c r="AK144" i="53"/>
  <c r="AJ144" i="53"/>
  <c r="AI144" i="53"/>
  <c r="AH144" i="53"/>
  <c r="AG144" i="53"/>
  <c r="AF144" i="53"/>
  <c r="AE144" i="53"/>
  <c r="AD144" i="53"/>
  <c r="AC144" i="53"/>
  <c r="AB144" i="53"/>
  <c r="AA144" i="53"/>
  <c r="Z144" i="53"/>
  <c r="Y144" i="53"/>
  <c r="X144" i="53"/>
  <c r="W144" i="53"/>
  <c r="V144" i="53"/>
  <c r="AO143" i="53"/>
  <c r="AN143" i="53"/>
  <c r="AM143" i="53"/>
  <c r="AL143" i="53"/>
  <c r="AK143" i="53"/>
  <c r="AJ143" i="53"/>
  <c r="AI143" i="53"/>
  <c r="AH143" i="53"/>
  <c r="AG143" i="53"/>
  <c r="AF143" i="53"/>
  <c r="AE143" i="53"/>
  <c r="AD143" i="53"/>
  <c r="AC143" i="53"/>
  <c r="AB143" i="53"/>
  <c r="AA143" i="53"/>
  <c r="Z143" i="53"/>
  <c r="Y143" i="53"/>
  <c r="X143" i="53"/>
  <c r="W143" i="53"/>
  <c r="V143" i="53"/>
  <c r="Q143" i="53"/>
  <c r="AO142" i="53"/>
  <c r="AN142" i="53"/>
  <c r="AM142" i="53"/>
  <c r="AL142" i="53"/>
  <c r="AK142" i="53"/>
  <c r="AJ142" i="53"/>
  <c r="AI142" i="53"/>
  <c r="AH142" i="53"/>
  <c r="AG142" i="53"/>
  <c r="AF142" i="53"/>
  <c r="AE142" i="53"/>
  <c r="AD142" i="53"/>
  <c r="AC142" i="53"/>
  <c r="AB142" i="53"/>
  <c r="AA142" i="53"/>
  <c r="Z142" i="53"/>
  <c r="Y142" i="53"/>
  <c r="X142" i="53"/>
  <c r="W142" i="53"/>
  <c r="V142" i="53"/>
  <c r="Q142" i="53"/>
  <c r="AO141" i="53"/>
  <c r="AN141" i="53"/>
  <c r="AM141" i="53"/>
  <c r="AL141" i="53"/>
  <c r="AK141" i="53"/>
  <c r="AJ141" i="53"/>
  <c r="AI141" i="53"/>
  <c r="AH141" i="53"/>
  <c r="AG141" i="53"/>
  <c r="AF141" i="53"/>
  <c r="AE141" i="53"/>
  <c r="AD141" i="53"/>
  <c r="AC141" i="53"/>
  <c r="AB141" i="53"/>
  <c r="AA141" i="53"/>
  <c r="Z141" i="53"/>
  <c r="Y141" i="53"/>
  <c r="X141" i="53"/>
  <c r="W141" i="53"/>
  <c r="V141" i="53"/>
  <c r="Q141" i="53"/>
  <c r="AO140" i="53"/>
  <c r="AN140" i="53"/>
  <c r="AM140" i="53"/>
  <c r="AL140" i="53"/>
  <c r="AK140" i="53"/>
  <c r="AJ140" i="53"/>
  <c r="AI140" i="53"/>
  <c r="AH140" i="53"/>
  <c r="AG140" i="53"/>
  <c r="AF140" i="53"/>
  <c r="AE140" i="53"/>
  <c r="AD140" i="53"/>
  <c r="AC140" i="53"/>
  <c r="AB140" i="53"/>
  <c r="AA140" i="53"/>
  <c r="Z140" i="53"/>
  <c r="Y140" i="53"/>
  <c r="X140" i="53"/>
  <c r="W140" i="53"/>
  <c r="V140" i="53"/>
  <c r="Q140" i="53"/>
  <c r="AO139" i="53"/>
  <c r="AN139" i="53"/>
  <c r="AM139" i="53"/>
  <c r="AL139" i="53"/>
  <c r="AK139" i="53"/>
  <c r="AJ139" i="53"/>
  <c r="AI139" i="53"/>
  <c r="AH139" i="53"/>
  <c r="AG139" i="53"/>
  <c r="AF139" i="53"/>
  <c r="AE139" i="53"/>
  <c r="AD139" i="53"/>
  <c r="AC139" i="53"/>
  <c r="AB139" i="53"/>
  <c r="AA139" i="53"/>
  <c r="Z139" i="53"/>
  <c r="Y139" i="53"/>
  <c r="X139" i="53"/>
  <c r="W139" i="53"/>
  <c r="V139" i="53"/>
  <c r="Q139" i="53"/>
  <c r="AO138" i="53"/>
  <c r="AN138" i="53"/>
  <c r="AM138" i="53"/>
  <c r="AL138" i="53"/>
  <c r="AK138" i="53"/>
  <c r="AJ138" i="53"/>
  <c r="AI138" i="53"/>
  <c r="AH138" i="53"/>
  <c r="AG138" i="53"/>
  <c r="AF138" i="53"/>
  <c r="AE138" i="53"/>
  <c r="AD138" i="53"/>
  <c r="AC138" i="53"/>
  <c r="AB138" i="53"/>
  <c r="AA138" i="53"/>
  <c r="Z138" i="53"/>
  <c r="Y138" i="53"/>
  <c r="X138" i="53"/>
  <c r="W138" i="53"/>
  <c r="V138" i="53"/>
  <c r="Q138" i="53"/>
  <c r="AO137" i="53"/>
  <c r="AN137" i="53"/>
  <c r="AM137" i="53"/>
  <c r="AL137" i="53"/>
  <c r="AK137" i="53"/>
  <c r="AJ137" i="53"/>
  <c r="AI137" i="53"/>
  <c r="AH137" i="53"/>
  <c r="AG137" i="53"/>
  <c r="AF137" i="53"/>
  <c r="AE137" i="53"/>
  <c r="AD137" i="53"/>
  <c r="AC137" i="53"/>
  <c r="AB137" i="53"/>
  <c r="AA137" i="53"/>
  <c r="Z137" i="53"/>
  <c r="Y137" i="53"/>
  <c r="X137" i="53"/>
  <c r="W137" i="53"/>
  <c r="V137" i="53"/>
  <c r="Q137" i="53"/>
  <c r="AO136" i="53"/>
  <c r="AN136" i="53"/>
  <c r="AM136" i="53"/>
  <c r="AL136" i="53"/>
  <c r="AK136" i="53"/>
  <c r="AJ136" i="53"/>
  <c r="AI136" i="53"/>
  <c r="AH136" i="53"/>
  <c r="AG136" i="53"/>
  <c r="AF136" i="53"/>
  <c r="AE136" i="53"/>
  <c r="AD136" i="53"/>
  <c r="AC136" i="53"/>
  <c r="AB136" i="53"/>
  <c r="AA136" i="53"/>
  <c r="Z136" i="53"/>
  <c r="Y136" i="53"/>
  <c r="X136" i="53"/>
  <c r="W136" i="53"/>
  <c r="V136" i="53"/>
  <c r="Q136" i="53"/>
  <c r="AO135" i="53"/>
  <c r="AN135" i="53"/>
  <c r="AM135" i="53"/>
  <c r="AL135" i="53"/>
  <c r="AK135" i="53"/>
  <c r="AJ135" i="53"/>
  <c r="AI135" i="53"/>
  <c r="AH135" i="53"/>
  <c r="AG135" i="53"/>
  <c r="AF135" i="53"/>
  <c r="AE135" i="53"/>
  <c r="AD135" i="53"/>
  <c r="AC135" i="53"/>
  <c r="AB135" i="53"/>
  <c r="AA135" i="53"/>
  <c r="Z135" i="53"/>
  <c r="Y135" i="53"/>
  <c r="X135" i="53"/>
  <c r="W135" i="53"/>
  <c r="V135" i="53"/>
  <c r="Q135" i="53"/>
  <c r="AO134" i="53"/>
  <c r="AN134" i="53"/>
  <c r="AM134" i="53"/>
  <c r="AL134" i="53"/>
  <c r="AK134" i="53"/>
  <c r="AJ134" i="53"/>
  <c r="AI134" i="53"/>
  <c r="AH134" i="53"/>
  <c r="AG134" i="53"/>
  <c r="AF134" i="53"/>
  <c r="AE134" i="53"/>
  <c r="AD134" i="53"/>
  <c r="AC134" i="53"/>
  <c r="AB134" i="53"/>
  <c r="AA134" i="53"/>
  <c r="Z134" i="53"/>
  <c r="Y134" i="53"/>
  <c r="X134" i="53"/>
  <c r="W134" i="53"/>
  <c r="V134" i="53"/>
  <c r="Q134" i="53"/>
  <c r="AO133" i="53"/>
  <c r="AN133" i="53"/>
  <c r="AM133" i="53"/>
  <c r="AL133" i="53"/>
  <c r="AK133" i="53"/>
  <c r="AJ133" i="53"/>
  <c r="AI133" i="53"/>
  <c r="AH133" i="53"/>
  <c r="AG133" i="53"/>
  <c r="AF133" i="53"/>
  <c r="AE133" i="53"/>
  <c r="AD133" i="53"/>
  <c r="AC133" i="53"/>
  <c r="AB133" i="53"/>
  <c r="AA133" i="53"/>
  <c r="Z133" i="53"/>
  <c r="Y133" i="53"/>
  <c r="X133" i="53"/>
  <c r="W133" i="53"/>
  <c r="V133" i="53"/>
  <c r="Q133" i="53"/>
  <c r="AO132" i="53"/>
  <c r="AN132" i="53"/>
  <c r="AM132" i="53"/>
  <c r="AL132" i="53"/>
  <c r="AK132" i="53"/>
  <c r="AJ132" i="53"/>
  <c r="AI132" i="53"/>
  <c r="AH132" i="53"/>
  <c r="AG132" i="53"/>
  <c r="AF132" i="53"/>
  <c r="AE132" i="53"/>
  <c r="AD132" i="53"/>
  <c r="AC132" i="53"/>
  <c r="AB132" i="53"/>
  <c r="AA132" i="53"/>
  <c r="Z132" i="53"/>
  <c r="Y132" i="53"/>
  <c r="X132" i="53"/>
  <c r="W132" i="53"/>
  <c r="V132" i="53"/>
  <c r="Q132" i="53"/>
  <c r="AO131" i="53"/>
  <c r="AN131" i="53"/>
  <c r="AM131" i="53"/>
  <c r="AL131" i="53"/>
  <c r="AK131" i="53"/>
  <c r="AJ131" i="53"/>
  <c r="AI131" i="53"/>
  <c r="AH131" i="53"/>
  <c r="AG131" i="53"/>
  <c r="AF131" i="53"/>
  <c r="AE131" i="53"/>
  <c r="AD131" i="53"/>
  <c r="AC131" i="53"/>
  <c r="AB131" i="53"/>
  <c r="AA131" i="53"/>
  <c r="Z131" i="53"/>
  <c r="Y131" i="53"/>
  <c r="X131" i="53"/>
  <c r="W131" i="53"/>
  <c r="V131" i="53"/>
  <c r="Q131" i="53"/>
  <c r="AO130" i="53"/>
  <c r="AN130" i="53"/>
  <c r="AM130" i="53"/>
  <c r="AL130" i="53"/>
  <c r="AK130" i="53"/>
  <c r="AJ130" i="53"/>
  <c r="AI130" i="53"/>
  <c r="AH130" i="53"/>
  <c r="AG130" i="53"/>
  <c r="AF130" i="53"/>
  <c r="AE130" i="53"/>
  <c r="AD130" i="53"/>
  <c r="AC130" i="53"/>
  <c r="AB130" i="53"/>
  <c r="AA130" i="53"/>
  <c r="Z130" i="53"/>
  <c r="Y130" i="53"/>
  <c r="X130" i="53"/>
  <c r="W130" i="53"/>
  <c r="V130" i="53"/>
  <c r="Q130" i="53"/>
  <c r="AO129" i="53"/>
  <c r="AN129" i="53"/>
  <c r="AM129" i="53"/>
  <c r="AL129" i="53"/>
  <c r="AK129" i="53"/>
  <c r="AJ129" i="53"/>
  <c r="AI129" i="53"/>
  <c r="AH129" i="53"/>
  <c r="AG129" i="53"/>
  <c r="AF129" i="53"/>
  <c r="AE129" i="53"/>
  <c r="AD129" i="53"/>
  <c r="AC129" i="53"/>
  <c r="AB129" i="53"/>
  <c r="AA129" i="53"/>
  <c r="Z129" i="53"/>
  <c r="Y129" i="53"/>
  <c r="X129" i="53"/>
  <c r="W129" i="53"/>
  <c r="V129" i="53"/>
  <c r="Q129" i="53"/>
  <c r="AO128" i="53"/>
  <c r="AN128" i="53"/>
  <c r="AM128" i="53"/>
  <c r="AL128" i="53"/>
  <c r="AK128" i="53"/>
  <c r="AJ128" i="53"/>
  <c r="AI128" i="53"/>
  <c r="AH128" i="53"/>
  <c r="AG128" i="53"/>
  <c r="AF128" i="53"/>
  <c r="AE128" i="53"/>
  <c r="AD128" i="53"/>
  <c r="AC128" i="53"/>
  <c r="AB128" i="53"/>
  <c r="AA128" i="53"/>
  <c r="Z128" i="53"/>
  <c r="Y128" i="53"/>
  <c r="X128" i="53"/>
  <c r="V128" i="53"/>
  <c r="Q128" i="53"/>
  <c r="AO127" i="53"/>
  <c r="AN127" i="53"/>
  <c r="AM127" i="53"/>
  <c r="AL127" i="53"/>
  <c r="AK127" i="53"/>
  <c r="AJ127" i="53"/>
  <c r="AI127" i="53"/>
  <c r="AH127" i="53"/>
  <c r="AG127" i="53"/>
  <c r="AF127" i="53"/>
  <c r="AE127" i="53"/>
  <c r="AD127" i="53"/>
  <c r="AC127" i="53"/>
  <c r="AB127" i="53"/>
  <c r="AA127" i="53"/>
  <c r="Z127" i="53"/>
  <c r="Y127" i="53"/>
  <c r="X127" i="53"/>
  <c r="V127" i="53"/>
  <c r="Q127" i="53"/>
  <c r="AO126" i="53"/>
  <c r="AN126" i="53"/>
  <c r="AM126" i="53"/>
  <c r="AL126" i="53"/>
  <c r="AK126" i="53"/>
  <c r="AJ126" i="53"/>
  <c r="AI126" i="53"/>
  <c r="AH126" i="53"/>
  <c r="AG126" i="53"/>
  <c r="AF126" i="53"/>
  <c r="AE126" i="53"/>
  <c r="AD126" i="53"/>
  <c r="AC126" i="53"/>
  <c r="AB126" i="53"/>
  <c r="AA126" i="53"/>
  <c r="Z126" i="53"/>
  <c r="Y126" i="53"/>
  <c r="X126" i="53"/>
  <c r="V126" i="53"/>
  <c r="Q126" i="53"/>
  <c r="AO125" i="53"/>
  <c r="AN125" i="53"/>
  <c r="AM125" i="53"/>
  <c r="AL125" i="53"/>
  <c r="AK125" i="53"/>
  <c r="AJ125" i="53"/>
  <c r="AI125" i="53"/>
  <c r="AH125" i="53"/>
  <c r="AG125" i="53"/>
  <c r="AF125" i="53"/>
  <c r="AE125" i="53"/>
  <c r="AD125" i="53"/>
  <c r="AC125" i="53"/>
  <c r="AB125" i="53"/>
  <c r="AA125" i="53"/>
  <c r="Z125" i="53"/>
  <c r="Y125" i="53"/>
  <c r="X125" i="53"/>
  <c r="V125" i="53"/>
  <c r="Q125" i="53"/>
  <c r="AO124" i="53"/>
  <c r="AN124" i="53"/>
  <c r="AM124" i="53"/>
  <c r="AL124" i="53"/>
  <c r="AK124" i="53"/>
  <c r="AJ124" i="53"/>
  <c r="AI124" i="53"/>
  <c r="AH124" i="53"/>
  <c r="AG124" i="53"/>
  <c r="AF124" i="53"/>
  <c r="AE124" i="53"/>
  <c r="AD124" i="53"/>
  <c r="AC124" i="53"/>
  <c r="AB124" i="53"/>
  <c r="AA124" i="53"/>
  <c r="Z124" i="53"/>
  <c r="Y124" i="53"/>
  <c r="X124" i="53"/>
  <c r="V124" i="53"/>
  <c r="Q124" i="53"/>
  <c r="AO123" i="53"/>
  <c r="AN123" i="53"/>
  <c r="AM123" i="53"/>
  <c r="AL123" i="53"/>
  <c r="AK123" i="53"/>
  <c r="AJ123" i="53"/>
  <c r="AI123" i="53"/>
  <c r="AH123" i="53"/>
  <c r="AG123" i="53"/>
  <c r="AF123" i="53"/>
  <c r="AE123" i="53"/>
  <c r="AD123" i="53"/>
  <c r="AC123" i="53"/>
  <c r="AB123" i="53"/>
  <c r="AA123" i="53"/>
  <c r="Z123" i="53"/>
  <c r="Y123" i="53"/>
  <c r="X123" i="53"/>
  <c r="W123" i="53"/>
  <c r="V123" i="53"/>
  <c r="Q123" i="53"/>
  <c r="AO122" i="53"/>
  <c r="AN122" i="53"/>
  <c r="AM122" i="53"/>
  <c r="AL122" i="53"/>
  <c r="AK122" i="53"/>
  <c r="AJ122" i="53"/>
  <c r="AI122" i="53"/>
  <c r="AH122" i="53"/>
  <c r="AG122" i="53"/>
  <c r="AF122" i="53"/>
  <c r="AE122" i="53"/>
  <c r="AD122" i="53"/>
  <c r="AC122" i="53"/>
  <c r="AB122" i="53"/>
  <c r="AA122" i="53"/>
  <c r="Z122" i="53"/>
  <c r="Y122" i="53"/>
  <c r="X122" i="53"/>
  <c r="V122" i="53"/>
  <c r="Q122" i="53"/>
  <c r="AO121" i="53"/>
  <c r="AN121" i="53"/>
  <c r="AM121" i="53"/>
  <c r="AL121" i="53"/>
  <c r="AK121" i="53"/>
  <c r="AJ121" i="53"/>
  <c r="AI121" i="53"/>
  <c r="AH121" i="53"/>
  <c r="AG121" i="53"/>
  <c r="AF121" i="53"/>
  <c r="AE121" i="53"/>
  <c r="AD121" i="53"/>
  <c r="AC121" i="53"/>
  <c r="AB121" i="53"/>
  <c r="AA121" i="53"/>
  <c r="Z121" i="53"/>
  <c r="Y121" i="53"/>
  <c r="X121" i="53"/>
  <c r="V121" i="53"/>
  <c r="Q121" i="53"/>
  <c r="AO120" i="53"/>
  <c r="AN120" i="53"/>
  <c r="AM120" i="53"/>
  <c r="AL120" i="53"/>
  <c r="AK120" i="53"/>
  <c r="AJ120" i="53"/>
  <c r="AI120" i="53"/>
  <c r="AH120" i="53"/>
  <c r="AG120" i="53"/>
  <c r="AF120" i="53"/>
  <c r="AE120" i="53"/>
  <c r="AD120" i="53"/>
  <c r="AC120" i="53"/>
  <c r="AB120" i="53"/>
  <c r="AA120" i="53"/>
  <c r="Z120" i="53"/>
  <c r="Y120" i="53"/>
  <c r="X120" i="53"/>
  <c r="W120" i="53"/>
  <c r="V120" i="53"/>
  <c r="Q120" i="53"/>
  <c r="AO119" i="53"/>
  <c r="AN119" i="53"/>
  <c r="AM119" i="53"/>
  <c r="AL119" i="53"/>
  <c r="AK119" i="53"/>
  <c r="AJ119" i="53"/>
  <c r="AI119" i="53"/>
  <c r="AH119" i="53"/>
  <c r="AG119" i="53"/>
  <c r="AF119" i="53"/>
  <c r="AE119" i="53"/>
  <c r="AD119" i="53"/>
  <c r="AC119" i="53"/>
  <c r="AB119" i="53"/>
  <c r="AA119" i="53"/>
  <c r="Z119" i="53"/>
  <c r="Y119" i="53"/>
  <c r="X119" i="53"/>
  <c r="V119" i="53"/>
  <c r="Q119" i="53"/>
  <c r="AO118" i="53"/>
  <c r="AN118" i="53"/>
  <c r="AM118" i="53"/>
  <c r="AL118" i="53"/>
  <c r="AK118" i="53"/>
  <c r="AJ118" i="53"/>
  <c r="AI118" i="53"/>
  <c r="AH118" i="53"/>
  <c r="AG118" i="53"/>
  <c r="AF118" i="53"/>
  <c r="AE118" i="53"/>
  <c r="AD118" i="53"/>
  <c r="AC118" i="53"/>
  <c r="AB118" i="53"/>
  <c r="AA118" i="53"/>
  <c r="Z118" i="53"/>
  <c r="Y118" i="53"/>
  <c r="X118" i="53"/>
  <c r="V118" i="53"/>
  <c r="Q118" i="53"/>
  <c r="AO117" i="53"/>
  <c r="AN117" i="53"/>
  <c r="AM117" i="53"/>
  <c r="AL117" i="53"/>
  <c r="AK117" i="53"/>
  <c r="AJ117" i="53"/>
  <c r="AI117" i="53"/>
  <c r="AH117" i="53"/>
  <c r="AG117" i="53"/>
  <c r="AF117" i="53"/>
  <c r="AE117" i="53"/>
  <c r="AD117" i="53"/>
  <c r="AC117" i="53"/>
  <c r="AB117" i="53"/>
  <c r="AA117" i="53"/>
  <c r="Z117" i="53"/>
  <c r="Y117" i="53"/>
  <c r="X117" i="53"/>
  <c r="V117" i="53"/>
  <c r="Q117" i="53"/>
  <c r="AO116" i="53"/>
  <c r="AN116" i="53"/>
  <c r="AM116" i="53"/>
  <c r="AL116" i="53"/>
  <c r="AK116" i="53"/>
  <c r="AJ116" i="53"/>
  <c r="AI116" i="53"/>
  <c r="AH116" i="53"/>
  <c r="AG116" i="53"/>
  <c r="AF116" i="53"/>
  <c r="AE116" i="53"/>
  <c r="AD116" i="53"/>
  <c r="AC116" i="53"/>
  <c r="AB116" i="53"/>
  <c r="AA116" i="53"/>
  <c r="Z116" i="53"/>
  <c r="Y116" i="53"/>
  <c r="X116" i="53"/>
  <c r="V116" i="53"/>
  <c r="AO115" i="53"/>
  <c r="AN115" i="53"/>
  <c r="AM115" i="53"/>
  <c r="AL115" i="53"/>
  <c r="AK115" i="53"/>
  <c r="AJ115" i="53"/>
  <c r="AI115" i="53"/>
  <c r="AH115" i="53"/>
  <c r="AG115" i="53"/>
  <c r="AF115" i="53"/>
  <c r="AE115" i="53"/>
  <c r="AD115" i="53"/>
  <c r="AC115" i="53"/>
  <c r="AB115" i="53"/>
  <c r="AA115" i="53"/>
  <c r="Z115" i="53"/>
  <c r="Y115" i="53"/>
  <c r="X115" i="53"/>
  <c r="W115" i="53"/>
  <c r="V115" i="53"/>
  <c r="AO114" i="53"/>
  <c r="AN114" i="53"/>
  <c r="AM114" i="53"/>
  <c r="AL114" i="53"/>
  <c r="AK114" i="53"/>
  <c r="AJ114" i="53"/>
  <c r="AI114" i="53"/>
  <c r="AH114" i="53"/>
  <c r="AG114" i="53"/>
  <c r="AF114" i="53"/>
  <c r="AE114" i="53"/>
  <c r="AD114" i="53"/>
  <c r="AC114" i="53"/>
  <c r="AB114" i="53"/>
  <c r="AA114" i="53"/>
  <c r="Z114" i="53"/>
  <c r="Y114" i="53"/>
  <c r="X114" i="53"/>
  <c r="W114" i="53"/>
  <c r="V114" i="53"/>
  <c r="AO113" i="53"/>
  <c r="AN113" i="53"/>
  <c r="AM113" i="53"/>
  <c r="AL113" i="53"/>
  <c r="AK113" i="53"/>
  <c r="AJ113" i="53"/>
  <c r="AI113" i="53"/>
  <c r="AH113" i="53"/>
  <c r="AG113" i="53"/>
  <c r="AF113" i="53"/>
  <c r="AE113" i="53"/>
  <c r="AD113" i="53"/>
  <c r="AC113" i="53"/>
  <c r="AB113" i="53"/>
  <c r="AA113" i="53"/>
  <c r="Z113" i="53"/>
  <c r="Y113" i="53"/>
  <c r="X113" i="53"/>
  <c r="W113" i="53"/>
  <c r="V113" i="53"/>
  <c r="AO112" i="53"/>
  <c r="AN112" i="53"/>
  <c r="AM112" i="53"/>
  <c r="AL112" i="53"/>
  <c r="AK112" i="53"/>
  <c r="AJ112" i="53"/>
  <c r="AI112" i="53"/>
  <c r="AH112" i="53"/>
  <c r="AG112" i="53"/>
  <c r="AF112" i="53"/>
  <c r="AE112" i="53"/>
  <c r="AD112" i="53"/>
  <c r="AC112" i="53"/>
  <c r="AB112" i="53"/>
  <c r="AA112" i="53"/>
  <c r="Z112" i="53"/>
  <c r="Y112" i="53"/>
  <c r="X112" i="53"/>
  <c r="V112" i="53"/>
  <c r="AO111" i="53"/>
  <c r="AN111" i="53"/>
  <c r="AM111" i="53"/>
  <c r="AL111" i="53"/>
  <c r="AK111" i="53"/>
  <c r="AJ111" i="53"/>
  <c r="AI111" i="53"/>
  <c r="AH111" i="53"/>
  <c r="AG111" i="53"/>
  <c r="AF111" i="53"/>
  <c r="AE111" i="53"/>
  <c r="AD111" i="53"/>
  <c r="AC111" i="53"/>
  <c r="AB111" i="53"/>
  <c r="AA111" i="53"/>
  <c r="Z111" i="53"/>
  <c r="Y111" i="53"/>
  <c r="X111" i="53"/>
  <c r="V111" i="53"/>
  <c r="AO110" i="53"/>
  <c r="AN110" i="53"/>
  <c r="AM110" i="53"/>
  <c r="AL110" i="53"/>
  <c r="AK110" i="53"/>
  <c r="AJ110" i="53"/>
  <c r="AI110" i="53"/>
  <c r="AH110" i="53"/>
  <c r="AG110" i="53"/>
  <c r="AF110" i="53"/>
  <c r="AE110" i="53"/>
  <c r="AD110" i="53"/>
  <c r="AC110" i="53"/>
  <c r="AB110" i="53"/>
  <c r="AA110" i="53"/>
  <c r="Z110" i="53"/>
  <c r="Y110" i="53"/>
  <c r="X110" i="53"/>
  <c r="V110" i="53"/>
  <c r="AO109" i="53"/>
  <c r="AN109" i="53"/>
  <c r="AM109" i="53"/>
  <c r="AL109" i="53"/>
  <c r="AK109" i="53"/>
  <c r="AJ109" i="53"/>
  <c r="AI109" i="53"/>
  <c r="AH109" i="53"/>
  <c r="AG109" i="53"/>
  <c r="AF109" i="53"/>
  <c r="AE109" i="53"/>
  <c r="AD109" i="53"/>
  <c r="AC109" i="53"/>
  <c r="AB109" i="53"/>
  <c r="AA109" i="53"/>
  <c r="Z109" i="53"/>
  <c r="Y109" i="53"/>
  <c r="X109" i="53"/>
  <c r="V109" i="53"/>
  <c r="AO108" i="53"/>
  <c r="AN108" i="53"/>
  <c r="AM108" i="53"/>
  <c r="AL108" i="53"/>
  <c r="AK108" i="53"/>
  <c r="AJ108" i="53"/>
  <c r="AI108" i="53"/>
  <c r="AH108" i="53"/>
  <c r="AG108" i="53"/>
  <c r="AF108" i="53"/>
  <c r="AE108" i="53"/>
  <c r="AD108" i="53"/>
  <c r="AC108" i="53"/>
  <c r="AB108" i="53"/>
  <c r="AA108" i="53"/>
  <c r="Z108" i="53"/>
  <c r="Y108" i="53"/>
  <c r="X108" i="53"/>
  <c r="V108" i="53"/>
  <c r="AO107" i="53"/>
  <c r="AN107" i="53"/>
  <c r="AM107" i="53"/>
  <c r="AL107" i="53"/>
  <c r="AK107" i="53"/>
  <c r="AJ107" i="53"/>
  <c r="AI107" i="53"/>
  <c r="AH107" i="53"/>
  <c r="AG107" i="53"/>
  <c r="AF107" i="53"/>
  <c r="AE107" i="53"/>
  <c r="AD107" i="53"/>
  <c r="AC107" i="53"/>
  <c r="AB107" i="53"/>
  <c r="AA107" i="53"/>
  <c r="Z107" i="53"/>
  <c r="Y107" i="53"/>
  <c r="X107" i="53"/>
  <c r="V107" i="53"/>
  <c r="AO106" i="53"/>
  <c r="AN106" i="53"/>
  <c r="AM106" i="53"/>
  <c r="AL106" i="53"/>
  <c r="AK106" i="53"/>
  <c r="AJ106" i="53"/>
  <c r="AI106" i="53"/>
  <c r="AH106" i="53"/>
  <c r="AG106" i="53"/>
  <c r="AF106" i="53"/>
  <c r="AE106" i="53"/>
  <c r="AD106" i="53"/>
  <c r="AC106" i="53"/>
  <c r="AB106" i="53"/>
  <c r="AA106" i="53"/>
  <c r="Z106" i="53"/>
  <c r="Y106" i="53"/>
  <c r="X106" i="53"/>
  <c r="V106" i="53"/>
  <c r="AO105" i="53"/>
  <c r="AN105" i="53"/>
  <c r="AM105" i="53"/>
  <c r="AL105" i="53"/>
  <c r="AK105" i="53"/>
  <c r="AJ105" i="53"/>
  <c r="AI105" i="53"/>
  <c r="AH105" i="53"/>
  <c r="AG105" i="53"/>
  <c r="AF105" i="53"/>
  <c r="AE105" i="53"/>
  <c r="AD105" i="53"/>
  <c r="AC105" i="53"/>
  <c r="AB105" i="53"/>
  <c r="AA105" i="53"/>
  <c r="Z105" i="53"/>
  <c r="Y105" i="53"/>
  <c r="X105" i="53"/>
  <c r="V105" i="53"/>
  <c r="AO104" i="53"/>
  <c r="AN104" i="53"/>
  <c r="AM104" i="53"/>
  <c r="AL104" i="53"/>
  <c r="AK104" i="53"/>
  <c r="AJ104" i="53"/>
  <c r="AI104" i="53"/>
  <c r="AH104" i="53"/>
  <c r="AG104" i="53"/>
  <c r="AF104" i="53"/>
  <c r="AE104" i="53"/>
  <c r="AD104" i="53"/>
  <c r="AC104" i="53"/>
  <c r="AB104" i="53"/>
  <c r="AA104" i="53"/>
  <c r="Z104" i="53"/>
  <c r="Y104" i="53"/>
  <c r="X104" i="53"/>
  <c r="W104" i="53"/>
  <c r="V104" i="53"/>
  <c r="AO103" i="53"/>
  <c r="AN103" i="53"/>
  <c r="AM103" i="53"/>
  <c r="AL103" i="53"/>
  <c r="AK103" i="53"/>
  <c r="AJ103" i="53"/>
  <c r="AI103" i="53"/>
  <c r="AH103" i="53"/>
  <c r="AG103" i="53"/>
  <c r="AF103" i="53"/>
  <c r="AE103" i="53"/>
  <c r="AD103" i="53"/>
  <c r="AC103" i="53"/>
  <c r="AB103" i="53"/>
  <c r="AA103" i="53"/>
  <c r="Z103" i="53"/>
  <c r="Y103" i="53"/>
  <c r="X103" i="53"/>
  <c r="V103" i="53"/>
  <c r="AO102" i="53"/>
  <c r="AN102" i="53"/>
  <c r="AM102" i="53"/>
  <c r="AL102" i="53"/>
  <c r="AK102" i="53"/>
  <c r="AJ102" i="53"/>
  <c r="AI102" i="53"/>
  <c r="AH102" i="53"/>
  <c r="AG102" i="53"/>
  <c r="AF102" i="53"/>
  <c r="AE102" i="53"/>
  <c r="AD102" i="53"/>
  <c r="AC102" i="53"/>
  <c r="AB102" i="53"/>
  <c r="AA102" i="53"/>
  <c r="Z102" i="53"/>
  <c r="Y102" i="53"/>
  <c r="X102" i="53"/>
  <c r="W102" i="53"/>
  <c r="V102" i="53"/>
  <c r="AO101" i="53"/>
  <c r="AN101" i="53"/>
  <c r="AM101" i="53"/>
  <c r="AL101" i="53"/>
  <c r="AK101" i="53"/>
  <c r="AJ101" i="53"/>
  <c r="AI101" i="53"/>
  <c r="AH101" i="53"/>
  <c r="AG101" i="53"/>
  <c r="AF101" i="53"/>
  <c r="AE101" i="53"/>
  <c r="AD101" i="53"/>
  <c r="AC101" i="53"/>
  <c r="AB101" i="53"/>
  <c r="AA101" i="53"/>
  <c r="Z101" i="53"/>
  <c r="Y101" i="53"/>
  <c r="X101" i="53"/>
  <c r="V101" i="53"/>
  <c r="AO100" i="53"/>
  <c r="AN100" i="53"/>
  <c r="AM100" i="53"/>
  <c r="AL100" i="53"/>
  <c r="AK100" i="53"/>
  <c r="AJ100" i="53"/>
  <c r="AI100" i="53"/>
  <c r="AH100" i="53"/>
  <c r="AG100" i="53"/>
  <c r="AF100" i="53"/>
  <c r="AE100" i="53"/>
  <c r="AD100" i="53"/>
  <c r="AC100" i="53"/>
  <c r="AB100" i="53"/>
  <c r="AA100" i="53"/>
  <c r="Z100" i="53"/>
  <c r="Y100" i="53"/>
  <c r="X100" i="53"/>
  <c r="V100" i="53"/>
  <c r="AA95" i="53"/>
  <c r="Y95" i="53"/>
  <c r="AC94" i="53"/>
  <c r="AA94" i="53"/>
  <c r="W94" i="53"/>
  <c r="AC93" i="53"/>
  <c r="AB93" i="53"/>
  <c r="Y93" i="53"/>
  <c r="X93" i="53"/>
  <c r="W93" i="53"/>
  <c r="V93" i="53"/>
  <c r="AA92" i="53"/>
  <c r="Y92" i="53"/>
  <c r="AC91" i="53"/>
  <c r="AA91" i="53"/>
  <c r="W91" i="53"/>
  <c r="AC90" i="53"/>
  <c r="Y90" i="53"/>
  <c r="W90" i="53"/>
  <c r="AA89" i="53"/>
  <c r="Y89" i="53"/>
  <c r="AC88" i="53"/>
  <c r="AA88" i="53"/>
  <c r="W88" i="53"/>
  <c r="AC87" i="53"/>
  <c r="Y87" i="53"/>
  <c r="Z82" i="53"/>
  <c r="Y82" i="53"/>
  <c r="X82" i="53"/>
  <c r="W82" i="53"/>
  <c r="V82" i="53"/>
  <c r="Z81" i="53"/>
  <c r="Y81" i="53"/>
  <c r="X81" i="53"/>
  <c r="W81" i="53"/>
  <c r="V81" i="53"/>
  <c r="Z80" i="53"/>
  <c r="Y80" i="53"/>
  <c r="X80" i="53"/>
  <c r="W80" i="53"/>
  <c r="V80" i="53"/>
  <c r="Z79" i="53"/>
  <c r="Y79" i="53"/>
  <c r="X79" i="53"/>
  <c r="W79" i="53"/>
  <c r="V79" i="53"/>
  <c r="Z78" i="53"/>
  <c r="Y78" i="53"/>
  <c r="X78" i="53"/>
  <c r="W78" i="53"/>
  <c r="V78" i="53"/>
  <c r="Z77" i="53"/>
  <c r="Y77" i="53"/>
  <c r="X77" i="53"/>
  <c r="W77" i="53"/>
  <c r="V77" i="53"/>
  <c r="Z76" i="53"/>
  <c r="Y76" i="53"/>
  <c r="X76" i="53"/>
  <c r="W76" i="53"/>
  <c r="V76" i="53"/>
  <c r="Z75" i="53"/>
  <c r="Y75" i="53"/>
  <c r="X75" i="53"/>
  <c r="V75" i="53"/>
  <c r="Z74" i="53"/>
  <c r="Y74" i="53"/>
  <c r="X74" i="53"/>
  <c r="W74" i="53"/>
  <c r="V74" i="53"/>
  <c r="Z73" i="53"/>
  <c r="Y73" i="53"/>
  <c r="X73" i="53"/>
  <c r="W73" i="53"/>
  <c r="V73" i="53"/>
  <c r="Z68" i="53"/>
  <c r="Y68" i="53"/>
  <c r="X68" i="53"/>
  <c r="W68" i="53"/>
  <c r="V68" i="53"/>
  <c r="Z67" i="53"/>
  <c r="Y67" i="53"/>
  <c r="X67" i="53"/>
  <c r="W67" i="53"/>
  <c r="V67" i="53"/>
  <c r="Z66" i="53"/>
  <c r="Y66" i="53"/>
  <c r="X66" i="53"/>
  <c r="V66" i="53"/>
  <c r="Z65" i="53"/>
  <c r="Y65" i="53"/>
  <c r="X65" i="53"/>
  <c r="W65" i="53"/>
  <c r="V65" i="53"/>
  <c r="Z64" i="53"/>
  <c r="Y64" i="53"/>
  <c r="X64" i="53"/>
  <c r="W64" i="53"/>
  <c r="V64" i="53"/>
  <c r="Z63" i="53"/>
  <c r="Y63" i="53"/>
  <c r="X63" i="53"/>
  <c r="W63" i="53"/>
  <c r="V63" i="53"/>
  <c r="Z62" i="53"/>
  <c r="Y62" i="53"/>
  <c r="X62" i="53"/>
  <c r="W62" i="53"/>
  <c r="V62" i="53"/>
  <c r="Z61" i="53"/>
  <c r="Y61" i="53"/>
  <c r="X61" i="53"/>
  <c r="W61" i="53"/>
  <c r="V61" i="53"/>
  <c r="Z60" i="53"/>
  <c r="Y60" i="53"/>
  <c r="X60" i="53"/>
  <c r="W60" i="53"/>
  <c r="V60" i="53"/>
  <c r="Z59" i="53"/>
  <c r="Y59" i="53"/>
  <c r="X59" i="53"/>
  <c r="W59" i="53"/>
  <c r="V59" i="53"/>
  <c r="Z58" i="53"/>
  <c r="Y58" i="53"/>
  <c r="X58" i="53"/>
  <c r="W58" i="53"/>
  <c r="V58" i="53"/>
  <c r="Z57" i="53"/>
  <c r="Y57" i="53"/>
  <c r="X57" i="53"/>
  <c r="W57" i="53"/>
  <c r="V57" i="53"/>
  <c r="Z56" i="53"/>
  <c r="Y56" i="53"/>
  <c r="X56" i="53"/>
  <c r="W56" i="53"/>
  <c r="V56" i="53"/>
  <c r="AC47" i="53"/>
  <c r="AC46" i="53"/>
  <c r="AE45" i="53"/>
  <c r="AC45" i="53"/>
  <c r="AE46" i="53" s="1"/>
  <c r="J38" i="53" s="1"/>
  <c r="B45" i="53"/>
  <c r="AP44" i="53"/>
  <c r="B94" i="53" s="1"/>
  <c r="AP43" i="53"/>
  <c r="B91" i="53" s="1"/>
  <c r="AP42" i="53"/>
  <c r="B88" i="53" s="1"/>
  <c r="X42" i="53"/>
  <c r="AP41" i="53"/>
  <c r="B85" i="53" s="1"/>
  <c r="X41" i="53"/>
  <c r="AP40" i="53"/>
  <c r="B82" i="53" s="1"/>
  <c r="X40" i="53"/>
  <c r="X39" i="53"/>
  <c r="X38" i="53"/>
  <c r="B38" i="53"/>
  <c r="AK37" i="53"/>
  <c r="AU59" i="53" s="1"/>
  <c r="X37" i="53"/>
  <c r="AL36" i="53"/>
  <c r="AK36" i="53"/>
  <c r="AU58" i="53" s="1"/>
  <c r="X36" i="53"/>
  <c r="AL35" i="53"/>
  <c r="AK35" i="53"/>
  <c r="AU57" i="53" s="1"/>
  <c r="X35" i="53"/>
  <c r="Q35" i="53"/>
  <c r="P35" i="53"/>
  <c r="O35" i="53" s="1"/>
  <c r="E18" i="53" s="1"/>
  <c r="AL34" i="53"/>
  <c r="AK34" i="53"/>
  <c r="AU56" i="53" s="1"/>
  <c r="X34" i="53"/>
  <c r="AQ33" i="53"/>
  <c r="AL33" i="53"/>
  <c r="AK33" i="53"/>
  <c r="AU55" i="53" s="1"/>
  <c r="X33" i="53"/>
  <c r="AL32" i="53"/>
  <c r="AK32" i="53"/>
  <c r="AU54" i="53" s="1"/>
  <c r="X32" i="53"/>
  <c r="AL31" i="53"/>
  <c r="AK31" i="53"/>
  <c r="AU53" i="53" s="1"/>
  <c r="AG31" i="53"/>
  <c r="X31" i="53"/>
  <c r="AL30" i="53"/>
  <c r="AK30" i="53"/>
  <c r="AU52" i="53" s="1"/>
  <c r="X30" i="53"/>
  <c r="B30" i="53"/>
  <c r="AQ29" i="53"/>
  <c r="AL29" i="53"/>
  <c r="AK29" i="53"/>
  <c r="AU51" i="53" s="1"/>
  <c r="X29" i="53"/>
  <c r="X28" i="53"/>
  <c r="AQ27" i="53"/>
  <c r="B27" i="53"/>
  <c r="P25" i="53"/>
  <c r="I24" i="53" s="1"/>
  <c r="G24" i="53"/>
  <c r="E24" i="53"/>
  <c r="C24" i="53"/>
  <c r="AB23" i="53"/>
  <c r="AA23" i="53"/>
  <c r="Z23" i="53"/>
  <c r="AC23" i="53" s="1"/>
  <c r="Y23" i="53"/>
  <c r="I23" i="53"/>
  <c r="G23" i="53"/>
  <c r="E23" i="53"/>
  <c r="C23" i="53"/>
  <c r="AB22" i="53"/>
  <c r="AA22" i="53"/>
  <c r="AC22" i="53" s="1"/>
  <c r="Z22" i="53"/>
  <c r="Y22" i="53"/>
  <c r="I22" i="53"/>
  <c r="G22" i="53"/>
  <c r="E22" i="53"/>
  <c r="C22" i="53"/>
  <c r="I21" i="53"/>
  <c r="G21" i="53"/>
  <c r="E21" i="53"/>
  <c r="C21" i="53"/>
  <c r="AQ20" i="53"/>
  <c r="B72" i="53" s="1"/>
  <c r="AQ36" i="53" s="1"/>
  <c r="AI20" i="53"/>
  <c r="I20" i="53"/>
  <c r="AQ19" i="53"/>
  <c r="B69" i="53" s="1"/>
  <c r="AQ35" i="53" s="1"/>
  <c r="AI19" i="53"/>
  <c r="AQ18" i="53"/>
  <c r="B66" i="53" s="1"/>
  <c r="AQ34" i="53" s="1"/>
  <c r="AI18" i="53"/>
  <c r="AJ18" i="53" s="1"/>
  <c r="AK18" i="53" s="1"/>
  <c r="AV26" i="53" s="1"/>
  <c r="I18" i="53"/>
  <c r="AI17" i="53"/>
  <c r="AI16" i="53"/>
  <c r="AI15" i="53"/>
  <c r="AJ15" i="53" s="1"/>
  <c r="AK15" i="53" s="1"/>
  <c r="AU26" i="53" s="1"/>
  <c r="AQ14" i="53"/>
  <c r="B63" i="53" s="1"/>
  <c r="AI14" i="53"/>
  <c r="I14" i="53"/>
  <c r="AQ13" i="53"/>
  <c r="B60" i="53" s="1"/>
  <c r="AQ32" i="53" s="1"/>
  <c r="AI13" i="53"/>
  <c r="AQ12" i="53"/>
  <c r="B57" i="53" s="1"/>
  <c r="AQ31" i="53" s="1"/>
  <c r="AI12" i="53"/>
  <c r="AJ12" i="53" s="1"/>
  <c r="AK12" i="53" s="1"/>
  <c r="AT26" i="53" s="1"/>
  <c r="AI11" i="53"/>
  <c r="AB11" i="53"/>
  <c r="AA11" i="53"/>
  <c r="Z11" i="53"/>
  <c r="AC11" i="53" s="1"/>
  <c r="Y11" i="53"/>
  <c r="AI10" i="53"/>
  <c r="AB10" i="53"/>
  <c r="AA10" i="53"/>
  <c r="Z10" i="53"/>
  <c r="AC10" i="53" s="1"/>
  <c r="Y10" i="53"/>
  <c r="AJ9" i="53"/>
  <c r="AI9" i="53"/>
  <c r="AB9" i="53"/>
  <c r="AA9" i="53"/>
  <c r="Z9" i="53"/>
  <c r="AC9" i="53" s="1"/>
  <c r="Y9" i="53"/>
  <c r="AQ8" i="53"/>
  <c r="B54" i="53" s="1"/>
  <c r="AQ30" i="53" s="1"/>
  <c r="AC8" i="53"/>
  <c r="AB8" i="53"/>
  <c r="AA8" i="53"/>
  <c r="Z8" i="53"/>
  <c r="Y8" i="53"/>
  <c r="AQ7" i="53"/>
  <c r="B51" i="53" s="1"/>
  <c r="AQ6" i="53"/>
  <c r="B48" i="53" s="1"/>
  <c r="AA215" i="52"/>
  <c r="V214" i="52"/>
  <c r="V213" i="52"/>
  <c r="V212" i="52"/>
  <c r="V211" i="52"/>
  <c r="V210" i="52"/>
  <c r="V209" i="52"/>
  <c r="V208" i="52"/>
  <c r="V207" i="52"/>
  <c r="V206" i="52"/>
  <c r="V205" i="52"/>
  <c r="V204" i="52"/>
  <c r="V203" i="52"/>
  <c r="V202" i="52"/>
  <c r="V201" i="52"/>
  <c r="V200" i="52"/>
  <c r="V199" i="52"/>
  <c r="V198" i="52"/>
  <c r="V197" i="52"/>
  <c r="V196" i="52"/>
  <c r="V195" i="52"/>
  <c r="V194" i="52"/>
  <c r="V193" i="52"/>
  <c r="V192" i="52"/>
  <c r="V191" i="52"/>
  <c r="V190" i="52"/>
  <c r="V189" i="52"/>
  <c r="V188" i="52"/>
  <c r="AO179" i="52"/>
  <c r="AN179" i="52"/>
  <c r="AM179" i="52"/>
  <c r="AL179" i="52"/>
  <c r="AK179" i="52"/>
  <c r="AJ179" i="52"/>
  <c r="AI179" i="52"/>
  <c r="AH179" i="52"/>
  <c r="AG179" i="52"/>
  <c r="AF179" i="52"/>
  <c r="AE179" i="52"/>
  <c r="AD179" i="52"/>
  <c r="AC179" i="52"/>
  <c r="AB179" i="52"/>
  <c r="AA179" i="52"/>
  <c r="Z179" i="52"/>
  <c r="Y179" i="52"/>
  <c r="X179" i="52"/>
  <c r="W179" i="52"/>
  <c r="V179" i="52"/>
  <c r="AO178" i="52"/>
  <c r="AN178" i="52"/>
  <c r="AM178" i="52"/>
  <c r="AL178" i="52"/>
  <c r="AK178" i="52"/>
  <c r="AJ178" i="52"/>
  <c r="AI178" i="52"/>
  <c r="AH178" i="52"/>
  <c r="AG178" i="52"/>
  <c r="AF178" i="52"/>
  <c r="AE178" i="52"/>
  <c r="AD178" i="52"/>
  <c r="AC178" i="52"/>
  <c r="AB178" i="52"/>
  <c r="AA178" i="52"/>
  <c r="Z178" i="52"/>
  <c r="Y178" i="52"/>
  <c r="X178" i="52"/>
  <c r="W178" i="52"/>
  <c r="V178" i="52"/>
  <c r="AO177" i="52"/>
  <c r="AN177" i="52"/>
  <c r="AM177" i="52"/>
  <c r="AL177" i="52"/>
  <c r="AK177" i="52"/>
  <c r="AJ177" i="52"/>
  <c r="AI177" i="52"/>
  <c r="AH177" i="52"/>
  <c r="AG177" i="52"/>
  <c r="AF177" i="52"/>
  <c r="AE177" i="52"/>
  <c r="AD177" i="52"/>
  <c r="AC177" i="52"/>
  <c r="AB177" i="52"/>
  <c r="AA177" i="52"/>
  <c r="Z177" i="52"/>
  <c r="Y177" i="52"/>
  <c r="X177" i="52"/>
  <c r="W177" i="52"/>
  <c r="V177" i="52"/>
  <c r="AO176" i="52"/>
  <c r="AN176" i="52"/>
  <c r="AM176" i="52"/>
  <c r="AL176" i="52"/>
  <c r="AK176" i="52"/>
  <c r="AJ176" i="52"/>
  <c r="AI176" i="52"/>
  <c r="AH176" i="52"/>
  <c r="AG176" i="52"/>
  <c r="AF176" i="52"/>
  <c r="AE176" i="52"/>
  <c r="AD176" i="52"/>
  <c r="AC176" i="52"/>
  <c r="AB176" i="52"/>
  <c r="AA176" i="52"/>
  <c r="Z176" i="52"/>
  <c r="Y176" i="52"/>
  <c r="X176" i="52"/>
  <c r="V176" i="52"/>
  <c r="AO175" i="52"/>
  <c r="AN175" i="52"/>
  <c r="AM175" i="52"/>
  <c r="AL175" i="52"/>
  <c r="AK175" i="52"/>
  <c r="AJ175" i="52"/>
  <c r="AI175" i="52"/>
  <c r="AH175" i="52"/>
  <c r="AG175" i="52"/>
  <c r="AF175" i="52"/>
  <c r="AE175" i="52"/>
  <c r="AD175" i="52"/>
  <c r="AC175" i="52"/>
  <c r="AB175" i="52"/>
  <c r="AA175" i="52"/>
  <c r="Z175" i="52"/>
  <c r="Y175" i="52"/>
  <c r="X175" i="52"/>
  <c r="V175" i="52"/>
  <c r="AO174" i="52"/>
  <c r="AN174" i="52"/>
  <c r="AM174" i="52"/>
  <c r="AL174" i="52"/>
  <c r="AK174" i="52"/>
  <c r="AJ174" i="52"/>
  <c r="AI174" i="52"/>
  <c r="AH174" i="52"/>
  <c r="AG174" i="52"/>
  <c r="AF174" i="52"/>
  <c r="AE174" i="52"/>
  <c r="AD174" i="52"/>
  <c r="AC174" i="52"/>
  <c r="AB174" i="52"/>
  <c r="AA174" i="52"/>
  <c r="Z174" i="52"/>
  <c r="Y174" i="52"/>
  <c r="X174" i="52"/>
  <c r="V174" i="52"/>
  <c r="AO173" i="52"/>
  <c r="AN173" i="52"/>
  <c r="AM173" i="52"/>
  <c r="AL173" i="52"/>
  <c r="AK173" i="52"/>
  <c r="AJ173" i="52"/>
  <c r="AI173" i="52"/>
  <c r="AH173" i="52"/>
  <c r="AG173" i="52"/>
  <c r="AF173" i="52"/>
  <c r="AE173" i="52"/>
  <c r="AD173" i="52"/>
  <c r="AC173" i="52"/>
  <c r="AB173" i="52"/>
  <c r="AA173" i="52"/>
  <c r="Z173" i="52"/>
  <c r="Y173" i="52"/>
  <c r="X173" i="52"/>
  <c r="V173" i="52"/>
  <c r="AO172" i="52"/>
  <c r="AN172" i="52"/>
  <c r="AM172" i="52"/>
  <c r="AL172" i="52"/>
  <c r="AK172" i="52"/>
  <c r="AJ172" i="52"/>
  <c r="AI172" i="52"/>
  <c r="AH172" i="52"/>
  <c r="AG172" i="52"/>
  <c r="AF172" i="52"/>
  <c r="AE172" i="52"/>
  <c r="AD172" i="52"/>
  <c r="AC172" i="52"/>
  <c r="AB172" i="52"/>
  <c r="AA172" i="52"/>
  <c r="Z172" i="52"/>
  <c r="Y172" i="52"/>
  <c r="X172" i="52"/>
  <c r="W172" i="52"/>
  <c r="V172" i="52"/>
  <c r="AO171" i="52"/>
  <c r="AN171" i="52"/>
  <c r="AM171" i="52"/>
  <c r="AL171" i="52"/>
  <c r="AK171" i="52"/>
  <c r="AJ171" i="52"/>
  <c r="AI171" i="52"/>
  <c r="AH171" i="52"/>
  <c r="AG171" i="52"/>
  <c r="AF171" i="52"/>
  <c r="AE171" i="52"/>
  <c r="AD171" i="52"/>
  <c r="AC171" i="52"/>
  <c r="AB171" i="52"/>
  <c r="AA171" i="52"/>
  <c r="Z171" i="52"/>
  <c r="Y171" i="52"/>
  <c r="X171" i="52"/>
  <c r="V171" i="52"/>
  <c r="AO170" i="52"/>
  <c r="AN170" i="52"/>
  <c r="AM170" i="52"/>
  <c r="AL170" i="52"/>
  <c r="AK170" i="52"/>
  <c r="AJ170" i="52"/>
  <c r="AI170" i="52"/>
  <c r="AH170" i="52"/>
  <c r="AG170" i="52"/>
  <c r="AF170" i="52"/>
  <c r="AE170" i="52"/>
  <c r="AD170" i="52"/>
  <c r="AC170" i="52"/>
  <c r="AB170" i="52"/>
  <c r="AA170" i="52"/>
  <c r="Z170" i="52"/>
  <c r="Y170" i="52"/>
  <c r="X170" i="52"/>
  <c r="V170" i="52"/>
  <c r="AO169" i="52"/>
  <c r="AN169" i="52"/>
  <c r="AM169" i="52"/>
  <c r="AL169" i="52"/>
  <c r="AK169" i="52"/>
  <c r="AJ169" i="52"/>
  <c r="AI169" i="52"/>
  <c r="AH169" i="52"/>
  <c r="AG169" i="52"/>
  <c r="AF169" i="52"/>
  <c r="AE169" i="52"/>
  <c r="AD169" i="52"/>
  <c r="AC169" i="52"/>
  <c r="AB169" i="52"/>
  <c r="AA169" i="52"/>
  <c r="Z169" i="52"/>
  <c r="Y169" i="52"/>
  <c r="X169" i="52"/>
  <c r="W169" i="52"/>
  <c r="V169" i="52"/>
  <c r="AO168" i="52"/>
  <c r="AN168" i="52"/>
  <c r="AM168" i="52"/>
  <c r="AL168" i="52"/>
  <c r="X95" i="52" s="1"/>
  <c r="AK168" i="52"/>
  <c r="AJ168" i="52"/>
  <c r="AI168" i="52"/>
  <c r="AH168" i="52"/>
  <c r="AG168" i="52"/>
  <c r="AF168" i="52"/>
  <c r="AE168" i="52"/>
  <c r="AD168" i="52"/>
  <c r="AD95" i="52" s="1"/>
  <c r="AC168" i="52"/>
  <c r="AB168" i="52"/>
  <c r="AB95" i="52" s="1"/>
  <c r="AA168" i="52"/>
  <c r="Z168" i="52"/>
  <c r="Z95" i="52" s="1"/>
  <c r="Y168" i="52"/>
  <c r="Y95" i="52" s="1"/>
  <c r="X168" i="52"/>
  <c r="W168" i="52"/>
  <c r="V168" i="52"/>
  <c r="V95" i="52" s="1"/>
  <c r="AO167" i="52"/>
  <c r="AN167" i="52"/>
  <c r="AM167" i="52"/>
  <c r="AL167" i="52"/>
  <c r="X94" i="52" s="1"/>
  <c r="AK167" i="52"/>
  <c r="AJ167" i="52"/>
  <c r="AI167" i="52"/>
  <c r="AH167" i="52"/>
  <c r="AG167" i="52"/>
  <c r="AF167" i="52"/>
  <c r="AE167" i="52"/>
  <c r="AD167" i="52"/>
  <c r="AD94" i="52" s="1"/>
  <c r="AC167" i="52"/>
  <c r="AB167" i="52"/>
  <c r="AA167" i="52"/>
  <c r="Z167" i="52"/>
  <c r="Z94" i="52" s="1"/>
  <c r="Y167" i="52"/>
  <c r="X167" i="52"/>
  <c r="W167" i="52"/>
  <c r="V167" i="52"/>
  <c r="V94" i="52" s="1"/>
  <c r="AO166" i="52"/>
  <c r="AN166" i="52"/>
  <c r="AM166" i="52"/>
  <c r="AL166" i="52"/>
  <c r="X93" i="52" s="1"/>
  <c r="AK166" i="52"/>
  <c r="AJ166" i="52"/>
  <c r="AI166" i="52"/>
  <c r="AH166" i="52"/>
  <c r="AG166" i="52"/>
  <c r="AF166" i="52"/>
  <c r="AE166" i="52"/>
  <c r="AD166" i="52"/>
  <c r="AD93" i="52" s="1"/>
  <c r="AC166" i="52"/>
  <c r="AB166" i="52"/>
  <c r="AB93" i="52" s="1"/>
  <c r="AA166" i="52"/>
  <c r="Z166" i="52"/>
  <c r="Z93" i="52" s="1"/>
  <c r="Y166" i="52"/>
  <c r="X166" i="52"/>
  <c r="W166" i="52"/>
  <c r="W93" i="52" s="1"/>
  <c r="V166" i="52"/>
  <c r="V93" i="52" s="1"/>
  <c r="AO165" i="52"/>
  <c r="AN165" i="52"/>
  <c r="AM165" i="52"/>
  <c r="AL165" i="52"/>
  <c r="X92" i="52" s="1"/>
  <c r="AK165" i="52"/>
  <c r="AJ165" i="52"/>
  <c r="AI165" i="52"/>
  <c r="AH165" i="52"/>
  <c r="AG165" i="52"/>
  <c r="AF165" i="52"/>
  <c r="AE165" i="52"/>
  <c r="AD165" i="52"/>
  <c r="AD92" i="52" s="1"/>
  <c r="AC165" i="52"/>
  <c r="AB165" i="52"/>
  <c r="AB92" i="52" s="1"/>
  <c r="AA165" i="52"/>
  <c r="Z165" i="52"/>
  <c r="Z92" i="52" s="1"/>
  <c r="Y165" i="52"/>
  <c r="Y92" i="52" s="1"/>
  <c r="X165" i="52"/>
  <c r="W165" i="52"/>
  <c r="V165" i="52"/>
  <c r="V92" i="52" s="1"/>
  <c r="AO164" i="52"/>
  <c r="AN164" i="52"/>
  <c r="AM164" i="52"/>
  <c r="AL164" i="52"/>
  <c r="X91" i="52" s="1"/>
  <c r="AK164" i="52"/>
  <c r="AJ164" i="52"/>
  <c r="AI164" i="52"/>
  <c r="AH164" i="52"/>
  <c r="AG164" i="52"/>
  <c r="AF164" i="52"/>
  <c r="AE164" i="52"/>
  <c r="AD164" i="52"/>
  <c r="AD91" i="52" s="1"/>
  <c r="AC164" i="52"/>
  <c r="AB164" i="52"/>
  <c r="AB91" i="52" s="1"/>
  <c r="AA164" i="52"/>
  <c r="AA91" i="52" s="1"/>
  <c r="Z164" i="52"/>
  <c r="Z91" i="52" s="1"/>
  <c r="Y164" i="52"/>
  <c r="X164" i="52"/>
  <c r="W164" i="52"/>
  <c r="V164" i="52"/>
  <c r="V91" i="52" s="1"/>
  <c r="AO163" i="52"/>
  <c r="AN163" i="52"/>
  <c r="AM163" i="52"/>
  <c r="AL163" i="52"/>
  <c r="X90" i="52" s="1"/>
  <c r="AK163" i="52"/>
  <c r="AJ163" i="52"/>
  <c r="AI163" i="52"/>
  <c r="AH163" i="52"/>
  <c r="AG163" i="52"/>
  <c r="AF163" i="52"/>
  <c r="AE163" i="52"/>
  <c r="AD163" i="52"/>
  <c r="AD90" i="52" s="1"/>
  <c r="AC163" i="52"/>
  <c r="AC90" i="52" s="1"/>
  <c r="AB163" i="52"/>
  <c r="AB90" i="52" s="1"/>
  <c r="AA163" i="52"/>
  <c r="Z163" i="52"/>
  <c r="Z90" i="52" s="1"/>
  <c r="Y163" i="52"/>
  <c r="Y90" i="52" s="1"/>
  <c r="X163" i="52"/>
  <c r="W163" i="52"/>
  <c r="W90" i="52" s="1"/>
  <c r="V163" i="52"/>
  <c r="V90" i="52" s="1"/>
  <c r="AO162" i="52"/>
  <c r="AN162" i="52"/>
  <c r="AM162" i="52"/>
  <c r="AL162" i="52"/>
  <c r="X89" i="52" s="1"/>
  <c r="AK162" i="52"/>
  <c r="AJ162" i="52"/>
  <c r="AI162" i="52"/>
  <c r="AH162" i="52"/>
  <c r="AG162" i="52"/>
  <c r="AF162" i="52"/>
  <c r="AE162" i="52"/>
  <c r="AD162" i="52"/>
  <c r="AD89" i="52" s="1"/>
  <c r="AC162" i="52"/>
  <c r="AB162" i="52"/>
  <c r="AB89" i="52" s="1"/>
  <c r="AA162" i="52"/>
  <c r="Z162" i="52"/>
  <c r="Y162" i="52"/>
  <c r="Y89" i="52" s="1"/>
  <c r="X162" i="52"/>
  <c r="W162" i="52"/>
  <c r="V162" i="52"/>
  <c r="V89" i="52" s="1"/>
  <c r="AO161" i="52"/>
  <c r="AN161" i="52"/>
  <c r="AM161" i="52"/>
  <c r="AL161" i="52"/>
  <c r="X88" i="52" s="1"/>
  <c r="AK161" i="52"/>
  <c r="AJ161" i="52"/>
  <c r="AI161" i="52"/>
  <c r="AH161" i="52"/>
  <c r="AG161" i="52"/>
  <c r="AF161" i="52"/>
  <c r="AE161" i="52"/>
  <c r="AD161" i="52"/>
  <c r="AD88" i="52" s="1"/>
  <c r="AC161" i="52"/>
  <c r="AB161" i="52"/>
  <c r="AB88" i="52" s="1"/>
  <c r="AA161" i="52"/>
  <c r="AA88" i="52" s="1"/>
  <c r="Z161" i="52"/>
  <c r="Z88" i="52" s="1"/>
  <c r="Y161" i="52"/>
  <c r="X161" i="52"/>
  <c r="W161" i="52"/>
  <c r="W88" i="52" s="1"/>
  <c r="V161" i="52"/>
  <c r="V88" i="52" s="1"/>
  <c r="AO160" i="52"/>
  <c r="AN160" i="52"/>
  <c r="AM160" i="52"/>
  <c r="AL160" i="52"/>
  <c r="X87" i="52" s="1"/>
  <c r="AK160" i="52"/>
  <c r="AJ160" i="52"/>
  <c r="AI160" i="52"/>
  <c r="AH160" i="52"/>
  <c r="AG160" i="52"/>
  <c r="AF160" i="52"/>
  <c r="AE160" i="52"/>
  <c r="AD160" i="52"/>
  <c r="AD87" i="52" s="1"/>
  <c r="AC160" i="52"/>
  <c r="AC87" i="52" s="1"/>
  <c r="AB160" i="52"/>
  <c r="AB87" i="52" s="1"/>
  <c r="AA160" i="52"/>
  <c r="Z160" i="52"/>
  <c r="Z87" i="52" s="1"/>
  <c r="Y160" i="52"/>
  <c r="X160" i="52"/>
  <c r="V160" i="52"/>
  <c r="V87" i="52" s="1"/>
  <c r="AO159" i="52"/>
  <c r="AN159" i="52"/>
  <c r="AM159" i="52"/>
  <c r="AL159" i="52"/>
  <c r="AK159" i="52"/>
  <c r="AJ159" i="52"/>
  <c r="AI159" i="52"/>
  <c r="AH159" i="52"/>
  <c r="AG159" i="52"/>
  <c r="AF159" i="52"/>
  <c r="AE159" i="52"/>
  <c r="AD159" i="52"/>
  <c r="AC159" i="52"/>
  <c r="AB159" i="52"/>
  <c r="AA159" i="52"/>
  <c r="Z159" i="52"/>
  <c r="Y159" i="52"/>
  <c r="X159" i="52"/>
  <c r="W159" i="52"/>
  <c r="V159" i="52"/>
  <c r="AO158" i="52"/>
  <c r="AN158" i="52"/>
  <c r="AM158" i="52"/>
  <c r="AL158" i="52"/>
  <c r="AK158" i="52"/>
  <c r="AJ158" i="52"/>
  <c r="AI158" i="52"/>
  <c r="AH158" i="52"/>
  <c r="AG158" i="52"/>
  <c r="AF158" i="52"/>
  <c r="AE158" i="52"/>
  <c r="AD158" i="52"/>
  <c r="AC158" i="52"/>
  <c r="AB158" i="52"/>
  <c r="AA158" i="52"/>
  <c r="Z158" i="52"/>
  <c r="Y158" i="52"/>
  <c r="X158" i="52"/>
  <c r="W158" i="52"/>
  <c r="V158" i="52"/>
  <c r="AO157" i="52"/>
  <c r="AN157" i="52"/>
  <c r="AM157" i="52"/>
  <c r="AL157" i="52"/>
  <c r="AK157" i="52"/>
  <c r="AJ157" i="52"/>
  <c r="AI157" i="52"/>
  <c r="AH157" i="52"/>
  <c r="AG157" i="52"/>
  <c r="AF157" i="52"/>
  <c r="AE157" i="52"/>
  <c r="AD157" i="52"/>
  <c r="AC157" i="52"/>
  <c r="AB157" i="52"/>
  <c r="AA157" i="52"/>
  <c r="Z157" i="52"/>
  <c r="Y157" i="52"/>
  <c r="X157" i="52"/>
  <c r="W157" i="52"/>
  <c r="V157" i="52"/>
  <c r="AO156" i="52"/>
  <c r="AN156" i="52"/>
  <c r="AM156" i="52"/>
  <c r="AL156" i="52"/>
  <c r="AK156" i="52"/>
  <c r="AJ156" i="52"/>
  <c r="AI156" i="52"/>
  <c r="AH156" i="52"/>
  <c r="AG156" i="52"/>
  <c r="AF156" i="52"/>
  <c r="AE156" i="52"/>
  <c r="AD156" i="52"/>
  <c r="AC156" i="52"/>
  <c r="AB156" i="52"/>
  <c r="AA156" i="52"/>
  <c r="Z156" i="52"/>
  <c r="Y156" i="52"/>
  <c r="X156" i="52"/>
  <c r="W156" i="52"/>
  <c r="V156" i="52"/>
  <c r="AO155" i="52"/>
  <c r="AN155" i="52"/>
  <c r="AM155" i="52"/>
  <c r="AL155" i="52"/>
  <c r="AK155" i="52"/>
  <c r="AJ155" i="52"/>
  <c r="AI155" i="52"/>
  <c r="AH155" i="52"/>
  <c r="AG155" i="52"/>
  <c r="AF155" i="52"/>
  <c r="AE155" i="52"/>
  <c r="AD155" i="52"/>
  <c r="AC155" i="52"/>
  <c r="AB155" i="52"/>
  <c r="AA155" i="52"/>
  <c r="Z155" i="52"/>
  <c r="Y155" i="52"/>
  <c r="X155" i="52"/>
  <c r="W155" i="52"/>
  <c r="V155" i="52"/>
  <c r="AO154" i="52"/>
  <c r="AN154" i="52"/>
  <c r="AM154" i="52"/>
  <c r="AL154" i="52"/>
  <c r="AK154" i="52"/>
  <c r="AJ154" i="52"/>
  <c r="AI154" i="52"/>
  <c r="AH154" i="52"/>
  <c r="AG154" i="52"/>
  <c r="AF154" i="52"/>
  <c r="AE154" i="52"/>
  <c r="AD154" i="52"/>
  <c r="AC154" i="52"/>
  <c r="AB154" i="52"/>
  <c r="AA154" i="52"/>
  <c r="Z154" i="52"/>
  <c r="Y154" i="52"/>
  <c r="X154" i="52"/>
  <c r="W154" i="52"/>
  <c r="V154" i="52"/>
  <c r="AO153" i="52"/>
  <c r="AN153" i="52"/>
  <c r="AM153" i="52"/>
  <c r="AL153" i="52"/>
  <c r="AK153" i="52"/>
  <c r="AJ153" i="52"/>
  <c r="AI153" i="52"/>
  <c r="AH153" i="52"/>
  <c r="AG153" i="52"/>
  <c r="AF153" i="52"/>
  <c r="AE153" i="52"/>
  <c r="AD153" i="52"/>
  <c r="AC153" i="52"/>
  <c r="AB153" i="52"/>
  <c r="AA153" i="52"/>
  <c r="Z153" i="52"/>
  <c r="Y153" i="52"/>
  <c r="X153" i="52"/>
  <c r="W153" i="52"/>
  <c r="V153" i="52"/>
  <c r="AO152" i="52"/>
  <c r="AN152" i="52"/>
  <c r="AM152" i="52"/>
  <c r="AL152" i="52"/>
  <c r="AK152" i="52"/>
  <c r="AJ152" i="52"/>
  <c r="AI152" i="52"/>
  <c r="AH152" i="52"/>
  <c r="AG152" i="52"/>
  <c r="AF152" i="52"/>
  <c r="AE152" i="52"/>
  <c r="AD152" i="52"/>
  <c r="AC152" i="52"/>
  <c r="AB152" i="52"/>
  <c r="AA152" i="52"/>
  <c r="Z152" i="52"/>
  <c r="Y152" i="52"/>
  <c r="X152" i="52"/>
  <c r="W152" i="52"/>
  <c r="V152" i="52"/>
  <c r="AO151" i="52"/>
  <c r="AN151" i="52"/>
  <c r="AM151" i="52"/>
  <c r="AL151" i="52"/>
  <c r="AK151" i="52"/>
  <c r="AJ151" i="52"/>
  <c r="AI151" i="52"/>
  <c r="AH151" i="52"/>
  <c r="AG151" i="52"/>
  <c r="AF151" i="52"/>
  <c r="AE151" i="52"/>
  <c r="AD151" i="52"/>
  <c r="AC151" i="52"/>
  <c r="AB151" i="52"/>
  <c r="AA151" i="52"/>
  <c r="Z151" i="52"/>
  <c r="Y151" i="52"/>
  <c r="X151" i="52"/>
  <c r="W151" i="52"/>
  <c r="V151" i="52"/>
  <c r="AO150" i="52"/>
  <c r="AN150" i="52"/>
  <c r="AM150" i="52"/>
  <c r="AL150" i="52"/>
  <c r="AK150" i="52"/>
  <c r="AJ150" i="52"/>
  <c r="AI150" i="52"/>
  <c r="AH150" i="52"/>
  <c r="AG150" i="52"/>
  <c r="AF150" i="52"/>
  <c r="AE150" i="52"/>
  <c r="AD150" i="52"/>
  <c r="AC150" i="52"/>
  <c r="AB150" i="52"/>
  <c r="AA150" i="52"/>
  <c r="Z150" i="52"/>
  <c r="Y150" i="52"/>
  <c r="X150" i="52"/>
  <c r="W150" i="52"/>
  <c r="V150" i="52"/>
  <c r="AO149" i="52"/>
  <c r="AN149" i="52"/>
  <c r="AM149" i="52"/>
  <c r="AL149" i="52"/>
  <c r="AK149" i="52"/>
  <c r="AJ149" i="52"/>
  <c r="AI149" i="52"/>
  <c r="AH149" i="52"/>
  <c r="AG149" i="52"/>
  <c r="AF149" i="52"/>
  <c r="AE149" i="52"/>
  <c r="AD149" i="52"/>
  <c r="AC149" i="52"/>
  <c r="AB149" i="52"/>
  <c r="AA149" i="52"/>
  <c r="Z149" i="52"/>
  <c r="Y149" i="52"/>
  <c r="X149" i="52"/>
  <c r="V149" i="52"/>
  <c r="AO148" i="52"/>
  <c r="AN148" i="52"/>
  <c r="AM148" i="52"/>
  <c r="AL148" i="52"/>
  <c r="AK148" i="52"/>
  <c r="AJ148" i="52"/>
  <c r="AI148" i="52"/>
  <c r="AH148" i="52"/>
  <c r="AG148" i="52"/>
  <c r="AF148" i="52"/>
  <c r="AE148" i="52"/>
  <c r="AD148" i="52"/>
  <c r="AC148" i="52"/>
  <c r="AB148" i="52"/>
  <c r="AA148" i="52"/>
  <c r="Z148" i="52"/>
  <c r="Y148" i="52"/>
  <c r="X148" i="52"/>
  <c r="V148" i="52"/>
  <c r="AO147" i="52"/>
  <c r="AN147" i="52"/>
  <c r="AM147" i="52"/>
  <c r="AL147" i="52"/>
  <c r="AK147" i="52"/>
  <c r="AJ147" i="52"/>
  <c r="AI147" i="52"/>
  <c r="AH147" i="52"/>
  <c r="AG147" i="52"/>
  <c r="AF147" i="52"/>
  <c r="AE147" i="52"/>
  <c r="AD147" i="52"/>
  <c r="AC147" i="52"/>
  <c r="AB147" i="52"/>
  <c r="AA147" i="52"/>
  <c r="Z147" i="52"/>
  <c r="Y147" i="52"/>
  <c r="X147" i="52"/>
  <c r="V147" i="52"/>
  <c r="AO146" i="52"/>
  <c r="AN146" i="52"/>
  <c r="AM146" i="52"/>
  <c r="AL146" i="52"/>
  <c r="AK146" i="52"/>
  <c r="AJ146" i="52"/>
  <c r="AI146" i="52"/>
  <c r="AH146" i="52"/>
  <c r="AG146" i="52"/>
  <c r="AF146" i="52"/>
  <c r="AE146" i="52"/>
  <c r="AD146" i="52"/>
  <c r="AC146" i="52"/>
  <c r="AB146" i="52"/>
  <c r="AA146" i="52"/>
  <c r="Z146" i="52"/>
  <c r="Y146" i="52"/>
  <c r="X146" i="52"/>
  <c r="V146" i="52"/>
  <c r="AO145" i="52"/>
  <c r="AN145" i="52"/>
  <c r="AM145" i="52"/>
  <c r="AL145" i="52"/>
  <c r="AK145" i="52"/>
  <c r="AJ145" i="52"/>
  <c r="AI145" i="52"/>
  <c r="AH145" i="52"/>
  <c r="AG145" i="52"/>
  <c r="AF145" i="52"/>
  <c r="AE145" i="52"/>
  <c r="AD145" i="52"/>
  <c r="AC145" i="52"/>
  <c r="AB145" i="52"/>
  <c r="AA145" i="52"/>
  <c r="Z145" i="52"/>
  <c r="Y145" i="52"/>
  <c r="X145" i="52"/>
  <c r="W145" i="52"/>
  <c r="V145" i="52"/>
  <c r="AO144" i="52"/>
  <c r="AN144" i="52"/>
  <c r="AM144" i="52"/>
  <c r="AL144" i="52"/>
  <c r="AK144" i="52"/>
  <c r="AJ144" i="52"/>
  <c r="AI144" i="52"/>
  <c r="AH144" i="52"/>
  <c r="AG144" i="52"/>
  <c r="AF144" i="52"/>
  <c r="AE144" i="52"/>
  <c r="AD144" i="52"/>
  <c r="AC144" i="52"/>
  <c r="AB144" i="52"/>
  <c r="AA144" i="52"/>
  <c r="Z144" i="52"/>
  <c r="Y144" i="52"/>
  <c r="X144" i="52"/>
  <c r="W144" i="52"/>
  <c r="V144" i="52"/>
  <c r="AO143" i="52"/>
  <c r="AN143" i="52"/>
  <c r="AM143" i="52"/>
  <c r="AL143" i="52"/>
  <c r="AK143" i="52"/>
  <c r="AJ143" i="52"/>
  <c r="AI143" i="52"/>
  <c r="AH143" i="52"/>
  <c r="AG143" i="52"/>
  <c r="AF143" i="52"/>
  <c r="AE143" i="52"/>
  <c r="AD143" i="52"/>
  <c r="AC143" i="52"/>
  <c r="AB143" i="52"/>
  <c r="AA143" i="52"/>
  <c r="Z143" i="52"/>
  <c r="Y143" i="52"/>
  <c r="X143" i="52"/>
  <c r="W143" i="52"/>
  <c r="V143" i="52"/>
  <c r="Q143" i="52"/>
  <c r="AO142" i="52"/>
  <c r="AN142" i="52"/>
  <c r="AM142" i="52"/>
  <c r="AL142" i="52"/>
  <c r="AK142" i="52"/>
  <c r="AJ142" i="52"/>
  <c r="AI142" i="52"/>
  <c r="AH142" i="52"/>
  <c r="AG142" i="52"/>
  <c r="AF142" i="52"/>
  <c r="AE142" i="52"/>
  <c r="AD142" i="52"/>
  <c r="AC142" i="52"/>
  <c r="AB142" i="52"/>
  <c r="AA142" i="52"/>
  <c r="Z142" i="52"/>
  <c r="Y142" i="52"/>
  <c r="X142" i="52"/>
  <c r="W142" i="52"/>
  <c r="V142" i="52"/>
  <c r="Q142" i="52"/>
  <c r="AO141" i="52"/>
  <c r="AN141" i="52"/>
  <c r="AM141" i="52"/>
  <c r="AL141" i="52"/>
  <c r="AK141" i="52"/>
  <c r="AJ141" i="52"/>
  <c r="AI141" i="52"/>
  <c r="AH141" i="52"/>
  <c r="AG141" i="52"/>
  <c r="AF141" i="52"/>
  <c r="AE141" i="52"/>
  <c r="AD141" i="52"/>
  <c r="AC141" i="52"/>
  <c r="AB141" i="52"/>
  <c r="AA141" i="52"/>
  <c r="Z141" i="52"/>
  <c r="Y141" i="52"/>
  <c r="X141" i="52"/>
  <c r="W141" i="52"/>
  <c r="V141" i="52"/>
  <c r="Q141" i="52"/>
  <c r="AO140" i="52"/>
  <c r="AN140" i="52"/>
  <c r="AM140" i="52"/>
  <c r="AL140" i="52"/>
  <c r="AK140" i="52"/>
  <c r="AJ140" i="52"/>
  <c r="AI140" i="52"/>
  <c r="AH140" i="52"/>
  <c r="AG140" i="52"/>
  <c r="AF140" i="52"/>
  <c r="AE140" i="52"/>
  <c r="AD140" i="52"/>
  <c r="AC140" i="52"/>
  <c r="AB140" i="52"/>
  <c r="AA140" i="52"/>
  <c r="Z140" i="52"/>
  <c r="Y140" i="52"/>
  <c r="X140" i="52"/>
  <c r="W140" i="52"/>
  <c r="V140" i="52"/>
  <c r="Q140" i="52"/>
  <c r="AO139" i="52"/>
  <c r="AN139" i="52"/>
  <c r="AM139" i="52"/>
  <c r="AL139" i="52"/>
  <c r="AK139" i="52"/>
  <c r="AJ139" i="52"/>
  <c r="AI139" i="52"/>
  <c r="AH139" i="52"/>
  <c r="AG139" i="52"/>
  <c r="AF139" i="52"/>
  <c r="AE139" i="52"/>
  <c r="AD139" i="52"/>
  <c r="AC139" i="52"/>
  <c r="AB139" i="52"/>
  <c r="AA139" i="52"/>
  <c r="Z139" i="52"/>
  <c r="Y139" i="52"/>
  <c r="X139" i="52"/>
  <c r="W139" i="52"/>
  <c r="V139" i="52"/>
  <c r="Q139" i="52"/>
  <c r="AO138" i="52"/>
  <c r="AN138" i="52"/>
  <c r="AM138" i="52"/>
  <c r="AL138" i="52"/>
  <c r="AK138" i="52"/>
  <c r="AJ138" i="52"/>
  <c r="AI138" i="52"/>
  <c r="AH138" i="52"/>
  <c r="AG138" i="52"/>
  <c r="AF138" i="52"/>
  <c r="AE138" i="52"/>
  <c r="AD138" i="52"/>
  <c r="AC138" i="52"/>
  <c r="AB138" i="52"/>
  <c r="AA138" i="52"/>
  <c r="Z138" i="52"/>
  <c r="Y138" i="52"/>
  <c r="X138" i="52"/>
  <c r="W138" i="52"/>
  <c r="V138" i="52"/>
  <c r="Q138" i="52"/>
  <c r="AO137" i="52"/>
  <c r="AN137" i="52"/>
  <c r="AM137" i="52"/>
  <c r="AL137" i="52"/>
  <c r="AK137" i="52"/>
  <c r="AJ137" i="52"/>
  <c r="AI137" i="52"/>
  <c r="AH137" i="52"/>
  <c r="AG137" i="52"/>
  <c r="AF137" i="52"/>
  <c r="AE137" i="52"/>
  <c r="AD137" i="52"/>
  <c r="AC137" i="52"/>
  <c r="AB137" i="52"/>
  <c r="AA137" i="52"/>
  <c r="Z137" i="52"/>
  <c r="Y137" i="52"/>
  <c r="X137" i="52"/>
  <c r="W137" i="52"/>
  <c r="V137" i="52"/>
  <c r="Q137" i="52"/>
  <c r="AO136" i="52"/>
  <c r="AN136" i="52"/>
  <c r="AM136" i="52"/>
  <c r="AL136" i="52"/>
  <c r="AK136" i="52"/>
  <c r="AJ136" i="52"/>
  <c r="AI136" i="52"/>
  <c r="AH136" i="52"/>
  <c r="AG136" i="52"/>
  <c r="AF136" i="52"/>
  <c r="AE136" i="52"/>
  <c r="AD136" i="52"/>
  <c r="AC136" i="52"/>
  <c r="AB136" i="52"/>
  <c r="AA136" i="52"/>
  <c r="Z136" i="52"/>
  <c r="Y136" i="52"/>
  <c r="X136" i="52"/>
  <c r="W136" i="52"/>
  <c r="V136" i="52"/>
  <c r="Q136" i="52"/>
  <c r="AO135" i="52"/>
  <c r="AN135" i="52"/>
  <c r="AM135" i="52"/>
  <c r="AL135" i="52"/>
  <c r="AK135" i="52"/>
  <c r="AJ135" i="52"/>
  <c r="AI135" i="52"/>
  <c r="AH135" i="52"/>
  <c r="AG135" i="52"/>
  <c r="AF135" i="52"/>
  <c r="AE135" i="52"/>
  <c r="AD135" i="52"/>
  <c r="AC135" i="52"/>
  <c r="AB135" i="52"/>
  <c r="AA135" i="52"/>
  <c r="Z135" i="52"/>
  <c r="Y135" i="52"/>
  <c r="X135" i="52"/>
  <c r="W135" i="52"/>
  <c r="V135" i="52"/>
  <c r="Q135" i="52"/>
  <c r="AO134" i="52"/>
  <c r="AN134" i="52"/>
  <c r="AM134" i="52"/>
  <c r="AL134" i="52"/>
  <c r="AK134" i="52"/>
  <c r="AJ134" i="52"/>
  <c r="AI134" i="52"/>
  <c r="AH134" i="52"/>
  <c r="AG134" i="52"/>
  <c r="AF134" i="52"/>
  <c r="AE134" i="52"/>
  <c r="AD134" i="52"/>
  <c r="AC134" i="52"/>
  <c r="AB134" i="52"/>
  <c r="AA134" i="52"/>
  <c r="Z134" i="52"/>
  <c r="Y134" i="52"/>
  <c r="X134" i="52"/>
  <c r="W134" i="52"/>
  <c r="V134" i="52"/>
  <c r="Q134" i="52"/>
  <c r="AO133" i="52"/>
  <c r="AN133" i="52"/>
  <c r="AM133" i="52"/>
  <c r="AL133" i="52"/>
  <c r="AK133" i="52"/>
  <c r="AJ133" i="52"/>
  <c r="AI133" i="52"/>
  <c r="AH133" i="52"/>
  <c r="AG133" i="52"/>
  <c r="AF133" i="52"/>
  <c r="AE133" i="52"/>
  <c r="AD133" i="52"/>
  <c r="AC133" i="52"/>
  <c r="AB133" i="52"/>
  <c r="AA133" i="52"/>
  <c r="Z133" i="52"/>
  <c r="Y133" i="52"/>
  <c r="X133" i="52"/>
  <c r="W133" i="52"/>
  <c r="V133" i="52"/>
  <c r="Q133" i="52"/>
  <c r="AO132" i="52"/>
  <c r="AN132" i="52"/>
  <c r="AM132" i="52"/>
  <c r="AL132" i="52"/>
  <c r="AK132" i="52"/>
  <c r="AJ132" i="52"/>
  <c r="AI132" i="52"/>
  <c r="AH132" i="52"/>
  <c r="AG132" i="52"/>
  <c r="AF132" i="52"/>
  <c r="AE132" i="52"/>
  <c r="AD132" i="52"/>
  <c r="AC132" i="52"/>
  <c r="AB132" i="52"/>
  <c r="AA132" i="52"/>
  <c r="Z132" i="52"/>
  <c r="Y132" i="52"/>
  <c r="X132" i="52"/>
  <c r="W132" i="52"/>
  <c r="V132" i="52"/>
  <c r="Q132" i="52"/>
  <c r="AO131" i="52"/>
  <c r="AN131" i="52"/>
  <c r="AM131" i="52"/>
  <c r="AL131" i="52"/>
  <c r="AK131" i="52"/>
  <c r="AJ131" i="52"/>
  <c r="AI131" i="52"/>
  <c r="AH131" i="52"/>
  <c r="AG131" i="52"/>
  <c r="AF131" i="52"/>
  <c r="AE131" i="52"/>
  <c r="AD131" i="52"/>
  <c r="AC131" i="52"/>
  <c r="AB131" i="52"/>
  <c r="AA131" i="52"/>
  <c r="Z131" i="52"/>
  <c r="Y131" i="52"/>
  <c r="X131" i="52"/>
  <c r="W131" i="52"/>
  <c r="V131" i="52"/>
  <c r="Q131" i="52"/>
  <c r="AO130" i="52"/>
  <c r="AN130" i="52"/>
  <c r="AM130" i="52"/>
  <c r="AL130" i="52"/>
  <c r="AK130" i="52"/>
  <c r="AJ130" i="52"/>
  <c r="AI130" i="52"/>
  <c r="AH130" i="52"/>
  <c r="AG130" i="52"/>
  <c r="AF130" i="52"/>
  <c r="AE130" i="52"/>
  <c r="AD130" i="52"/>
  <c r="AC130" i="52"/>
  <c r="AB130" i="52"/>
  <c r="AA130" i="52"/>
  <c r="Z130" i="52"/>
  <c r="Y130" i="52"/>
  <c r="X130" i="52"/>
  <c r="W130" i="52"/>
  <c r="V130" i="52"/>
  <c r="Q130" i="52"/>
  <c r="AO129" i="52"/>
  <c r="AN129" i="52"/>
  <c r="AM129" i="52"/>
  <c r="AL129" i="52"/>
  <c r="AK129" i="52"/>
  <c r="AJ129" i="52"/>
  <c r="AI129" i="52"/>
  <c r="AH129" i="52"/>
  <c r="AG129" i="52"/>
  <c r="AF129" i="52"/>
  <c r="AE129" i="52"/>
  <c r="AD129" i="52"/>
  <c r="AC129" i="52"/>
  <c r="AB129" i="52"/>
  <c r="AA129" i="52"/>
  <c r="Z129" i="52"/>
  <c r="Y129" i="52"/>
  <c r="X129" i="52"/>
  <c r="W129" i="52"/>
  <c r="V129" i="52"/>
  <c r="Q129" i="52"/>
  <c r="AO128" i="52"/>
  <c r="AN128" i="52"/>
  <c r="AM128" i="52"/>
  <c r="AL128" i="52"/>
  <c r="AK128" i="52"/>
  <c r="AJ128" i="52"/>
  <c r="AI128" i="52"/>
  <c r="AH128" i="52"/>
  <c r="AG128" i="52"/>
  <c r="AF128" i="52"/>
  <c r="AE128" i="52"/>
  <c r="AD128" i="52"/>
  <c r="AC128" i="52"/>
  <c r="AB128" i="52"/>
  <c r="AA128" i="52"/>
  <c r="Z128" i="52"/>
  <c r="Y128" i="52"/>
  <c r="X128" i="52"/>
  <c r="V128" i="52"/>
  <c r="Q128" i="52"/>
  <c r="AO127" i="52"/>
  <c r="AN127" i="52"/>
  <c r="AM127" i="52"/>
  <c r="AL127" i="52"/>
  <c r="AK127" i="52"/>
  <c r="AJ127" i="52"/>
  <c r="AI127" i="52"/>
  <c r="AH127" i="52"/>
  <c r="AG127" i="52"/>
  <c r="AF127" i="52"/>
  <c r="AE127" i="52"/>
  <c r="AD127" i="52"/>
  <c r="AC127" i="52"/>
  <c r="AB127" i="52"/>
  <c r="AA127" i="52"/>
  <c r="Z127" i="52"/>
  <c r="Y127" i="52"/>
  <c r="X127" i="52"/>
  <c r="V127" i="52"/>
  <c r="Q127" i="52"/>
  <c r="AO126" i="52"/>
  <c r="AN126" i="52"/>
  <c r="AM126" i="52"/>
  <c r="AL126" i="52"/>
  <c r="AK126" i="52"/>
  <c r="AJ126" i="52"/>
  <c r="AI126" i="52"/>
  <c r="AH126" i="52"/>
  <c r="AG126" i="52"/>
  <c r="AF126" i="52"/>
  <c r="AE126" i="52"/>
  <c r="AD126" i="52"/>
  <c r="AC126" i="52"/>
  <c r="AB126" i="52"/>
  <c r="AA126" i="52"/>
  <c r="Z126" i="52"/>
  <c r="Y126" i="52"/>
  <c r="X126" i="52"/>
  <c r="V126" i="52"/>
  <c r="Q126" i="52"/>
  <c r="AO125" i="52"/>
  <c r="AN125" i="52"/>
  <c r="AM125" i="52"/>
  <c r="AL125" i="52"/>
  <c r="AK125" i="52"/>
  <c r="AJ125" i="52"/>
  <c r="AI125" i="52"/>
  <c r="AH125" i="52"/>
  <c r="AG125" i="52"/>
  <c r="AF125" i="52"/>
  <c r="AE125" i="52"/>
  <c r="AD125" i="52"/>
  <c r="AC125" i="52"/>
  <c r="AB125" i="52"/>
  <c r="AA125" i="52"/>
  <c r="Z125" i="52"/>
  <c r="Y125" i="52"/>
  <c r="X125" i="52"/>
  <c r="V125" i="52"/>
  <c r="Q125" i="52"/>
  <c r="AO124" i="52"/>
  <c r="AN124" i="52"/>
  <c r="AM124" i="52"/>
  <c r="AL124" i="52"/>
  <c r="AK124" i="52"/>
  <c r="AJ124" i="52"/>
  <c r="AI124" i="52"/>
  <c r="AH124" i="52"/>
  <c r="AG124" i="52"/>
  <c r="AF124" i="52"/>
  <c r="AE124" i="52"/>
  <c r="AD124" i="52"/>
  <c r="AC124" i="52"/>
  <c r="AB124" i="52"/>
  <c r="AA124" i="52"/>
  <c r="Z124" i="52"/>
  <c r="Y124" i="52"/>
  <c r="X124" i="52"/>
  <c r="V124" i="52"/>
  <c r="Q124" i="52"/>
  <c r="AO123" i="52"/>
  <c r="AN123" i="52"/>
  <c r="AM123" i="52"/>
  <c r="AL123" i="52"/>
  <c r="AK123" i="52"/>
  <c r="AJ123" i="52"/>
  <c r="AI123" i="52"/>
  <c r="AH123" i="52"/>
  <c r="AG123" i="52"/>
  <c r="AF123" i="52"/>
  <c r="AE123" i="52"/>
  <c r="AD123" i="52"/>
  <c r="AC123" i="52"/>
  <c r="AB123" i="52"/>
  <c r="AA123" i="52"/>
  <c r="Z123" i="52"/>
  <c r="Y123" i="52"/>
  <c r="X123" i="52"/>
  <c r="W123" i="52"/>
  <c r="V123" i="52"/>
  <c r="Q123" i="52"/>
  <c r="AO122" i="52"/>
  <c r="AN122" i="52"/>
  <c r="AM122" i="52"/>
  <c r="AL122" i="52"/>
  <c r="AK122" i="52"/>
  <c r="AJ122" i="52"/>
  <c r="AI122" i="52"/>
  <c r="AH122" i="52"/>
  <c r="AG122" i="52"/>
  <c r="AF122" i="52"/>
  <c r="AE122" i="52"/>
  <c r="AD122" i="52"/>
  <c r="AC122" i="52"/>
  <c r="AB122" i="52"/>
  <c r="AA122" i="52"/>
  <c r="Z122" i="52"/>
  <c r="Y122" i="52"/>
  <c r="X122" i="52"/>
  <c r="V122" i="52"/>
  <c r="Q122" i="52"/>
  <c r="AO121" i="52"/>
  <c r="AN121" i="52"/>
  <c r="AM121" i="52"/>
  <c r="AL121" i="52"/>
  <c r="AK121" i="52"/>
  <c r="AJ121" i="52"/>
  <c r="AI121" i="52"/>
  <c r="AH121" i="52"/>
  <c r="AG121" i="52"/>
  <c r="AF121" i="52"/>
  <c r="AE121" i="52"/>
  <c r="AD121" i="52"/>
  <c r="AC121" i="52"/>
  <c r="AB121" i="52"/>
  <c r="AA121" i="52"/>
  <c r="Z121" i="52"/>
  <c r="Y121" i="52"/>
  <c r="X121" i="52"/>
  <c r="V121" i="52"/>
  <c r="Q121" i="52"/>
  <c r="AO120" i="52"/>
  <c r="AN120" i="52"/>
  <c r="AM120" i="52"/>
  <c r="AL120" i="52"/>
  <c r="AK120" i="52"/>
  <c r="AJ120" i="52"/>
  <c r="AI120" i="52"/>
  <c r="AH120" i="52"/>
  <c r="AG120" i="52"/>
  <c r="AF120" i="52"/>
  <c r="AE120" i="52"/>
  <c r="AD120" i="52"/>
  <c r="AC120" i="52"/>
  <c r="AB120" i="52"/>
  <c r="AA120" i="52"/>
  <c r="Z120" i="52"/>
  <c r="Y120" i="52"/>
  <c r="X120" i="52"/>
  <c r="W120" i="52"/>
  <c r="V120" i="52"/>
  <c r="Q120" i="52"/>
  <c r="AO119" i="52"/>
  <c r="AN119" i="52"/>
  <c r="AM119" i="52"/>
  <c r="AL119" i="52"/>
  <c r="AK119" i="52"/>
  <c r="AJ119" i="52"/>
  <c r="AI119" i="52"/>
  <c r="AH119" i="52"/>
  <c r="AG119" i="52"/>
  <c r="AF119" i="52"/>
  <c r="AE119" i="52"/>
  <c r="AD119" i="52"/>
  <c r="AC119" i="52"/>
  <c r="AB119" i="52"/>
  <c r="AA119" i="52"/>
  <c r="Z119" i="52"/>
  <c r="Y119" i="52"/>
  <c r="X119" i="52"/>
  <c r="V119" i="52"/>
  <c r="Q119" i="52"/>
  <c r="AO118" i="52"/>
  <c r="AN118" i="52"/>
  <c r="AM118" i="52"/>
  <c r="AL118" i="52"/>
  <c r="AK118" i="52"/>
  <c r="AJ118" i="52"/>
  <c r="AI118" i="52"/>
  <c r="AH118" i="52"/>
  <c r="AG118" i="52"/>
  <c r="AF118" i="52"/>
  <c r="AE118" i="52"/>
  <c r="AD118" i="52"/>
  <c r="AC118" i="52"/>
  <c r="AB118" i="52"/>
  <c r="AA118" i="52"/>
  <c r="Z118" i="52"/>
  <c r="Y118" i="52"/>
  <c r="X118" i="52"/>
  <c r="V118" i="52"/>
  <c r="Q118" i="52"/>
  <c r="AO117" i="52"/>
  <c r="AN117" i="52"/>
  <c r="AM117" i="52"/>
  <c r="AL117" i="52"/>
  <c r="AK117" i="52"/>
  <c r="AJ117" i="52"/>
  <c r="AI117" i="52"/>
  <c r="AH117" i="52"/>
  <c r="AG117" i="52"/>
  <c r="AF117" i="52"/>
  <c r="AE117" i="52"/>
  <c r="AD117" i="52"/>
  <c r="AC117" i="52"/>
  <c r="AB117" i="52"/>
  <c r="AA117" i="52"/>
  <c r="Z117" i="52"/>
  <c r="Y117" i="52"/>
  <c r="X117" i="52"/>
  <c r="V117" i="52"/>
  <c r="Q117" i="52"/>
  <c r="AO116" i="52"/>
  <c r="AN116" i="52"/>
  <c r="AM116" i="52"/>
  <c r="AL116" i="52"/>
  <c r="AK116" i="52"/>
  <c r="AJ116" i="52"/>
  <c r="AI116" i="52"/>
  <c r="AH116" i="52"/>
  <c r="AG116" i="52"/>
  <c r="AF116" i="52"/>
  <c r="AE116" i="52"/>
  <c r="AD116" i="52"/>
  <c r="AC116" i="52"/>
  <c r="AB116" i="52"/>
  <c r="AA116" i="52"/>
  <c r="Z116" i="52"/>
  <c r="Y116" i="52"/>
  <c r="X116" i="52"/>
  <c r="V116" i="52"/>
  <c r="AO115" i="52"/>
  <c r="AN115" i="52"/>
  <c r="AM115" i="52"/>
  <c r="AL115" i="52"/>
  <c r="AK115" i="52"/>
  <c r="AJ115" i="52"/>
  <c r="AI115" i="52"/>
  <c r="AH115" i="52"/>
  <c r="AG115" i="52"/>
  <c r="AF115" i="52"/>
  <c r="AE115" i="52"/>
  <c r="AD115" i="52"/>
  <c r="AC115" i="52"/>
  <c r="AB115" i="52"/>
  <c r="AA115" i="52"/>
  <c r="Z115" i="52"/>
  <c r="Y115" i="52"/>
  <c r="X115" i="52"/>
  <c r="W115" i="52"/>
  <c r="V115" i="52"/>
  <c r="AO114" i="52"/>
  <c r="AN114" i="52"/>
  <c r="AM114" i="52"/>
  <c r="AL114" i="52"/>
  <c r="AK114" i="52"/>
  <c r="AJ114" i="52"/>
  <c r="AI114" i="52"/>
  <c r="AH114" i="52"/>
  <c r="AG114" i="52"/>
  <c r="AF114" i="52"/>
  <c r="AE114" i="52"/>
  <c r="AD114" i="52"/>
  <c r="AC114" i="52"/>
  <c r="AB114" i="52"/>
  <c r="AA114" i="52"/>
  <c r="Z114" i="52"/>
  <c r="Y114" i="52"/>
  <c r="X114" i="52"/>
  <c r="W114" i="52"/>
  <c r="V114" i="52"/>
  <c r="AO113" i="52"/>
  <c r="AN113" i="52"/>
  <c r="AM113" i="52"/>
  <c r="AL113" i="52"/>
  <c r="AK113" i="52"/>
  <c r="AJ113" i="52"/>
  <c r="AI113" i="52"/>
  <c r="AH113" i="52"/>
  <c r="AG113" i="52"/>
  <c r="AF113" i="52"/>
  <c r="AE113" i="52"/>
  <c r="AD113" i="52"/>
  <c r="AC113" i="52"/>
  <c r="AB113" i="52"/>
  <c r="AA113" i="52"/>
  <c r="Z113" i="52"/>
  <c r="Y113" i="52"/>
  <c r="X113" i="52"/>
  <c r="W113" i="52"/>
  <c r="V113" i="52"/>
  <c r="AO112" i="52"/>
  <c r="AN112" i="52"/>
  <c r="AM112" i="52"/>
  <c r="AL112" i="52"/>
  <c r="AK112" i="52"/>
  <c r="AJ112" i="52"/>
  <c r="AI112" i="52"/>
  <c r="AH112" i="52"/>
  <c r="AG112" i="52"/>
  <c r="AF112" i="52"/>
  <c r="AE112" i="52"/>
  <c r="AD112" i="52"/>
  <c r="AC112" i="52"/>
  <c r="AB112" i="52"/>
  <c r="AA112" i="52"/>
  <c r="Z112" i="52"/>
  <c r="Y112" i="52"/>
  <c r="X112" i="52"/>
  <c r="V112" i="52"/>
  <c r="AO111" i="52"/>
  <c r="AN111" i="52"/>
  <c r="AM111" i="52"/>
  <c r="AL111" i="52"/>
  <c r="AK111" i="52"/>
  <c r="AJ111" i="52"/>
  <c r="AI111" i="52"/>
  <c r="AH111" i="52"/>
  <c r="AG111" i="52"/>
  <c r="AF111" i="52"/>
  <c r="AE111" i="52"/>
  <c r="AD111" i="52"/>
  <c r="AC111" i="52"/>
  <c r="AB111" i="52"/>
  <c r="AA111" i="52"/>
  <c r="Z111" i="52"/>
  <c r="Y111" i="52"/>
  <c r="X111" i="52"/>
  <c r="V111" i="52"/>
  <c r="AO110" i="52"/>
  <c r="AN110" i="52"/>
  <c r="AM110" i="52"/>
  <c r="AL110" i="52"/>
  <c r="AK110" i="52"/>
  <c r="AJ110" i="52"/>
  <c r="AI110" i="52"/>
  <c r="AH110" i="52"/>
  <c r="AG110" i="52"/>
  <c r="AF110" i="52"/>
  <c r="AE110" i="52"/>
  <c r="AD110" i="52"/>
  <c r="AC110" i="52"/>
  <c r="AB110" i="52"/>
  <c r="AA110" i="52"/>
  <c r="Z110" i="52"/>
  <c r="Y110" i="52"/>
  <c r="X110" i="52"/>
  <c r="V110" i="52"/>
  <c r="AO109" i="52"/>
  <c r="AN109" i="52"/>
  <c r="AM109" i="52"/>
  <c r="AL109" i="52"/>
  <c r="AK109" i="52"/>
  <c r="AJ109" i="52"/>
  <c r="AI109" i="52"/>
  <c r="AH109" i="52"/>
  <c r="AG109" i="52"/>
  <c r="AF109" i="52"/>
  <c r="AE109" i="52"/>
  <c r="AD109" i="52"/>
  <c r="AC109" i="52"/>
  <c r="AB109" i="52"/>
  <c r="AA109" i="52"/>
  <c r="Z109" i="52"/>
  <c r="Y109" i="52"/>
  <c r="X109" i="52"/>
  <c r="V109" i="52"/>
  <c r="AO108" i="52"/>
  <c r="AN108" i="52"/>
  <c r="AM108" i="52"/>
  <c r="AL108" i="52"/>
  <c r="AK108" i="52"/>
  <c r="AJ108" i="52"/>
  <c r="AI108" i="52"/>
  <c r="AH108" i="52"/>
  <c r="AG108" i="52"/>
  <c r="AF108" i="52"/>
  <c r="AE108" i="52"/>
  <c r="AD108" i="52"/>
  <c r="AC108" i="52"/>
  <c r="AB108" i="52"/>
  <c r="AA108" i="52"/>
  <c r="Z108" i="52"/>
  <c r="Y108" i="52"/>
  <c r="X108" i="52"/>
  <c r="V108" i="52"/>
  <c r="AO107" i="52"/>
  <c r="AN107" i="52"/>
  <c r="AM107" i="52"/>
  <c r="AL107" i="52"/>
  <c r="AK107" i="52"/>
  <c r="AJ107" i="52"/>
  <c r="AI107" i="52"/>
  <c r="AH107" i="52"/>
  <c r="AG107" i="52"/>
  <c r="AF107" i="52"/>
  <c r="AE107" i="52"/>
  <c r="AD107" i="52"/>
  <c r="AC107" i="52"/>
  <c r="AB107" i="52"/>
  <c r="AA107" i="52"/>
  <c r="Z107" i="52"/>
  <c r="Y107" i="52"/>
  <c r="X107" i="52"/>
  <c r="V107" i="52"/>
  <c r="AO106" i="52"/>
  <c r="AN106" i="52"/>
  <c r="AM106" i="52"/>
  <c r="AL106" i="52"/>
  <c r="AK106" i="52"/>
  <c r="AJ106" i="52"/>
  <c r="AI106" i="52"/>
  <c r="AH106" i="52"/>
  <c r="AG106" i="52"/>
  <c r="AF106" i="52"/>
  <c r="AE106" i="52"/>
  <c r="AD106" i="52"/>
  <c r="AC106" i="52"/>
  <c r="AB106" i="52"/>
  <c r="AA106" i="52"/>
  <c r="Z106" i="52"/>
  <c r="Y106" i="52"/>
  <c r="X106" i="52"/>
  <c r="V106" i="52"/>
  <c r="AO105" i="52"/>
  <c r="AN105" i="52"/>
  <c r="AM105" i="52"/>
  <c r="AL105" i="52"/>
  <c r="AK105" i="52"/>
  <c r="AJ105" i="52"/>
  <c r="AI105" i="52"/>
  <c r="AH105" i="52"/>
  <c r="AG105" i="52"/>
  <c r="AF105" i="52"/>
  <c r="AE105" i="52"/>
  <c r="AD105" i="52"/>
  <c r="AC105" i="52"/>
  <c r="AB105" i="52"/>
  <c r="AA105" i="52"/>
  <c r="Z105" i="52"/>
  <c r="Y105" i="52"/>
  <c r="X105" i="52"/>
  <c r="V105" i="52"/>
  <c r="AO104" i="52"/>
  <c r="AN104" i="52"/>
  <c r="AM104" i="52"/>
  <c r="AL104" i="52"/>
  <c r="AK104" i="52"/>
  <c r="AJ104" i="52"/>
  <c r="AI104" i="52"/>
  <c r="AH104" i="52"/>
  <c r="AG104" i="52"/>
  <c r="AF104" i="52"/>
  <c r="AE104" i="52"/>
  <c r="AD104" i="52"/>
  <c r="AC104" i="52"/>
  <c r="AB104" i="52"/>
  <c r="AA104" i="52"/>
  <c r="Z104" i="52"/>
  <c r="Y104" i="52"/>
  <c r="X104" i="52"/>
  <c r="W104" i="52"/>
  <c r="V104" i="52"/>
  <c r="AO103" i="52"/>
  <c r="AN103" i="52"/>
  <c r="AM103" i="52"/>
  <c r="AL103" i="52"/>
  <c r="AK103" i="52"/>
  <c r="AJ103" i="52"/>
  <c r="AI103" i="52"/>
  <c r="AH103" i="52"/>
  <c r="AG103" i="52"/>
  <c r="AF103" i="52"/>
  <c r="AE103" i="52"/>
  <c r="AD103" i="52"/>
  <c r="AC103" i="52"/>
  <c r="AB103" i="52"/>
  <c r="AA103" i="52"/>
  <c r="Z103" i="52"/>
  <c r="Y103" i="52"/>
  <c r="X103" i="52"/>
  <c r="V103" i="52"/>
  <c r="AO102" i="52"/>
  <c r="AN102" i="52"/>
  <c r="AM102" i="52"/>
  <c r="AL102" i="52"/>
  <c r="AK102" i="52"/>
  <c r="AJ102" i="52"/>
  <c r="AI102" i="52"/>
  <c r="AH102" i="52"/>
  <c r="AG102" i="52"/>
  <c r="AF102" i="52"/>
  <c r="AE102" i="52"/>
  <c r="AD102" i="52"/>
  <c r="AC102" i="52"/>
  <c r="AB102" i="52"/>
  <c r="AA102" i="52"/>
  <c r="Z102" i="52"/>
  <c r="Y102" i="52"/>
  <c r="X102" i="52"/>
  <c r="W102" i="52"/>
  <c r="V102" i="52"/>
  <c r="AO101" i="52"/>
  <c r="AN101" i="52"/>
  <c r="AM101" i="52"/>
  <c r="AL101" i="52"/>
  <c r="AK101" i="52"/>
  <c r="AJ101" i="52"/>
  <c r="AI101" i="52"/>
  <c r="AH101" i="52"/>
  <c r="AG101" i="52"/>
  <c r="AF101" i="52"/>
  <c r="AE101" i="52"/>
  <c r="AD101" i="52"/>
  <c r="AC101" i="52"/>
  <c r="AB101" i="52"/>
  <c r="AA101" i="52"/>
  <c r="Z101" i="52"/>
  <c r="Y101" i="52"/>
  <c r="X101" i="52"/>
  <c r="V101" i="52"/>
  <c r="AO100" i="52"/>
  <c r="AN100" i="52"/>
  <c r="AM100" i="52"/>
  <c r="AL100" i="52"/>
  <c r="AK100" i="52"/>
  <c r="AJ100" i="52"/>
  <c r="AI100" i="52"/>
  <c r="AH100" i="52"/>
  <c r="AG100" i="52"/>
  <c r="AF100" i="52"/>
  <c r="AE100" i="52"/>
  <c r="AD100" i="52"/>
  <c r="AC100" i="52"/>
  <c r="AB100" i="52"/>
  <c r="AA100" i="52"/>
  <c r="Z100" i="52"/>
  <c r="Y100" i="52"/>
  <c r="X100" i="52"/>
  <c r="V100" i="52"/>
  <c r="AC95" i="52"/>
  <c r="AA95" i="52"/>
  <c r="W95" i="52"/>
  <c r="AC94" i="52"/>
  <c r="AB94" i="52"/>
  <c r="AA94" i="52"/>
  <c r="Y94" i="52"/>
  <c r="W94" i="52"/>
  <c r="AC93" i="52"/>
  <c r="AA93" i="52"/>
  <c r="Y93" i="52"/>
  <c r="AC92" i="52"/>
  <c r="AA92" i="52"/>
  <c r="W92" i="52"/>
  <c r="AC91" i="52"/>
  <c r="Y91" i="52"/>
  <c r="W91" i="52"/>
  <c r="B91" i="52"/>
  <c r="AA90" i="52"/>
  <c r="AC89" i="52"/>
  <c r="AA89" i="52"/>
  <c r="Z89" i="52"/>
  <c r="W89" i="52"/>
  <c r="AC88" i="52"/>
  <c r="Y88" i="52"/>
  <c r="AA87" i="52"/>
  <c r="Y87" i="52"/>
  <c r="B85" i="52"/>
  <c r="Z82" i="52"/>
  <c r="Y82" i="52"/>
  <c r="X82" i="52"/>
  <c r="W82" i="52"/>
  <c r="V82" i="52"/>
  <c r="B82" i="52"/>
  <c r="Z81" i="52"/>
  <c r="Y81" i="52"/>
  <c r="X81" i="52"/>
  <c r="W81" i="52"/>
  <c r="V81" i="52"/>
  <c r="Z80" i="52"/>
  <c r="Y80" i="52"/>
  <c r="X80" i="52"/>
  <c r="W80" i="52"/>
  <c r="V80" i="52"/>
  <c r="Z79" i="52"/>
  <c r="Y79" i="52"/>
  <c r="X79" i="52"/>
  <c r="W79" i="52"/>
  <c r="V79" i="52"/>
  <c r="Z78" i="52"/>
  <c r="Y78" i="52"/>
  <c r="X78" i="52"/>
  <c r="W78" i="52"/>
  <c r="V78" i="52"/>
  <c r="Z77" i="52"/>
  <c r="Y77" i="52"/>
  <c r="X77" i="52"/>
  <c r="W77" i="52"/>
  <c r="V77" i="52"/>
  <c r="Z76" i="52"/>
  <c r="Y76" i="52"/>
  <c r="X76" i="52"/>
  <c r="W76" i="52"/>
  <c r="V76" i="52"/>
  <c r="Z75" i="52"/>
  <c r="Y75" i="52"/>
  <c r="X75" i="52"/>
  <c r="V75" i="52"/>
  <c r="Z74" i="52"/>
  <c r="Y74" i="52"/>
  <c r="X74" i="52"/>
  <c r="W74" i="52"/>
  <c r="V74" i="52"/>
  <c r="Z73" i="52"/>
  <c r="Y73" i="52"/>
  <c r="X73" i="52"/>
  <c r="W73" i="52"/>
  <c r="V73" i="52"/>
  <c r="B72" i="52"/>
  <c r="Z68" i="52"/>
  <c r="Y68" i="52"/>
  <c r="X68" i="52"/>
  <c r="W68" i="52"/>
  <c r="V68" i="52"/>
  <c r="Z67" i="52"/>
  <c r="Y67" i="52"/>
  <c r="X67" i="52"/>
  <c r="W67" i="52"/>
  <c r="V67" i="52"/>
  <c r="Z66" i="52"/>
  <c r="Y66" i="52"/>
  <c r="X66" i="52"/>
  <c r="V66" i="52"/>
  <c r="B66" i="52"/>
  <c r="AQ34" i="52" s="1"/>
  <c r="Z65" i="52"/>
  <c r="Y65" i="52"/>
  <c r="X65" i="52"/>
  <c r="W65" i="52"/>
  <c r="V65" i="52"/>
  <c r="Z64" i="52"/>
  <c r="Y64" i="52"/>
  <c r="X64" i="52"/>
  <c r="W64" i="52"/>
  <c r="V64" i="52"/>
  <c r="Z63" i="52"/>
  <c r="Y63" i="52"/>
  <c r="X63" i="52"/>
  <c r="W63" i="52"/>
  <c r="V63" i="52"/>
  <c r="Z62" i="52"/>
  <c r="Y62" i="52"/>
  <c r="X62" i="52"/>
  <c r="W62" i="52"/>
  <c r="V62" i="52"/>
  <c r="Z61" i="52"/>
  <c r="Y61" i="52"/>
  <c r="X61" i="52"/>
  <c r="W61" i="52"/>
  <c r="V61" i="52"/>
  <c r="Z60" i="52"/>
  <c r="Y60" i="52"/>
  <c r="X60" i="52"/>
  <c r="W60" i="52"/>
  <c r="V60" i="52"/>
  <c r="Z59" i="52"/>
  <c r="Y59" i="52"/>
  <c r="X59" i="52"/>
  <c r="W59" i="52"/>
  <c r="V59" i="52"/>
  <c r="Z58" i="52"/>
  <c r="Y58" i="52"/>
  <c r="X58" i="52"/>
  <c r="W58" i="52"/>
  <c r="V58" i="52"/>
  <c r="Z57" i="52"/>
  <c r="Y57" i="52"/>
  <c r="X57" i="52"/>
  <c r="W57" i="52"/>
  <c r="V57" i="52"/>
  <c r="Z56" i="52"/>
  <c r="Y56" i="52"/>
  <c r="X56" i="52"/>
  <c r="W56" i="52"/>
  <c r="V56" i="52"/>
  <c r="B48" i="52"/>
  <c r="AQ28" i="52" s="1"/>
  <c r="AC47" i="52"/>
  <c r="AC46" i="52"/>
  <c r="AE45" i="52"/>
  <c r="AC45" i="52"/>
  <c r="B45" i="52"/>
  <c r="AP44" i="52"/>
  <c r="B94" i="52" s="1"/>
  <c r="AP43" i="52"/>
  <c r="AP42" i="52"/>
  <c r="B88" i="52" s="1"/>
  <c r="X42" i="52"/>
  <c r="AP41" i="52"/>
  <c r="X41" i="52"/>
  <c r="AP40" i="52"/>
  <c r="X40" i="52"/>
  <c r="X39" i="52"/>
  <c r="X38" i="52"/>
  <c r="B38" i="52"/>
  <c r="AK37" i="52"/>
  <c r="AU59" i="52" s="1"/>
  <c r="X37" i="52"/>
  <c r="AQ36" i="52"/>
  <c r="AL36" i="52"/>
  <c r="AK36" i="52"/>
  <c r="AU58" i="52" s="1"/>
  <c r="X36" i="52"/>
  <c r="AL35" i="52"/>
  <c r="AK35" i="52"/>
  <c r="AU57" i="52" s="1"/>
  <c r="X35" i="52"/>
  <c r="Q35" i="52"/>
  <c r="P35" i="52"/>
  <c r="O35" i="52" s="1"/>
  <c r="E18" i="52" s="1"/>
  <c r="AL34" i="52"/>
  <c r="AK34" i="52"/>
  <c r="AU56" i="52" s="1"/>
  <c r="X34" i="52"/>
  <c r="AL33" i="52"/>
  <c r="AK33" i="52"/>
  <c r="AU55" i="52" s="1"/>
  <c r="X33" i="52"/>
  <c r="AL32" i="52"/>
  <c r="AK32" i="52"/>
  <c r="AU54" i="52" s="1"/>
  <c r="X32" i="52"/>
  <c r="AL31" i="52"/>
  <c r="AK31" i="52"/>
  <c r="AU53" i="52" s="1"/>
  <c r="AG31" i="52"/>
  <c r="X31" i="52"/>
  <c r="AL30" i="52"/>
  <c r="AK30" i="52"/>
  <c r="AU52" i="52" s="1"/>
  <c r="X30" i="52"/>
  <c r="B30" i="52"/>
  <c r="AQ27" i="52" s="1"/>
  <c r="AL29" i="52"/>
  <c r="AK29" i="52"/>
  <c r="AU51" i="52" s="1"/>
  <c r="X29" i="52"/>
  <c r="X28" i="52"/>
  <c r="B27" i="52"/>
  <c r="P25" i="52"/>
  <c r="P24" i="52"/>
  <c r="I24" i="52"/>
  <c r="G24" i="52"/>
  <c r="E24" i="52"/>
  <c r="C24" i="52"/>
  <c r="AB23" i="52"/>
  <c r="AA23" i="52"/>
  <c r="AC23" i="52" s="1"/>
  <c r="Z23" i="52"/>
  <c r="Y23" i="52"/>
  <c r="I23" i="52"/>
  <c r="G23" i="52"/>
  <c r="E23" i="52"/>
  <c r="C23" i="52"/>
  <c r="AB22" i="52"/>
  <c r="AA22" i="52"/>
  <c r="Z22" i="52"/>
  <c r="AC22" i="52" s="1"/>
  <c r="Y22" i="52"/>
  <c r="I22" i="52"/>
  <c r="G22" i="52"/>
  <c r="E22" i="52"/>
  <c r="C22" i="52"/>
  <c r="I21" i="52"/>
  <c r="G21" i="52"/>
  <c r="E21" i="52"/>
  <c r="C21" i="52"/>
  <c r="AQ20" i="52"/>
  <c r="AI20" i="52"/>
  <c r="AJ18" i="52" s="1"/>
  <c r="AK18" i="52" s="1"/>
  <c r="AV26" i="52" s="1"/>
  <c r="I20" i="52"/>
  <c r="AQ19" i="52"/>
  <c r="B69" i="52" s="1"/>
  <c r="AQ35" i="52" s="1"/>
  <c r="AI19" i="52"/>
  <c r="AQ18" i="52"/>
  <c r="AI18" i="52"/>
  <c r="I18" i="52"/>
  <c r="AI17" i="52"/>
  <c r="AI16" i="52"/>
  <c r="AJ15" i="52" s="1"/>
  <c r="AK15" i="52" s="1"/>
  <c r="AU26" i="52" s="1"/>
  <c r="AI15" i="52"/>
  <c r="AQ14" i="52"/>
  <c r="AI14" i="52"/>
  <c r="I14" i="52"/>
  <c r="AQ13" i="52"/>
  <c r="B60" i="52" s="1"/>
  <c r="AQ32" i="52" s="1"/>
  <c r="AI13" i="52"/>
  <c r="AQ12" i="52"/>
  <c r="B57" i="52" s="1"/>
  <c r="AQ31" i="52" s="1"/>
  <c r="AJ12" i="52"/>
  <c r="AK12" i="52" s="1"/>
  <c r="AT26" i="52" s="1"/>
  <c r="AI12" i="52"/>
  <c r="AI11" i="52"/>
  <c r="AC11" i="52"/>
  <c r="AB11" i="52"/>
  <c r="AA11" i="52"/>
  <c r="Z11" i="52"/>
  <c r="Y11" i="52"/>
  <c r="AI10" i="52"/>
  <c r="AC10" i="52"/>
  <c r="AB10" i="52"/>
  <c r="AA10" i="52"/>
  <c r="Z10" i="52"/>
  <c r="Y10" i="52"/>
  <c r="AI9" i="52"/>
  <c r="AJ9" i="52" s="1"/>
  <c r="AC9" i="52"/>
  <c r="AB9" i="52"/>
  <c r="AA9" i="52"/>
  <c r="Z9" i="52"/>
  <c r="Y9" i="52"/>
  <c r="AQ8" i="52"/>
  <c r="B54" i="52" s="1"/>
  <c r="AQ30" i="52" s="1"/>
  <c r="AB8" i="52"/>
  <c r="AA8" i="52"/>
  <c r="Z8" i="52"/>
  <c r="AC8" i="52" s="1"/>
  <c r="Y8" i="52"/>
  <c r="AD8" i="52" s="1"/>
  <c r="AB36" i="52" s="1"/>
  <c r="AQ7" i="52"/>
  <c r="B51" i="52" s="1"/>
  <c r="AQ29" i="52" s="1"/>
  <c r="AQ6" i="52"/>
  <c r="AA215" i="51"/>
  <c r="V214" i="51"/>
  <c r="V213" i="51"/>
  <c r="V212" i="51"/>
  <c r="V211" i="51"/>
  <c r="V210" i="51"/>
  <c r="V209" i="51"/>
  <c r="V208" i="51"/>
  <c r="V207" i="51"/>
  <c r="V206" i="51"/>
  <c r="V205" i="51"/>
  <c r="V204" i="51"/>
  <c r="V203" i="51"/>
  <c r="V202" i="51"/>
  <c r="V201" i="51"/>
  <c r="V200" i="51"/>
  <c r="V199" i="51"/>
  <c r="V198" i="51"/>
  <c r="V197" i="51"/>
  <c r="V196" i="51"/>
  <c r="V195" i="51"/>
  <c r="V194" i="51"/>
  <c r="V193" i="51"/>
  <c r="V192" i="51"/>
  <c r="V191" i="51"/>
  <c r="V190" i="51"/>
  <c r="V189" i="51"/>
  <c r="V188" i="51"/>
  <c r="AO179" i="51"/>
  <c r="AN179" i="51"/>
  <c r="AM179" i="51"/>
  <c r="AL179" i="51"/>
  <c r="AK179" i="51"/>
  <c r="AJ179" i="51"/>
  <c r="AI179" i="51"/>
  <c r="AH179" i="51"/>
  <c r="AG179" i="51"/>
  <c r="AF179" i="51"/>
  <c r="AE179" i="51"/>
  <c r="AD179" i="51"/>
  <c r="AC179" i="51"/>
  <c r="AB179" i="51"/>
  <c r="AA179" i="51"/>
  <c r="Z179" i="51"/>
  <c r="Y179" i="51"/>
  <c r="X179" i="51"/>
  <c r="W179" i="51"/>
  <c r="V179" i="51"/>
  <c r="AO178" i="51"/>
  <c r="AN178" i="51"/>
  <c r="AM178" i="51"/>
  <c r="AL178" i="51"/>
  <c r="AK178" i="51"/>
  <c r="AJ178" i="51"/>
  <c r="AI178" i="51"/>
  <c r="AH178" i="51"/>
  <c r="AG178" i="51"/>
  <c r="AF178" i="51"/>
  <c r="AE178" i="51"/>
  <c r="AD178" i="51"/>
  <c r="AC178" i="51"/>
  <c r="AB178" i="51"/>
  <c r="AA178" i="51"/>
  <c r="Z178" i="51"/>
  <c r="Y178" i="51"/>
  <c r="X178" i="51"/>
  <c r="W178" i="51"/>
  <c r="V178" i="51"/>
  <c r="AO177" i="51"/>
  <c r="AN177" i="51"/>
  <c r="AM177" i="51"/>
  <c r="AL177" i="51"/>
  <c r="AK177" i="51"/>
  <c r="AJ177" i="51"/>
  <c r="AI177" i="51"/>
  <c r="AH177" i="51"/>
  <c r="AG177" i="51"/>
  <c r="AF177" i="51"/>
  <c r="AE177" i="51"/>
  <c r="AD177" i="51"/>
  <c r="AC177" i="51"/>
  <c r="AB177" i="51"/>
  <c r="AA177" i="51"/>
  <c r="Z177" i="51"/>
  <c r="Y177" i="51"/>
  <c r="X177" i="51"/>
  <c r="W177" i="51"/>
  <c r="V177" i="51"/>
  <c r="AO176" i="51"/>
  <c r="AN176" i="51"/>
  <c r="AM176" i="51"/>
  <c r="AL176" i="51"/>
  <c r="AK176" i="51"/>
  <c r="AJ176" i="51"/>
  <c r="AI176" i="51"/>
  <c r="AH176" i="51"/>
  <c r="AG176" i="51"/>
  <c r="AF176" i="51"/>
  <c r="AE176" i="51"/>
  <c r="AD176" i="51"/>
  <c r="AC176" i="51"/>
  <c r="AB176" i="51"/>
  <c r="AA176" i="51"/>
  <c r="Z176" i="51"/>
  <c r="Y176" i="51"/>
  <c r="X176" i="51"/>
  <c r="V176" i="51"/>
  <c r="AO175" i="51"/>
  <c r="AN175" i="51"/>
  <c r="AM175" i="51"/>
  <c r="AL175" i="51"/>
  <c r="AK175" i="51"/>
  <c r="AJ175" i="51"/>
  <c r="AI175" i="51"/>
  <c r="AH175" i="51"/>
  <c r="AG175" i="51"/>
  <c r="AF175" i="51"/>
  <c r="AE175" i="51"/>
  <c r="AD175" i="51"/>
  <c r="AC175" i="51"/>
  <c r="AB175" i="51"/>
  <c r="AA175" i="51"/>
  <c r="Z175" i="51"/>
  <c r="Y175" i="51"/>
  <c r="X175" i="51"/>
  <c r="V175" i="51"/>
  <c r="AO174" i="51"/>
  <c r="AN174" i="51"/>
  <c r="AM174" i="51"/>
  <c r="AL174" i="51"/>
  <c r="AK174" i="51"/>
  <c r="AJ174" i="51"/>
  <c r="AI174" i="51"/>
  <c r="AH174" i="51"/>
  <c r="AG174" i="51"/>
  <c r="AF174" i="51"/>
  <c r="AE174" i="51"/>
  <c r="AD174" i="51"/>
  <c r="AC174" i="51"/>
  <c r="AB174" i="51"/>
  <c r="AA174" i="51"/>
  <c r="Z174" i="51"/>
  <c r="Y174" i="51"/>
  <c r="X174" i="51"/>
  <c r="V174" i="51"/>
  <c r="AO173" i="51"/>
  <c r="AN173" i="51"/>
  <c r="AM173" i="51"/>
  <c r="AL173" i="51"/>
  <c r="AK173" i="51"/>
  <c r="AJ173" i="51"/>
  <c r="AI173" i="51"/>
  <c r="AH173" i="51"/>
  <c r="AG173" i="51"/>
  <c r="AF173" i="51"/>
  <c r="AE173" i="51"/>
  <c r="AD173" i="51"/>
  <c r="AC173" i="51"/>
  <c r="AB173" i="51"/>
  <c r="AA173" i="51"/>
  <c r="Z173" i="51"/>
  <c r="Y173" i="51"/>
  <c r="X173" i="51"/>
  <c r="V173" i="51"/>
  <c r="AO172" i="51"/>
  <c r="AN172" i="51"/>
  <c r="AM172" i="51"/>
  <c r="AL172" i="51"/>
  <c r="AK172" i="51"/>
  <c r="AJ172" i="51"/>
  <c r="AI172" i="51"/>
  <c r="AH172" i="51"/>
  <c r="AG172" i="51"/>
  <c r="AF172" i="51"/>
  <c r="AE172" i="51"/>
  <c r="AD172" i="51"/>
  <c r="AC172" i="51"/>
  <c r="AB172" i="51"/>
  <c r="AA172" i="51"/>
  <c r="Z172" i="51"/>
  <c r="Y172" i="51"/>
  <c r="X172" i="51"/>
  <c r="W172" i="51"/>
  <c r="V172" i="51"/>
  <c r="AO171" i="51"/>
  <c r="AN171" i="51"/>
  <c r="AM171" i="51"/>
  <c r="AL171" i="51"/>
  <c r="AK171" i="51"/>
  <c r="AJ171" i="51"/>
  <c r="AI171" i="51"/>
  <c r="AH171" i="51"/>
  <c r="AG171" i="51"/>
  <c r="AF171" i="51"/>
  <c r="AE171" i="51"/>
  <c r="AD171" i="51"/>
  <c r="AC171" i="51"/>
  <c r="AB171" i="51"/>
  <c r="AA171" i="51"/>
  <c r="Z171" i="51"/>
  <c r="Y171" i="51"/>
  <c r="X171" i="51"/>
  <c r="V171" i="51"/>
  <c r="AO170" i="51"/>
  <c r="AN170" i="51"/>
  <c r="AM170" i="51"/>
  <c r="AL170" i="51"/>
  <c r="AK170" i="51"/>
  <c r="AJ170" i="51"/>
  <c r="AI170" i="51"/>
  <c r="AH170" i="51"/>
  <c r="AG170" i="51"/>
  <c r="AF170" i="51"/>
  <c r="AE170" i="51"/>
  <c r="AD170" i="51"/>
  <c r="AC170" i="51"/>
  <c r="AB170" i="51"/>
  <c r="AA170" i="51"/>
  <c r="Z170" i="51"/>
  <c r="Y170" i="51"/>
  <c r="X170" i="51"/>
  <c r="V170" i="51"/>
  <c r="AO169" i="51"/>
  <c r="AN169" i="51"/>
  <c r="AM169" i="51"/>
  <c r="AL169" i="51"/>
  <c r="AK169" i="51"/>
  <c r="AJ169" i="51"/>
  <c r="AI169" i="51"/>
  <c r="AH169" i="51"/>
  <c r="AG169" i="51"/>
  <c r="AF169" i="51"/>
  <c r="AE169" i="51"/>
  <c r="AD169" i="51"/>
  <c r="AC169" i="51"/>
  <c r="AB169" i="51"/>
  <c r="AA169" i="51"/>
  <c r="Z169" i="51"/>
  <c r="Y169" i="51"/>
  <c r="X169" i="51"/>
  <c r="W169" i="51"/>
  <c r="V169" i="51"/>
  <c r="AO168" i="51"/>
  <c r="AN168" i="51"/>
  <c r="AM168" i="51"/>
  <c r="AL168" i="51"/>
  <c r="X95" i="51" s="1"/>
  <c r="AK168" i="51"/>
  <c r="AJ168" i="51"/>
  <c r="AI168" i="51"/>
  <c r="AH168" i="51"/>
  <c r="AG168" i="51"/>
  <c r="AF168" i="51"/>
  <c r="AE168" i="51"/>
  <c r="AD168" i="51"/>
  <c r="AD95" i="51" s="1"/>
  <c r="AC168" i="51"/>
  <c r="AC95" i="51" s="1"/>
  <c r="AB168" i="51"/>
  <c r="AA168" i="51"/>
  <c r="AA95" i="51" s="1"/>
  <c r="Z168" i="51"/>
  <c r="Z95" i="51" s="1"/>
  <c r="Y168" i="51"/>
  <c r="X168" i="51"/>
  <c r="W168" i="51"/>
  <c r="W95" i="51" s="1"/>
  <c r="V168" i="51"/>
  <c r="AO167" i="51"/>
  <c r="AN167" i="51"/>
  <c r="AM167" i="51"/>
  <c r="AL167" i="51"/>
  <c r="X94" i="51" s="1"/>
  <c r="AK167" i="51"/>
  <c r="AJ167" i="51"/>
  <c r="AI167" i="51"/>
  <c r="AH167" i="51"/>
  <c r="AG167" i="51"/>
  <c r="AF167" i="51"/>
  <c r="AE167" i="51"/>
  <c r="AD167" i="51"/>
  <c r="AC167" i="51"/>
  <c r="AC94" i="51" s="1"/>
  <c r="AB167" i="51"/>
  <c r="AB94" i="51" s="1"/>
  <c r="AA167" i="51"/>
  <c r="Z167" i="51"/>
  <c r="Z94" i="51" s="1"/>
  <c r="Y167" i="51"/>
  <c r="Y94" i="51" s="1"/>
  <c r="X167" i="51"/>
  <c r="W167" i="51"/>
  <c r="W94" i="51" s="1"/>
  <c r="V167" i="51"/>
  <c r="V94" i="51" s="1"/>
  <c r="AO166" i="51"/>
  <c r="AN166" i="51"/>
  <c r="AM166" i="51"/>
  <c r="AL166" i="51"/>
  <c r="AK166" i="51"/>
  <c r="AJ166" i="51"/>
  <c r="AI166" i="51"/>
  <c r="AH166" i="51"/>
  <c r="AG166" i="51"/>
  <c r="AF166" i="51"/>
  <c r="AE166" i="51"/>
  <c r="AD166" i="51"/>
  <c r="AD93" i="51" s="1"/>
  <c r="AC166" i="51"/>
  <c r="AB166" i="51"/>
  <c r="AB93" i="51" s="1"/>
  <c r="AA166" i="51"/>
  <c r="AA93" i="51" s="1"/>
  <c r="Z166" i="51"/>
  <c r="Y166" i="51"/>
  <c r="Y93" i="51" s="1"/>
  <c r="X166" i="51"/>
  <c r="W166" i="51"/>
  <c r="V166" i="51"/>
  <c r="V93" i="51" s="1"/>
  <c r="AO165" i="51"/>
  <c r="AN165" i="51"/>
  <c r="AM165" i="51"/>
  <c r="AL165" i="51"/>
  <c r="X92" i="51" s="1"/>
  <c r="AK165" i="51"/>
  <c r="AJ165" i="51"/>
  <c r="AI165" i="51"/>
  <c r="AH165" i="51"/>
  <c r="AG165" i="51"/>
  <c r="AF165" i="51"/>
  <c r="AE165" i="51"/>
  <c r="AD165" i="51"/>
  <c r="AD92" i="51" s="1"/>
  <c r="AC165" i="51"/>
  <c r="AC92" i="51" s="1"/>
  <c r="AB165" i="51"/>
  <c r="AA165" i="51"/>
  <c r="AA92" i="51" s="1"/>
  <c r="Z165" i="51"/>
  <c r="Z92" i="51" s="1"/>
  <c r="Y165" i="51"/>
  <c r="X165" i="51"/>
  <c r="W165" i="51"/>
  <c r="W92" i="51" s="1"/>
  <c r="V165" i="51"/>
  <c r="AO164" i="51"/>
  <c r="AN164" i="51"/>
  <c r="AM164" i="51"/>
  <c r="AL164" i="51"/>
  <c r="X91" i="51" s="1"/>
  <c r="AK164" i="51"/>
  <c r="AJ164" i="51"/>
  <c r="AI164" i="51"/>
  <c r="AH164" i="51"/>
  <c r="AG164" i="51"/>
  <c r="AF164" i="51"/>
  <c r="AE164" i="51"/>
  <c r="AD164" i="51"/>
  <c r="AC164" i="51"/>
  <c r="AC91" i="51" s="1"/>
  <c r="AB164" i="51"/>
  <c r="AB91" i="51" s="1"/>
  <c r="AA164" i="51"/>
  <c r="Z164" i="51"/>
  <c r="Z91" i="51" s="1"/>
  <c r="Y164" i="51"/>
  <c r="Y91" i="51" s="1"/>
  <c r="X164" i="51"/>
  <c r="W164" i="51"/>
  <c r="W91" i="51" s="1"/>
  <c r="V164" i="51"/>
  <c r="V91" i="51" s="1"/>
  <c r="AO163" i="51"/>
  <c r="AN163" i="51"/>
  <c r="AM163" i="51"/>
  <c r="AL163" i="51"/>
  <c r="AK163" i="51"/>
  <c r="AJ163" i="51"/>
  <c r="AI163" i="51"/>
  <c r="AH163" i="51"/>
  <c r="AG163" i="51"/>
  <c r="AF163" i="51"/>
  <c r="AE163" i="51"/>
  <c r="AD163" i="51"/>
  <c r="AD90" i="51" s="1"/>
  <c r="AC163" i="51"/>
  <c r="AB163" i="51"/>
  <c r="AB90" i="51" s="1"/>
  <c r="AA163" i="51"/>
  <c r="AA90" i="51" s="1"/>
  <c r="Z163" i="51"/>
  <c r="Y163" i="51"/>
  <c r="Y90" i="51" s="1"/>
  <c r="X163" i="51"/>
  <c r="W163" i="51"/>
  <c r="V163" i="51"/>
  <c r="V90" i="51" s="1"/>
  <c r="AO162" i="51"/>
  <c r="AN162" i="51"/>
  <c r="AM162" i="51"/>
  <c r="AL162" i="51"/>
  <c r="X89" i="51" s="1"/>
  <c r="AK162" i="51"/>
  <c r="AJ162" i="51"/>
  <c r="AI162" i="51"/>
  <c r="AH162" i="51"/>
  <c r="AG162" i="51"/>
  <c r="AF162" i="51"/>
  <c r="AE162" i="51"/>
  <c r="AD162" i="51"/>
  <c r="AD89" i="51" s="1"/>
  <c r="AC162" i="51"/>
  <c r="AC89" i="51" s="1"/>
  <c r="AB162" i="51"/>
  <c r="AA162" i="51"/>
  <c r="AA89" i="51" s="1"/>
  <c r="Z162" i="51"/>
  <c r="Z89" i="51" s="1"/>
  <c r="Y162" i="51"/>
  <c r="X162" i="51"/>
  <c r="W162" i="51"/>
  <c r="W89" i="51" s="1"/>
  <c r="V162" i="51"/>
  <c r="AO161" i="51"/>
  <c r="AN161" i="51"/>
  <c r="AM161" i="51"/>
  <c r="AL161" i="51"/>
  <c r="X88" i="51" s="1"/>
  <c r="AK161" i="51"/>
  <c r="AJ161" i="51"/>
  <c r="AI161" i="51"/>
  <c r="AH161" i="51"/>
  <c r="AG161" i="51"/>
  <c r="AF161" i="51"/>
  <c r="AE161" i="51"/>
  <c r="AD161" i="51"/>
  <c r="AC161" i="51"/>
  <c r="AC88" i="51" s="1"/>
  <c r="AB161" i="51"/>
  <c r="AB88" i="51" s="1"/>
  <c r="AA161" i="51"/>
  <c r="Z161" i="51"/>
  <c r="Z88" i="51" s="1"/>
  <c r="Y161" i="51"/>
  <c r="Y88" i="51" s="1"/>
  <c r="X161" i="51"/>
  <c r="W161" i="51"/>
  <c r="W88" i="51" s="1"/>
  <c r="V161" i="51"/>
  <c r="V88" i="51" s="1"/>
  <c r="AO160" i="51"/>
  <c r="AN160" i="51"/>
  <c r="AM160" i="51"/>
  <c r="AL160" i="51"/>
  <c r="AK160" i="51"/>
  <c r="AJ160" i="51"/>
  <c r="AI160" i="51"/>
  <c r="AH160" i="51"/>
  <c r="AG160" i="51"/>
  <c r="AF160" i="51"/>
  <c r="AE160" i="51"/>
  <c r="AD160" i="51"/>
  <c r="AD87" i="51" s="1"/>
  <c r="AC160" i="51"/>
  <c r="AB160" i="51"/>
  <c r="AB87" i="51" s="1"/>
  <c r="AA160" i="51"/>
  <c r="AA87" i="51" s="1"/>
  <c r="Z160" i="51"/>
  <c r="Y160" i="51"/>
  <c r="Y87" i="51" s="1"/>
  <c r="X160" i="51"/>
  <c r="V160" i="51"/>
  <c r="V87" i="51" s="1"/>
  <c r="AO159" i="51"/>
  <c r="AN159" i="51"/>
  <c r="AM159" i="51"/>
  <c r="AL159" i="51"/>
  <c r="AK159" i="51"/>
  <c r="AJ159" i="51"/>
  <c r="AI159" i="51"/>
  <c r="AH159" i="51"/>
  <c r="AG159" i="51"/>
  <c r="AF159" i="51"/>
  <c r="AE159" i="51"/>
  <c r="AD159" i="51"/>
  <c r="AC159" i="51"/>
  <c r="AB159" i="51"/>
  <c r="AA159" i="51"/>
  <c r="Z159" i="51"/>
  <c r="Y159" i="51"/>
  <c r="X159" i="51"/>
  <c r="W159" i="51"/>
  <c r="V159" i="51"/>
  <c r="AO158" i="51"/>
  <c r="AN158" i="51"/>
  <c r="AM158" i="51"/>
  <c r="AL158" i="51"/>
  <c r="AK158" i="51"/>
  <c r="AJ158" i="51"/>
  <c r="AI158" i="51"/>
  <c r="AH158" i="51"/>
  <c r="AG158" i="51"/>
  <c r="AF158" i="51"/>
  <c r="AE158" i="51"/>
  <c r="AD158" i="51"/>
  <c r="AC158" i="51"/>
  <c r="AB158" i="51"/>
  <c r="AA158" i="51"/>
  <c r="Z158" i="51"/>
  <c r="Y158" i="51"/>
  <c r="X158" i="51"/>
  <c r="W158" i="51"/>
  <c r="V158" i="51"/>
  <c r="AO157" i="51"/>
  <c r="AN157" i="51"/>
  <c r="AM157" i="51"/>
  <c r="AL157" i="51"/>
  <c r="AK157" i="51"/>
  <c r="AJ157" i="51"/>
  <c r="AI157" i="51"/>
  <c r="AH157" i="51"/>
  <c r="AG157" i="51"/>
  <c r="AF157" i="51"/>
  <c r="AE157" i="51"/>
  <c r="AD157" i="51"/>
  <c r="AC157" i="51"/>
  <c r="AB157" i="51"/>
  <c r="AA157" i="51"/>
  <c r="Z157" i="51"/>
  <c r="Y157" i="51"/>
  <c r="X157" i="51"/>
  <c r="W157" i="51"/>
  <c r="V157" i="51"/>
  <c r="AO156" i="51"/>
  <c r="AN156" i="51"/>
  <c r="AM156" i="51"/>
  <c r="AL156" i="51"/>
  <c r="AK156" i="51"/>
  <c r="AJ156" i="51"/>
  <c r="AI156" i="51"/>
  <c r="AH156" i="51"/>
  <c r="AG156" i="51"/>
  <c r="AF156" i="51"/>
  <c r="AE156" i="51"/>
  <c r="AD156" i="51"/>
  <c r="AC156" i="51"/>
  <c r="AB156" i="51"/>
  <c r="AA156" i="51"/>
  <c r="Z156" i="51"/>
  <c r="Y156" i="51"/>
  <c r="X156" i="51"/>
  <c r="W156" i="51"/>
  <c r="V156" i="51"/>
  <c r="AO155" i="51"/>
  <c r="AN155" i="51"/>
  <c r="AM155" i="51"/>
  <c r="AL155" i="51"/>
  <c r="AK155" i="51"/>
  <c r="AJ155" i="51"/>
  <c r="AI155" i="51"/>
  <c r="AH155" i="51"/>
  <c r="AG155" i="51"/>
  <c r="AF155" i="51"/>
  <c r="AE155" i="51"/>
  <c r="AD155" i="51"/>
  <c r="AC155" i="51"/>
  <c r="AB155" i="51"/>
  <c r="AA155" i="51"/>
  <c r="Z155" i="51"/>
  <c r="Y155" i="51"/>
  <c r="X155" i="51"/>
  <c r="W155" i="51"/>
  <c r="V155" i="51"/>
  <c r="AO154" i="51"/>
  <c r="AN154" i="51"/>
  <c r="AM154" i="51"/>
  <c r="AL154" i="51"/>
  <c r="AK154" i="51"/>
  <c r="AJ154" i="51"/>
  <c r="AI154" i="51"/>
  <c r="AH154" i="51"/>
  <c r="AG154" i="51"/>
  <c r="AF154" i="51"/>
  <c r="AE154" i="51"/>
  <c r="AD154" i="51"/>
  <c r="AC154" i="51"/>
  <c r="AB154" i="51"/>
  <c r="AA154" i="51"/>
  <c r="Z154" i="51"/>
  <c r="Y154" i="51"/>
  <c r="X154" i="51"/>
  <c r="W154" i="51"/>
  <c r="V154" i="51"/>
  <c r="AO153" i="51"/>
  <c r="AN153" i="51"/>
  <c r="AM153" i="51"/>
  <c r="AL153" i="51"/>
  <c r="AK153" i="51"/>
  <c r="AJ153" i="51"/>
  <c r="AI153" i="51"/>
  <c r="AH153" i="51"/>
  <c r="AG153" i="51"/>
  <c r="AF153" i="51"/>
  <c r="AE153" i="51"/>
  <c r="AD153" i="51"/>
  <c r="AC153" i="51"/>
  <c r="AB153" i="51"/>
  <c r="AA153" i="51"/>
  <c r="Z153" i="51"/>
  <c r="Y153" i="51"/>
  <c r="X153" i="51"/>
  <c r="W153" i="51"/>
  <c r="V153" i="51"/>
  <c r="AO152" i="51"/>
  <c r="AN152" i="51"/>
  <c r="AM152" i="51"/>
  <c r="AL152" i="51"/>
  <c r="AK152" i="51"/>
  <c r="AJ152" i="51"/>
  <c r="AI152" i="51"/>
  <c r="AH152" i="51"/>
  <c r="AG152" i="51"/>
  <c r="AF152" i="51"/>
  <c r="AE152" i="51"/>
  <c r="AD152" i="51"/>
  <c r="AC152" i="51"/>
  <c r="AB152" i="51"/>
  <c r="AA152" i="51"/>
  <c r="Z152" i="51"/>
  <c r="Y152" i="51"/>
  <c r="X152" i="51"/>
  <c r="W152" i="51"/>
  <c r="V152" i="51"/>
  <c r="AO151" i="51"/>
  <c r="AN151" i="51"/>
  <c r="AM151" i="51"/>
  <c r="AL151" i="51"/>
  <c r="AK151" i="51"/>
  <c r="AJ151" i="51"/>
  <c r="AI151" i="51"/>
  <c r="AH151" i="51"/>
  <c r="AG151" i="51"/>
  <c r="AF151" i="51"/>
  <c r="AE151" i="51"/>
  <c r="AD151" i="51"/>
  <c r="AC151" i="51"/>
  <c r="AB151" i="51"/>
  <c r="AA151" i="51"/>
  <c r="Z151" i="51"/>
  <c r="Y151" i="51"/>
  <c r="X151" i="51"/>
  <c r="W151" i="51"/>
  <c r="V151" i="51"/>
  <c r="AO150" i="51"/>
  <c r="AN150" i="51"/>
  <c r="AM150" i="51"/>
  <c r="AL150" i="51"/>
  <c r="AK150" i="51"/>
  <c r="AJ150" i="51"/>
  <c r="AI150" i="51"/>
  <c r="AH150" i="51"/>
  <c r="AG150" i="51"/>
  <c r="AF150" i="51"/>
  <c r="AE150" i="51"/>
  <c r="AD150" i="51"/>
  <c r="AC150" i="51"/>
  <c r="AB150" i="51"/>
  <c r="AA150" i="51"/>
  <c r="Z150" i="51"/>
  <c r="Y150" i="51"/>
  <c r="X150" i="51"/>
  <c r="W150" i="51"/>
  <c r="V150" i="51"/>
  <c r="AO149" i="51"/>
  <c r="AN149" i="51"/>
  <c r="AM149" i="51"/>
  <c r="AL149" i="51"/>
  <c r="AK149" i="51"/>
  <c r="AJ149" i="51"/>
  <c r="AI149" i="51"/>
  <c r="AH149" i="51"/>
  <c r="AG149" i="51"/>
  <c r="AF149" i="51"/>
  <c r="AE149" i="51"/>
  <c r="AD149" i="51"/>
  <c r="AC149" i="51"/>
  <c r="AB149" i="51"/>
  <c r="AA149" i="51"/>
  <c r="Z149" i="51"/>
  <c r="Y149" i="51"/>
  <c r="X149" i="51"/>
  <c r="V149" i="51"/>
  <c r="AO148" i="51"/>
  <c r="AN148" i="51"/>
  <c r="AM148" i="51"/>
  <c r="AL148" i="51"/>
  <c r="AK148" i="51"/>
  <c r="AJ148" i="51"/>
  <c r="AI148" i="51"/>
  <c r="AH148" i="51"/>
  <c r="AG148" i="51"/>
  <c r="AF148" i="51"/>
  <c r="AE148" i="51"/>
  <c r="AD148" i="51"/>
  <c r="AC148" i="51"/>
  <c r="AB148" i="51"/>
  <c r="AA148" i="51"/>
  <c r="Z148" i="51"/>
  <c r="Y148" i="51"/>
  <c r="X148" i="51"/>
  <c r="V148" i="51"/>
  <c r="AO147" i="51"/>
  <c r="AN147" i="51"/>
  <c r="AM147" i="51"/>
  <c r="AL147" i="51"/>
  <c r="AK147" i="51"/>
  <c r="AJ147" i="51"/>
  <c r="AI147" i="51"/>
  <c r="AH147" i="51"/>
  <c r="AG147" i="51"/>
  <c r="AF147" i="51"/>
  <c r="AE147" i="51"/>
  <c r="AD147" i="51"/>
  <c r="AC147" i="51"/>
  <c r="AB147" i="51"/>
  <c r="AA147" i="51"/>
  <c r="Z147" i="51"/>
  <c r="Y147" i="51"/>
  <c r="X147" i="51"/>
  <c r="V147" i="51"/>
  <c r="AO146" i="51"/>
  <c r="AN146" i="51"/>
  <c r="AM146" i="51"/>
  <c r="AL146" i="51"/>
  <c r="AK146" i="51"/>
  <c r="AJ146" i="51"/>
  <c r="AI146" i="51"/>
  <c r="AH146" i="51"/>
  <c r="AG146" i="51"/>
  <c r="AF146" i="51"/>
  <c r="AE146" i="51"/>
  <c r="AD146" i="51"/>
  <c r="AC146" i="51"/>
  <c r="AB146" i="51"/>
  <c r="AA146" i="51"/>
  <c r="Z146" i="51"/>
  <c r="Y146" i="51"/>
  <c r="X146" i="51"/>
  <c r="V146" i="51"/>
  <c r="AO145" i="51"/>
  <c r="AN145" i="51"/>
  <c r="AM145" i="51"/>
  <c r="AL145" i="51"/>
  <c r="AK145" i="51"/>
  <c r="AJ145" i="51"/>
  <c r="AI145" i="51"/>
  <c r="AH145" i="51"/>
  <c r="AG145" i="51"/>
  <c r="AF145" i="51"/>
  <c r="AE145" i="51"/>
  <c r="AD145" i="51"/>
  <c r="AC145" i="51"/>
  <c r="AB145" i="51"/>
  <c r="AA145" i="51"/>
  <c r="Z145" i="51"/>
  <c r="Y145" i="51"/>
  <c r="X145" i="51"/>
  <c r="W145" i="51"/>
  <c r="V145" i="51"/>
  <c r="AO144" i="51"/>
  <c r="AN144" i="51"/>
  <c r="AM144" i="51"/>
  <c r="AL144" i="51"/>
  <c r="AK144" i="51"/>
  <c r="AJ144" i="51"/>
  <c r="AI144" i="51"/>
  <c r="AH144" i="51"/>
  <c r="AG144" i="51"/>
  <c r="AF144" i="51"/>
  <c r="AE144" i="51"/>
  <c r="AD144" i="51"/>
  <c r="AC144" i="51"/>
  <c r="AB144" i="51"/>
  <c r="AA144" i="51"/>
  <c r="Z144" i="51"/>
  <c r="Y144" i="51"/>
  <c r="X144" i="51"/>
  <c r="W144" i="51"/>
  <c r="V144" i="51"/>
  <c r="AO143" i="51"/>
  <c r="AN143" i="51"/>
  <c r="AM143" i="51"/>
  <c r="AL143" i="51"/>
  <c r="AK143" i="51"/>
  <c r="AJ143" i="51"/>
  <c r="AI143" i="51"/>
  <c r="AH143" i="51"/>
  <c r="AG143" i="51"/>
  <c r="AF143" i="51"/>
  <c r="AE143" i="51"/>
  <c r="AD143" i="51"/>
  <c r="AC143" i="51"/>
  <c r="AB143" i="51"/>
  <c r="AA143" i="51"/>
  <c r="Z143" i="51"/>
  <c r="Y143" i="51"/>
  <c r="X143" i="51"/>
  <c r="W143" i="51"/>
  <c r="V143" i="51"/>
  <c r="Q143" i="51"/>
  <c r="AO142" i="51"/>
  <c r="AN142" i="51"/>
  <c r="AM142" i="51"/>
  <c r="AL142" i="51"/>
  <c r="AK142" i="51"/>
  <c r="AJ142" i="51"/>
  <c r="AI142" i="51"/>
  <c r="AH142" i="51"/>
  <c r="AG142" i="51"/>
  <c r="AF142" i="51"/>
  <c r="AE142" i="51"/>
  <c r="AD142" i="51"/>
  <c r="AC142" i="51"/>
  <c r="AB142" i="51"/>
  <c r="AA142" i="51"/>
  <c r="Z142" i="51"/>
  <c r="Y142" i="51"/>
  <c r="X142" i="51"/>
  <c r="W142" i="51"/>
  <c r="V142" i="51"/>
  <c r="Q142" i="51"/>
  <c r="AO141" i="51"/>
  <c r="AN141" i="51"/>
  <c r="AM141" i="51"/>
  <c r="AL141" i="51"/>
  <c r="AK141" i="51"/>
  <c r="AJ141" i="51"/>
  <c r="AI141" i="51"/>
  <c r="AH141" i="51"/>
  <c r="AG141" i="51"/>
  <c r="AF141" i="51"/>
  <c r="AE141" i="51"/>
  <c r="AD141" i="51"/>
  <c r="AC141" i="51"/>
  <c r="AB141" i="51"/>
  <c r="AA141" i="51"/>
  <c r="Z141" i="51"/>
  <c r="Y141" i="51"/>
  <c r="X141" i="51"/>
  <c r="W141" i="51"/>
  <c r="V141" i="51"/>
  <c r="Q141" i="51"/>
  <c r="AO140" i="51"/>
  <c r="AN140" i="51"/>
  <c r="AM140" i="51"/>
  <c r="AL140" i="51"/>
  <c r="AK140" i="51"/>
  <c r="AJ140" i="51"/>
  <c r="AI140" i="51"/>
  <c r="AH140" i="51"/>
  <c r="AG140" i="51"/>
  <c r="AF140" i="51"/>
  <c r="AE140" i="51"/>
  <c r="AD140" i="51"/>
  <c r="AC140" i="51"/>
  <c r="AB140" i="51"/>
  <c r="AA140" i="51"/>
  <c r="Z140" i="51"/>
  <c r="Y140" i="51"/>
  <c r="X140" i="51"/>
  <c r="W140" i="51"/>
  <c r="V140" i="51"/>
  <c r="Q140" i="51"/>
  <c r="AO139" i="51"/>
  <c r="AN139" i="51"/>
  <c r="AM139" i="51"/>
  <c r="AL139" i="51"/>
  <c r="AK139" i="51"/>
  <c r="AJ139" i="51"/>
  <c r="AI139" i="51"/>
  <c r="AH139" i="51"/>
  <c r="AG139" i="51"/>
  <c r="AF139" i="51"/>
  <c r="AE139" i="51"/>
  <c r="AD139" i="51"/>
  <c r="AC139" i="51"/>
  <c r="AB139" i="51"/>
  <c r="AA139" i="51"/>
  <c r="Z139" i="51"/>
  <c r="Y139" i="51"/>
  <c r="X139" i="51"/>
  <c r="W139" i="51"/>
  <c r="V139" i="51"/>
  <c r="Q139" i="51"/>
  <c r="AO138" i="51"/>
  <c r="AN138" i="51"/>
  <c r="AM138" i="51"/>
  <c r="AL138" i="51"/>
  <c r="AK138" i="51"/>
  <c r="AJ138" i="51"/>
  <c r="AI138" i="51"/>
  <c r="AH138" i="51"/>
  <c r="AG138" i="51"/>
  <c r="AF138" i="51"/>
  <c r="AE138" i="51"/>
  <c r="AD138" i="51"/>
  <c r="AC138" i="51"/>
  <c r="AB138" i="51"/>
  <c r="AA138" i="51"/>
  <c r="Z138" i="51"/>
  <c r="Y138" i="51"/>
  <c r="X138" i="51"/>
  <c r="W138" i="51"/>
  <c r="V138" i="51"/>
  <c r="Q138" i="51"/>
  <c r="AO137" i="51"/>
  <c r="AN137" i="51"/>
  <c r="AM137" i="51"/>
  <c r="AL137" i="51"/>
  <c r="AK137" i="51"/>
  <c r="AJ137" i="51"/>
  <c r="AI137" i="51"/>
  <c r="AH137" i="51"/>
  <c r="AG137" i="51"/>
  <c r="AF137" i="51"/>
  <c r="AE137" i="51"/>
  <c r="AD137" i="51"/>
  <c r="AC137" i="51"/>
  <c r="AB137" i="51"/>
  <c r="AA137" i="51"/>
  <c r="Z137" i="51"/>
  <c r="Y137" i="51"/>
  <c r="X137" i="51"/>
  <c r="W137" i="51"/>
  <c r="V137" i="51"/>
  <c r="Q137" i="51"/>
  <c r="AO136" i="51"/>
  <c r="AN136" i="51"/>
  <c r="AM136" i="51"/>
  <c r="AL136" i="51"/>
  <c r="AK136" i="51"/>
  <c r="AJ136" i="51"/>
  <c r="AI136" i="51"/>
  <c r="AH136" i="51"/>
  <c r="AG136" i="51"/>
  <c r="AF136" i="51"/>
  <c r="AE136" i="51"/>
  <c r="AD136" i="51"/>
  <c r="AC136" i="51"/>
  <c r="AB136" i="51"/>
  <c r="AA136" i="51"/>
  <c r="Z136" i="51"/>
  <c r="Y136" i="51"/>
  <c r="X136" i="51"/>
  <c r="W136" i="51"/>
  <c r="V136" i="51"/>
  <c r="Q136" i="51"/>
  <c r="AO135" i="51"/>
  <c r="AN135" i="51"/>
  <c r="AM135" i="51"/>
  <c r="AL135" i="51"/>
  <c r="AK135" i="51"/>
  <c r="AJ135" i="51"/>
  <c r="AI135" i="51"/>
  <c r="AH135" i="51"/>
  <c r="AG135" i="51"/>
  <c r="AF135" i="51"/>
  <c r="AE135" i="51"/>
  <c r="AD135" i="51"/>
  <c r="AC135" i="51"/>
  <c r="AB135" i="51"/>
  <c r="AA135" i="51"/>
  <c r="Z135" i="51"/>
  <c r="Y135" i="51"/>
  <c r="X135" i="51"/>
  <c r="W135" i="51"/>
  <c r="V135" i="51"/>
  <c r="Q135" i="51"/>
  <c r="AO134" i="51"/>
  <c r="AN134" i="51"/>
  <c r="AM134" i="51"/>
  <c r="AL134" i="51"/>
  <c r="AK134" i="51"/>
  <c r="AJ134" i="51"/>
  <c r="AI134" i="51"/>
  <c r="AH134" i="51"/>
  <c r="AG134" i="51"/>
  <c r="AF134" i="51"/>
  <c r="AE134" i="51"/>
  <c r="AD134" i="51"/>
  <c r="AC134" i="51"/>
  <c r="AB134" i="51"/>
  <c r="AA134" i="51"/>
  <c r="Z134" i="51"/>
  <c r="Y134" i="51"/>
  <c r="X134" i="51"/>
  <c r="W134" i="51"/>
  <c r="V134" i="51"/>
  <c r="Q134" i="51"/>
  <c r="AO133" i="51"/>
  <c r="AN133" i="51"/>
  <c r="AM133" i="51"/>
  <c r="AL133" i="51"/>
  <c r="AK133" i="51"/>
  <c r="AJ133" i="51"/>
  <c r="AI133" i="51"/>
  <c r="AH133" i="51"/>
  <c r="AG133" i="51"/>
  <c r="AF133" i="51"/>
  <c r="AE133" i="51"/>
  <c r="AD133" i="51"/>
  <c r="AC133" i="51"/>
  <c r="AB133" i="51"/>
  <c r="AA133" i="51"/>
  <c r="Z133" i="51"/>
  <c r="Y133" i="51"/>
  <c r="X133" i="51"/>
  <c r="W133" i="51"/>
  <c r="V133" i="51"/>
  <c r="Q133" i="51"/>
  <c r="AO132" i="51"/>
  <c r="AN132" i="51"/>
  <c r="AM132" i="51"/>
  <c r="AL132" i="51"/>
  <c r="AK132" i="51"/>
  <c r="AJ132" i="51"/>
  <c r="AI132" i="51"/>
  <c r="AH132" i="51"/>
  <c r="AG132" i="51"/>
  <c r="AF132" i="51"/>
  <c r="AE132" i="51"/>
  <c r="AD132" i="51"/>
  <c r="AC132" i="51"/>
  <c r="AB132" i="51"/>
  <c r="AA132" i="51"/>
  <c r="Z132" i="51"/>
  <c r="Y132" i="51"/>
  <c r="X132" i="51"/>
  <c r="W132" i="51"/>
  <c r="V132" i="51"/>
  <c r="Q132" i="51"/>
  <c r="AO131" i="51"/>
  <c r="AN131" i="51"/>
  <c r="AM131" i="51"/>
  <c r="AL131" i="51"/>
  <c r="AK131" i="51"/>
  <c r="AJ131" i="51"/>
  <c r="AI131" i="51"/>
  <c r="AH131" i="51"/>
  <c r="AG131" i="51"/>
  <c r="AF131" i="51"/>
  <c r="AE131" i="51"/>
  <c r="AD131" i="51"/>
  <c r="AC131" i="51"/>
  <c r="AB131" i="51"/>
  <c r="AA131" i="51"/>
  <c r="Z131" i="51"/>
  <c r="Y131" i="51"/>
  <c r="X131" i="51"/>
  <c r="W131" i="51"/>
  <c r="V131" i="51"/>
  <c r="Q131" i="51"/>
  <c r="AO130" i="51"/>
  <c r="AN130" i="51"/>
  <c r="AM130" i="51"/>
  <c r="AL130" i="51"/>
  <c r="AK130" i="51"/>
  <c r="AJ130" i="51"/>
  <c r="AI130" i="51"/>
  <c r="AH130" i="51"/>
  <c r="AG130" i="51"/>
  <c r="AF130" i="51"/>
  <c r="AE130" i="51"/>
  <c r="AD130" i="51"/>
  <c r="AC130" i="51"/>
  <c r="AB130" i="51"/>
  <c r="AA130" i="51"/>
  <c r="Z130" i="51"/>
  <c r="Y130" i="51"/>
  <c r="X130" i="51"/>
  <c r="W130" i="51"/>
  <c r="V130" i="51"/>
  <c r="Q130" i="51"/>
  <c r="AO129" i="51"/>
  <c r="AN129" i="51"/>
  <c r="AM129" i="51"/>
  <c r="AL129" i="51"/>
  <c r="AK129" i="51"/>
  <c r="AJ129" i="51"/>
  <c r="AI129" i="51"/>
  <c r="AH129" i="51"/>
  <c r="AG129" i="51"/>
  <c r="AF129" i="51"/>
  <c r="AE129" i="51"/>
  <c r="AD129" i="51"/>
  <c r="AC129" i="51"/>
  <c r="AB129" i="51"/>
  <c r="AA129" i="51"/>
  <c r="Z129" i="51"/>
  <c r="Y129" i="51"/>
  <c r="X129" i="51"/>
  <c r="W129" i="51"/>
  <c r="V129" i="51"/>
  <c r="Q129" i="51"/>
  <c r="AO128" i="51"/>
  <c r="AN128" i="51"/>
  <c r="AM128" i="51"/>
  <c r="AL128" i="51"/>
  <c r="AK128" i="51"/>
  <c r="AJ128" i="51"/>
  <c r="AI128" i="51"/>
  <c r="AH128" i="51"/>
  <c r="AG128" i="51"/>
  <c r="AF128" i="51"/>
  <c r="AE128" i="51"/>
  <c r="AD128" i="51"/>
  <c r="AC128" i="51"/>
  <c r="AB128" i="51"/>
  <c r="AA128" i="51"/>
  <c r="Z128" i="51"/>
  <c r="Y128" i="51"/>
  <c r="X128" i="51"/>
  <c r="V128" i="51"/>
  <c r="Q128" i="51"/>
  <c r="AO127" i="51"/>
  <c r="AN127" i="51"/>
  <c r="AM127" i="51"/>
  <c r="AL127" i="51"/>
  <c r="AK127" i="51"/>
  <c r="AJ127" i="51"/>
  <c r="AI127" i="51"/>
  <c r="AH127" i="51"/>
  <c r="AG127" i="51"/>
  <c r="AF127" i="51"/>
  <c r="AE127" i="51"/>
  <c r="AD127" i="51"/>
  <c r="AC127" i="51"/>
  <c r="AB127" i="51"/>
  <c r="AA127" i="51"/>
  <c r="Z127" i="51"/>
  <c r="Y127" i="51"/>
  <c r="X127" i="51"/>
  <c r="V127" i="51"/>
  <c r="Q127" i="51"/>
  <c r="AO126" i="51"/>
  <c r="AN126" i="51"/>
  <c r="AM126" i="51"/>
  <c r="AL126" i="51"/>
  <c r="AK126" i="51"/>
  <c r="AJ126" i="51"/>
  <c r="AI126" i="51"/>
  <c r="AH126" i="51"/>
  <c r="AG126" i="51"/>
  <c r="AF126" i="51"/>
  <c r="AE126" i="51"/>
  <c r="AD126" i="51"/>
  <c r="AC126" i="51"/>
  <c r="AB126" i="51"/>
  <c r="AA126" i="51"/>
  <c r="Z126" i="51"/>
  <c r="Y126" i="51"/>
  <c r="X126" i="51"/>
  <c r="V126" i="51"/>
  <c r="Q126" i="51"/>
  <c r="AO125" i="51"/>
  <c r="AN125" i="51"/>
  <c r="AM125" i="51"/>
  <c r="AL125" i="51"/>
  <c r="AK125" i="51"/>
  <c r="AJ125" i="51"/>
  <c r="AI125" i="51"/>
  <c r="AH125" i="51"/>
  <c r="AG125" i="51"/>
  <c r="AF125" i="51"/>
  <c r="AE125" i="51"/>
  <c r="AD125" i="51"/>
  <c r="AC125" i="51"/>
  <c r="AB125" i="51"/>
  <c r="AA125" i="51"/>
  <c r="Z125" i="51"/>
  <c r="Y125" i="51"/>
  <c r="X125" i="51"/>
  <c r="V125" i="51"/>
  <c r="Q125" i="51"/>
  <c r="AO124" i="51"/>
  <c r="AN124" i="51"/>
  <c r="AM124" i="51"/>
  <c r="AL124" i="51"/>
  <c r="AK124" i="51"/>
  <c r="AJ124" i="51"/>
  <c r="AI124" i="51"/>
  <c r="AH124" i="51"/>
  <c r="AG124" i="51"/>
  <c r="AF124" i="51"/>
  <c r="AE124" i="51"/>
  <c r="AD124" i="51"/>
  <c r="AC124" i="51"/>
  <c r="AB124" i="51"/>
  <c r="AA124" i="51"/>
  <c r="Z124" i="51"/>
  <c r="Y124" i="51"/>
  <c r="X124" i="51"/>
  <c r="V124" i="51"/>
  <c r="Q124" i="51"/>
  <c r="AO123" i="51"/>
  <c r="AN123" i="51"/>
  <c r="AM123" i="51"/>
  <c r="AL123" i="51"/>
  <c r="AK123" i="51"/>
  <c r="AJ123" i="51"/>
  <c r="AI123" i="51"/>
  <c r="AH123" i="51"/>
  <c r="AG123" i="51"/>
  <c r="AF123" i="51"/>
  <c r="AE123" i="51"/>
  <c r="AD123" i="51"/>
  <c r="AC123" i="51"/>
  <c r="AB123" i="51"/>
  <c r="AA123" i="51"/>
  <c r="Z123" i="51"/>
  <c r="Y123" i="51"/>
  <c r="X123" i="51"/>
  <c r="W123" i="51"/>
  <c r="V123" i="51"/>
  <c r="Q123" i="51"/>
  <c r="AO122" i="51"/>
  <c r="AN122" i="51"/>
  <c r="AM122" i="51"/>
  <c r="AL122" i="51"/>
  <c r="AK122" i="51"/>
  <c r="AJ122" i="51"/>
  <c r="AI122" i="51"/>
  <c r="AH122" i="51"/>
  <c r="AG122" i="51"/>
  <c r="AF122" i="51"/>
  <c r="AE122" i="51"/>
  <c r="AD122" i="51"/>
  <c r="AC122" i="51"/>
  <c r="AB122" i="51"/>
  <c r="AA122" i="51"/>
  <c r="Z122" i="51"/>
  <c r="Y122" i="51"/>
  <c r="X122" i="51"/>
  <c r="V122" i="51"/>
  <c r="Q122" i="51"/>
  <c r="AO121" i="51"/>
  <c r="AN121" i="51"/>
  <c r="AM121" i="51"/>
  <c r="AL121" i="51"/>
  <c r="AK121" i="51"/>
  <c r="AJ121" i="51"/>
  <c r="AI121" i="51"/>
  <c r="AH121" i="51"/>
  <c r="AG121" i="51"/>
  <c r="AF121" i="51"/>
  <c r="AE121" i="51"/>
  <c r="AD121" i="51"/>
  <c r="AC121" i="51"/>
  <c r="AB121" i="51"/>
  <c r="AA121" i="51"/>
  <c r="Z121" i="51"/>
  <c r="Y121" i="51"/>
  <c r="X121" i="51"/>
  <c r="V121" i="51"/>
  <c r="Q121" i="51"/>
  <c r="AO120" i="51"/>
  <c r="AN120" i="51"/>
  <c r="AM120" i="51"/>
  <c r="AL120" i="51"/>
  <c r="AK120" i="51"/>
  <c r="AJ120" i="51"/>
  <c r="AI120" i="51"/>
  <c r="AH120" i="51"/>
  <c r="AG120" i="51"/>
  <c r="AF120" i="51"/>
  <c r="AE120" i="51"/>
  <c r="AD120" i="51"/>
  <c r="AC120" i="51"/>
  <c r="AB120" i="51"/>
  <c r="AA120" i="51"/>
  <c r="Z120" i="51"/>
  <c r="Y120" i="51"/>
  <c r="X120" i="51"/>
  <c r="W120" i="51"/>
  <c r="V120" i="51"/>
  <c r="Q120" i="51"/>
  <c r="AO119" i="51"/>
  <c r="AN119" i="51"/>
  <c r="AM119" i="51"/>
  <c r="AL119" i="51"/>
  <c r="AK119" i="51"/>
  <c r="AJ119" i="51"/>
  <c r="AI119" i="51"/>
  <c r="AH119" i="51"/>
  <c r="AG119" i="51"/>
  <c r="AF119" i="51"/>
  <c r="AE119" i="51"/>
  <c r="AD119" i="51"/>
  <c r="AC119" i="51"/>
  <c r="AB119" i="51"/>
  <c r="AA119" i="51"/>
  <c r="Z119" i="51"/>
  <c r="Y119" i="51"/>
  <c r="X119" i="51"/>
  <c r="V119" i="51"/>
  <c r="Q119" i="51"/>
  <c r="AO118" i="51"/>
  <c r="AN118" i="51"/>
  <c r="AM118" i="51"/>
  <c r="AL118" i="51"/>
  <c r="AK118" i="51"/>
  <c r="AJ118" i="51"/>
  <c r="AI118" i="51"/>
  <c r="AH118" i="51"/>
  <c r="AG118" i="51"/>
  <c r="AF118" i="51"/>
  <c r="AE118" i="51"/>
  <c r="AD118" i="51"/>
  <c r="AC118" i="51"/>
  <c r="AB118" i="51"/>
  <c r="AA118" i="51"/>
  <c r="Z118" i="51"/>
  <c r="Y118" i="51"/>
  <c r="X118" i="51"/>
  <c r="V118" i="51"/>
  <c r="Q118" i="51"/>
  <c r="AO117" i="51"/>
  <c r="AN117" i="51"/>
  <c r="AM117" i="51"/>
  <c r="AL117" i="51"/>
  <c r="AK117" i="51"/>
  <c r="AJ117" i="51"/>
  <c r="AI117" i="51"/>
  <c r="AH117" i="51"/>
  <c r="AG117" i="51"/>
  <c r="AF117" i="51"/>
  <c r="AE117" i="51"/>
  <c r="AD117" i="51"/>
  <c r="AC117" i="51"/>
  <c r="AB117" i="51"/>
  <c r="AA117" i="51"/>
  <c r="Z117" i="51"/>
  <c r="Y117" i="51"/>
  <c r="X117" i="51"/>
  <c r="V117" i="51"/>
  <c r="Q117" i="51"/>
  <c r="AO116" i="51"/>
  <c r="AN116" i="51"/>
  <c r="AM116" i="51"/>
  <c r="AL116" i="51"/>
  <c r="AK116" i="51"/>
  <c r="AJ116" i="51"/>
  <c r="AI116" i="51"/>
  <c r="AH116" i="51"/>
  <c r="AG116" i="51"/>
  <c r="AF116" i="51"/>
  <c r="AE116" i="51"/>
  <c r="AD116" i="51"/>
  <c r="AC116" i="51"/>
  <c r="AB116" i="51"/>
  <c r="AA116" i="51"/>
  <c r="Z116" i="51"/>
  <c r="Y116" i="51"/>
  <c r="X116" i="51"/>
  <c r="V116" i="51"/>
  <c r="AO115" i="51"/>
  <c r="AN115" i="51"/>
  <c r="AM115" i="51"/>
  <c r="AL115" i="51"/>
  <c r="AK115" i="51"/>
  <c r="AJ115" i="51"/>
  <c r="AI115" i="51"/>
  <c r="AH115" i="51"/>
  <c r="AG115" i="51"/>
  <c r="AF115" i="51"/>
  <c r="AE115" i="51"/>
  <c r="AD115" i="51"/>
  <c r="AC115" i="51"/>
  <c r="AB115" i="51"/>
  <c r="AA115" i="51"/>
  <c r="Z115" i="51"/>
  <c r="Y115" i="51"/>
  <c r="X115" i="51"/>
  <c r="W115" i="51"/>
  <c r="V115" i="51"/>
  <c r="AO114" i="51"/>
  <c r="AN114" i="51"/>
  <c r="AM114" i="51"/>
  <c r="AL114" i="51"/>
  <c r="AK114" i="51"/>
  <c r="AJ114" i="51"/>
  <c r="AI114" i="51"/>
  <c r="AH114" i="51"/>
  <c r="AG114" i="51"/>
  <c r="AF114" i="51"/>
  <c r="AE114" i="51"/>
  <c r="AD114" i="51"/>
  <c r="AC114" i="51"/>
  <c r="AB114" i="51"/>
  <c r="AA114" i="51"/>
  <c r="Z114" i="51"/>
  <c r="Y114" i="51"/>
  <c r="X114" i="51"/>
  <c r="W114" i="51"/>
  <c r="V114" i="51"/>
  <c r="AO113" i="51"/>
  <c r="AN113" i="51"/>
  <c r="AM113" i="51"/>
  <c r="AL113" i="51"/>
  <c r="AK113" i="51"/>
  <c r="AJ113" i="51"/>
  <c r="AI113" i="51"/>
  <c r="AH113" i="51"/>
  <c r="AG113" i="51"/>
  <c r="AF113" i="51"/>
  <c r="AE113" i="51"/>
  <c r="AD113" i="51"/>
  <c r="AC113" i="51"/>
  <c r="AB113" i="51"/>
  <c r="AA113" i="51"/>
  <c r="Z113" i="51"/>
  <c r="Y113" i="51"/>
  <c r="X113" i="51"/>
  <c r="W113" i="51"/>
  <c r="V113" i="51"/>
  <c r="AO112" i="51"/>
  <c r="AN112" i="51"/>
  <c r="AM112" i="51"/>
  <c r="AL112" i="51"/>
  <c r="AK112" i="51"/>
  <c r="AJ112" i="51"/>
  <c r="AI112" i="51"/>
  <c r="AH112" i="51"/>
  <c r="AG112" i="51"/>
  <c r="AF112" i="51"/>
  <c r="AE112" i="51"/>
  <c r="AD112" i="51"/>
  <c r="AC112" i="51"/>
  <c r="AB112" i="51"/>
  <c r="AA112" i="51"/>
  <c r="Z112" i="51"/>
  <c r="Y112" i="51"/>
  <c r="X112" i="51"/>
  <c r="V112" i="51"/>
  <c r="AO111" i="51"/>
  <c r="AN111" i="51"/>
  <c r="AM111" i="51"/>
  <c r="AL111" i="51"/>
  <c r="AK111" i="51"/>
  <c r="AJ111" i="51"/>
  <c r="AI111" i="51"/>
  <c r="AH111" i="51"/>
  <c r="AG111" i="51"/>
  <c r="AF111" i="51"/>
  <c r="AE111" i="51"/>
  <c r="AD111" i="51"/>
  <c r="AC111" i="51"/>
  <c r="AB111" i="51"/>
  <c r="AA111" i="51"/>
  <c r="Z111" i="51"/>
  <c r="Y111" i="51"/>
  <c r="X111" i="51"/>
  <c r="V111" i="51"/>
  <c r="AO110" i="51"/>
  <c r="AN110" i="51"/>
  <c r="AM110" i="51"/>
  <c r="AL110" i="51"/>
  <c r="AK110" i="51"/>
  <c r="AJ110" i="51"/>
  <c r="AI110" i="51"/>
  <c r="AH110" i="51"/>
  <c r="AG110" i="51"/>
  <c r="AF110" i="51"/>
  <c r="AE110" i="51"/>
  <c r="AD110" i="51"/>
  <c r="AC110" i="51"/>
  <c r="AB110" i="51"/>
  <c r="AA110" i="51"/>
  <c r="Z110" i="51"/>
  <c r="Y110" i="51"/>
  <c r="X110" i="51"/>
  <c r="V110" i="51"/>
  <c r="AO109" i="51"/>
  <c r="AN109" i="51"/>
  <c r="AM109" i="51"/>
  <c r="AL109" i="51"/>
  <c r="AK109" i="51"/>
  <c r="AJ109" i="51"/>
  <c r="AI109" i="51"/>
  <c r="AH109" i="51"/>
  <c r="AG109" i="51"/>
  <c r="AF109" i="51"/>
  <c r="AE109" i="51"/>
  <c r="AD109" i="51"/>
  <c r="AC109" i="51"/>
  <c r="AB109" i="51"/>
  <c r="AA109" i="51"/>
  <c r="Z109" i="51"/>
  <c r="Y109" i="51"/>
  <c r="X109" i="51"/>
  <c r="V109" i="51"/>
  <c r="AO108" i="51"/>
  <c r="AN108" i="51"/>
  <c r="AM108" i="51"/>
  <c r="AL108" i="51"/>
  <c r="AK108" i="51"/>
  <c r="AJ108" i="51"/>
  <c r="AI108" i="51"/>
  <c r="AH108" i="51"/>
  <c r="AG108" i="51"/>
  <c r="AF108" i="51"/>
  <c r="AE108" i="51"/>
  <c r="AD108" i="51"/>
  <c r="AC108" i="51"/>
  <c r="AB108" i="51"/>
  <c r="AA108" i="51"/>
  <c r="Z108" i="51"/>
  <c r="Y108" i="51"/>
  <c r="X108" i="51"/>
  <c r="V108" i="51"/>
  <c r="AO107" i="51"/>
  <c r="AN107" i="51"/>
  <c r="AM107" i="51"/>
  <c r="AL107" i="51"/>
  <c r="AK107" i="51"/>
  <c r="AJ107" i="51"/>
  <c r="AI107" i="51"/>
  <c r="AH107" i="51"/>
  <c r="AG107" i="51"/>
  <c r="AF107" i="51"/>
  <c r="AE107" i="51"/>
  <c r="AD107" i="51"/>
  <c r="AC107" i="51"/>
  <c r="AB107" i="51"/>
  <c r="AA107" i="51"/>
  <c r="Z107" i="51"/>
  <c r="Y107" i="51"/>
  <c r="X107" i="51"/>
  <c r="V107" i="51"/>
  <c r="AO106" i="51"/>
  <c r="AN106" i="51"/>
  <c r="AM106" i="51"/>
  <c r="AL106" i="51"/>
  <c r="AK106" i="51"/>
  <c r="AJ106" i="51"/>
  <c r="AI106" i="51"/>
  <c r="AH106" i="51"/>
  <c r="AG106" i="51"/>
  <c r="AF106" i="51"/>
  <c r="AE106" i="51"/>
  <c r="AD106" i="51"/>
  <c r="AC106" i="51"/>
  <c r="AB106" i="51"/>
  <c r="AA106" i="51"/>
  <c r="Z106" i="51"/>
  <c r="Y106" i="51"/>
  <c r="X106" i="51"/>
  <c r="V106" i="51"/>
  <c r="AO105" i="51"/>
  <c r="AN105" i="51"/>
  <c r="AM105" i="51"/>
  <c r="AL105" i="51"/>
  <c r="AK105" i="51"/>
  <c r="AJ105" i="51"/>
  <c r="AI105" i="51"/>
  <c r="AH105" i="51"/>
  <c r="AG105" i="51"/>
  <c r="AF105" i="51"/>
  <c r="AE105" i="51"/>
  <c r="AD105" i="51"/>
  <c r="AC105" i="51"/>
  <c r="AB105" i="51"/>
  <c r="AA105" i="51"/>
  <c r="Z105" i="51"/>
  <c r="Y105" i="51"/>
  <c r="X105" i="51"/>
  <c r="V105" i="51"/>
  <c r="AO104" i="51"/>
  <c r="AN104" i="51"/>
  <c r="AM104" i="51"/>
  <c r="AL104" i="51"/>
  <c r="AK104" i="51"/>
  <c r="AJ104" i="51"/>
  <c r="AI104" i="51"/>
  <c r="AH104" i="51"/>
  <c r="AG104" i="51"/>
  <c r="AF104" i="51"/>
  <c r="AE104" i="51"/>
  <c r="AD104" i="51"/>
  <c r="AC104" i="51"/>
  <c r="AB104" i="51"/>
  <c r="AA104" i="51"/>
  <c r="Z104" i="51"/>
  <c r="Y104" i="51"/>
  <c r="X104" i="51"/>
  <c r="W104" i="51"/>
  <c r="V104" i="51"/>
  <c r="AO103" i="51"/>
  <c r="AN103" i="51"/>
  <c r="AM103" i="51"/>
  <c r="AL103" i="51"/>
  <c r="AK103" i="51"/>
  <c r="AJ103" i="51"/>
  <c r="AI103" i="51"/>
  <c r="AH103" i="51"/>
  <c r="AG103" i="51"/>
  <c r="AF103" i="51"/>
  <c r="AE103" i="51"/>
  <c r="AD103" i="51"/>
  <c r="AC103" i="51"/>
  <c r="AB103" i="51"/>
  <c r="AA103" i="51"/>
  <c r="Z103" i="51"/>
  <c r="Y103" i="51"/>
  <c r="X103" i="51"/>
  <c r="V103" i="51"/>
  <c r="AO102" i="51"/>
  <c r="AN102" i="51"/>
  <c r="AM102" i="51"/>
  <c r="AL102" i="51"/>
  <c r="AK102" i="51"/>
  <c r="AJ102" i="51"/>
  <c r="AI102" i="51"/>
  <c r="AH102" i="51"/>
  <c r="AG102" i="51"/>
  <c r="AF102" i="51"/>
  <c r="AE102" i="51"/>
  <c r="AD102" i="51"/>
  <c r="AC102" i="51"/>
  <c r="AB102" i="51"/>
  <c r="AA102" i="51"/>
  <c r="Z102" i="51"/>
  <c r="Y102" i="51"/>
  <c r="X102" i="51"/>
  <c r="W102" i="51"/>
  <c r="V102" i="51"/>
  <c r="AO101" i="51"/>
  <c r="AN101" i="51"/>
  <c r="AM101" i="51"/>
  <c r="AL101" i="51"/>
  <c r="AK101" i="51"/>
  <c r="AJ101" i="51"/>
  <c r="AI101" i="51"/>
  <c r="AH101" i="51"/>
  <c r="AG101" i="51"/>
  <c r="AF101" i="51"/>
  <c r="AE101" i="51"/>
  <c r="AD101" i="51"/>
  <c r="AC101" i="51"/>
  <c r="AB101" i="51"/>
  <c r="AA101" i="51"/>
  <c r="Z101" i="51"/>
  <c r="Y101" i="51"/>
  <c r="X101" i="51"/>
  <c r="V101" i="51"/>
  <c r="AO100" i="51"/>
  <c r="AN100" i="51"/>
  <c r="AM100" i="51"/>
  <c r="AL100" i="51"/>
  <c r="AK100" i="51"/>
  <c r="AJ100" i="51"/>
  <c r="AI100" i="51"/>
  <c r="AH100" i="51"/>
  <c r="AG100" i="51"/>
  <c r="AF100" i="51"/>
  <c r="AE100" i="51"/>
  <c r="AD100" i="51"/>
  <c r="AC100" i="51"/>
  <c r="AB100" i="51"/>
  <c r="AA100" i="51"/>
  <c r="Z100" i="51"/>
  <c r="Y100" i="51"/>
  <c r="X100" i="51"/>
  <c r="V100" i="51"/>
  <c r="X208" i="51" s="1"/>
  <c r="AC208" i="51" s="1"/>
  <c r="AB95" i="51"/>
  <c r="AE95" i="51" s="1"/>
  <c r="Y95" i="51"/>
  <c r="V95" i="51"/>
  <c r="AD94" i="51"/>
  <c r="AA94" i="51"/>
  <c r="AC93" i="51"/>
  <c r="Z93" i="51"/>
  <c r="X93" i="51"/>
  <c r="W93" i="51"/>
  <c r="AB92" i="51"/>
  <c r="Y92" i="51"/>
  <c r="V92" i="51"/>
  <c r="AD91" i="51"/>
  <c r="AA91" i="51"/>
  <c r="AC90" i="51"/>
  <c r="Z90" i="51"/>
  <c r="X90" i="51"/>
  <c r="W90" i="51"/>
  <c r="AB89" i="51"/>
  <c r="Y89" i="51"/>
  <c r="V89" i="51"/>
  <c r="AD88" i="51"/>
  <c r="AA88" i="51"/>
  <c r="AC87" i="51"/>
  <c r="Z87" i="51"/>
  <c r="X87" i="51"/>
  <c r="B85" i="51"/>
  <c r="Z82" i="51"/>
  <c r="Y82" i="51"/>
  <c r="X82" i="51"/>
  <c r="W82" i="51"/>
  <c r="V82" i="51"/>
  <c r="Z81" i="51"/>
  <c r="Y81" i="51"/>
  <c r="X81" i="51"/>
  <c r="W81" i="51"/>
  <c r="V81" i="51"/>
  <c r="Z80" i="51"/>
  <c r="Y80" i="51"/>
  <c r="X80" i="51"/>
  <c r="W80" i="51"/>
  <c r="V80" i="51"/>
  <c r="Z79" i="51"/>
  <c r="Y79" i="51"/>
  <c r="X79" i="51"/>
  <c r="W79" i="51"/>
  <c r="V79" i="51"/>
  <c r="Z78" i="51"/>
  <c r="Y78" i="51"/>
  <c r="X78" i="51"/>
  <c r="W78" i="51"/>
  <c r="V78" i="51"/>
  <c r="Z77" i="51"/>
  <c r="Y77" i="51"/>
  <c r="X77" i="51"/>
  <c r="W77" i="51"/>
  <c r="V77" i="51"/>
  <c r="Z76" i="51"/>
  <c r="Y76" i="51"/>
  <c r="X76" i="51"/>
  <c r="W76" i="51"/>
  <c r="V76" i="51"/>
  <c r="Z75" i="51"/>
  <c r="Y75" i="51"/>
  <c r="X75" i="51"/>
  <c r="V75" i="51"/>
  <c r="Z74" i="51"/>
  <c r="Y74" i="51"/>
  <c r="X74" i="51"/>
  <c r="W74" i="51"/>
  <c r="V74" i="51"/>
  <c r="Z73" i="51"/>
  <c r="Y73" i="51"/>
  <c r="X73" i="51"/>
  <c r="W73" i="51"/>
  <c r="V73" i="51"/>
  <c r="Z68" i="51"/>
  <c r="Y68" i="51"/>
  <c r="X68" i="51"/>
  <c r="W68" i="51"/>
  <c r="V68" i="51"/>
  <c r="Z67" i="51"/>
  <c r="Y67" i="51"/>
  <c r="X67" i="51"/>
  <c r="W67" i="51"/>
  <c r="V67" i="51"/>
  <c r="Z66" i="51"/>
  <c r="Y66" i="51"/>
  <c r="X66" i="51"/>
  <c r="V66" i="51"/>
  <c r="Z65" i="51"/>
  <c r="Y65" i="51"/>
  <c r="X65" i="51"/>
  <c r="W65" i="51"/>
  <c r="V65" i="51"/>
  <c r="Z64" i="51"/>
  <c r="Y64" i="51"/>
  <c r="X64" i="51"/>
  <c r="W64" i="51"/>
  <c r="V64" i="51"/>
  <c r="Z63" i="51"/>
  <c r="Y63" i="51"/>
  <c r="X63" i="51"/>
  <c r="W63" i="51"/>
  <c r="V63" i="51"/>
  <c r="Z62" i="51"/>
  <c r="Y62" i="51"/>
  <c r="X62" i="51"/>
  <c r="W62" i="51"/>
  <c r="V62" i="51"/>
  <c r="Z61" i="51"/>
  <c r="Y61" i="51"/>
  <c r="X61" i="51"/>
  <c r="W61" i="51"/>
  <c r="V61" i="51"/>
  <c r="Z60" i="51"/>
  <c r="Y60" i="51"/>
  <c r="X60" i="51"/>
  <c r="W60" i="51"/>
  <c r="V60" i="51"/>
  <c r="Z59" i="51"/>
  <c r="Y59" i="51"/>
  <c r="X59" i="51"/>
  <c r="W59" i="51"/>
  <c r="V59" i="51"/>
  <c r="Z58" i="51"/>
  <c r="Y58" i="51"/>
  <c r="X58" i="51"/>
  <c r="W58" i="51"/>
  <c r="V58" i="51"/>
  <c r="Z57" i="51"/>
  <c r="Y57" i="51"/>
  <c r="X57" i="51"/>
  <c r="W57" i="51"/>
  <c r="V57" i="51"/>
  <c r="Z56" i="51"/>
  <c r="Y56" i="51"/>
  <c r="X56" i="51"/>
  <c r="W56" i="51"/>
  <c r="V56" i="51"/>
  <c r="AC47" i="51"/>
  <c r="AC46" i="51"/>
  <c r="AE45" i="51"/>
  <c r="AC45" i="51"/>
  <c r="AE46" i="51" s="1"/>
  <c r="B45" i="51"/>
  <c r="AP44" i="51"/>
  <c r="B94" i="51" s="1"/>
  <c r="AP43" i="51"/>
  <c r="B91" i="51" s="1"/>
  <c r="AP42" i="51"/>
  <c r="B88" i="51" s="1"/>
  <c r="AP41" i="51"/>
  <c r="AP40" i="51"/>
  <c r="B82" i="51" s="1"/>
  <c r="J38" i="51"/>
  <c r="B38" i="51"/>
  <c r="AK37" i="51"/>
  <c r="AU59" i="51" s="1"/>
  <c r="AL36" i="51"/>
  <c r="AK36" i="51"/>
  <c r="AU58" i="51" s="1"/>
  <c r="X36" i="51"/>
  <c r="AL35" i="51"/>
  <c r="AK35" i="51"/>
  <c r="AU57" i="51" s="1"/>
  <c r="X35" i="51"/>
  <c r="Q35" i="51"/>
  <c r="P35" i="51"/>
  <c r="O35" i="51" s="1"/>
  <c r="E18" i="51" s="1"/>
  <c r="AL34" i="51"/>
  <c r="AK34" i="51"/>
  <c r="AU56" i="51" s="1"/>
  <c r="X34" i="51"/>
  <c r="AL33" i="51"/>
  <c r="AK33" i="51"/>
  <c r="AU55" i="51" s="1"/>
  <c r="X33" i="51"/>
  <c r="AL32" i="51"/>
  <c r="AK32" i="51"/>
  <c r="AU54" i="51" s="1"/>
  <c r="X32" i="51"/>
  <c r="AL31" i="51"/>
  <c r="AK31" i="51"/>
  <c r="AU53" i="51" s="1"/>
  <c r="AG31" i="51"/>
  <c r="X31" i="51"/>
  <c r="AL30" i="51"/>
  <c r="AK30" i="51"/>
  <c r="AU52" i="51" s="1"/>
  <c r="X30" i="51"/>
  <c r="B30" i="51"/>
  <c r="AL29" i="51"/>
  <c r="AK29" i="51"/>
  <c r="AU51" i="51" s="1"/>
  <c r="X29" i="51"/>
  <c r="X28" i="51"/>
  <c r="AQ27" i="51"/>
  <c r="B27" i="51"/>
  <c r="P25" i="51"/>
  <c r="P24" i="51"/>
  <c r="G20" i="51" s="1"/>
  <c r="I24" i="51"/>
  <c r="G24" i="51"/>
  <c r="E24" i="51"/>
  <c r="C24" i="51"/>
  <c r="AB23" i="51"/>
  <c r="AA23" i="51"/>
  <c r="Z23" i="51"/>
  <c r="Y23" i="51"/>
  <c r="I23" i="51"/>
  <c r="G23" i="51"/>
  <c r="E23" i="51"/>
  <c r="C23" i="51"/>
  <c r="AB22" i="51"/>
  <c r="AA22" i="51"/>
  <c r="Z22" i="51"/>
  <c r="AC22" i="51" s="1"/>
  <c r="Y22" i="51"/>
  <c r="I22" i="51"/>
  <c r="G22" i="51"/>
  <c r="E22" i="51"/>
  <c r="C22" i="51"/>
  <c r="I21" i="51"/>
  <c r="G21" i="51"/>
  <c r="E21" i="51"/>
  <c r="C21" i="51"/>
  <c r="AQ20" i="51"/>
  <c r="B72" i="51" s="1"/>
  <c r="AQ36" i="51" s="1"/>
  <c r="AI20" i="51"/>
  <c r="I20" i="51"/>
  <c r="AQ19" i="51"/>
  <c r="AI19" i="51"/>
  <c r="AJ18" i="51" s="1"/>
  <c r="AK18" i="51" s="1"/>
  <c r="AV26" i="51" s="1"/>
  <c r="AQ18" i="51"/>
  <c r="AI18" i="51"/>
  <c r="I18" i="51"/>
  <c r="AI17" i="51"/>
  <c r="AJ15" i="51" s="1"/>
  <c r="AK15" i="51" s="1"/>
  <c r="AU26" i="51" s="1"/>
  <c r="AI16" i="51"/>
  <c r="AI15" i="51"/>
  <c r="AQ14" i="51"/>
  <c r="B63" i="51" s="1"/>
  <c r="AQ33" i="51" s="1"/>
  <c r="AI14" i="51"/>
  <c r="I14" i="51"/>
  <c r="AQ13" i="51"/>
  <c r="B60" i="51" s="1"/>
  <c r="AQ32" i="51" s="1"/>
  <c r="AI13" i="51"/>
  <c r="AJ12" i="51" s="1"/>
  <c r="AK12" i="51" s="1"/>
  <c r="AT26" i="51" s="1"/>
  <c r="AQ12" i="51"/>
  <c r="B57" i="51" s="1"/>
  <c r="AQ31" i="51" s="1"/>
  <c r="AI12" i="51"/>
  <c r="AI11" i="51"/>
  <c r="AC11" i="51"/>
  <c r="AB11" i="51"/>
  <c r="AA11" i="51"/>
  <c r="Z11" i="51"/>
  <c r="Y11" i="51"/>
  <c r="AI10" i="51"/>
  <c r="AC10" i="51"/>
  <c r="AB10" i="51"/>
  <c r="AA10" i="51"/>
  <c r="Z10" i="51"/>
  <c r="Y10" i="51"/>
  <c r="AJ9" i="51"/>
  <c r="AI9" i="51"/>
  <c r="AC9" i="51"/>
  <c r="AB9" i="51"/>
  <c r="AA9" i="51"/>
  <c r="Z9" i="51"/>
  <c r="Y9" i="51"/>
  <c r="AD8" i="51" s="1"/>
  <c r="AB36" i="51" s="1"/>
  <c r="AQ8" i="51"/>
  <c r="B54" i="51" s="1"/>
  <c r="AQ30" i="51" s="1"/>
  <c r="AC8" i="51"/>
  <c r="AB8" i="51"/>
  <c r="AA8" i="51"/>
  <c r="Z8" i="51"/>
  <c r="Y8" i="51"/>
  <c r="AQ7" i="51"/>
  <c r="B51" i="51" s="1"/>
  <c r="AQ29" i="51" s="1"/>
  <c r="AQ6" i="51"/>
  <c r="B48" i="51" s="1"/>
  <c r="AQ28" i="51" s="1"/>
  <c r="V46" i="50"/>
  <c r="V46" i="49"/>
  <c r="AD31" i="49"/>
  <c r="AA215" i="50"/>
  <c r="V214" i="50"/>
  <c r="V213" i="50"/>
  <c r="V212" i="50"/>
  <c r="V211" i="50"/>
  <c r="V210" i="50"/>
  <c r="V209" i="50"/>
  <c r="V208" i="50"/>
  <c r="V207" i="50"/>
  <c r="V206" i="50"/>
  <c r="V205" i="50"/>
  <c r="V204" i="50"/>
  <c r="V203" i="50"/>
  <c r="V202" i="50"/>
  <c r="V201" i="50"/>
  <c r="V200" i="50"/>
  <c r="V199" i="50"/>
  <c r="V198" i="50"/>
  <c r="V197" i="50"/>
  <c r="V196" i="50"/>
  <c r="V195" i="50"/>
  <c r="V194" i="50"/>
  <c r="V193" i="50"/>
  <c r="V192" i="50"/>
  <c r="V191" i="50"/>
  <c r="V190" i="50"/>
  <c r="V189" i="50"/>
  <c r="V188" i="50"/>
  <c r="AO179" i="50"/>
  <c r="AN179" i="50"/>
  <c r="AM179" i="50"/>
  <c r="AL179" i="50"/>
  <c r="AK179" i="50"/>
  <c r="AJ179" i="50"/>
  <c r="AI179" i="50"/>
  <c r="AH179" i="50"/>
  <c r="AG179" i="50"/>
  <c r="AF179" i="50"/>
  <c r="AE179" i="50"/>
  <c r="AD179" i="50"/>
  <c r="AC179" i="50"/>
  <c r="AB179" i="50"/>
  <c r="AA179" i="50"/>
  <c r="Z179" i="50"/>
  <c r="Y179" i="50"/>
  <c r="X179" i="50"/>
  <c r="W179" i="50"/>
  <c r="V179" i="50"/>
  <c r="AO178" i="50"/>
  <c r="AN178" i="50"/>
  <c r="AM178" i="50"/>
  <c r="AL178" i="50"/>
  <c r="AK178" i="50"/>
  <c r="AJ178" i="50"/>
  <c r="AI178" i="50"/>
  <c r="AH178" i="50"/>
  <c r="AG178" i="50"/>
  <c r="AF178" i="50"/>
  <c r="AE178" i="50"/>
  <c r="AD178" i="50"/>
  <c r="AC178" i="50"/>
  <c r="AB178" i="50"/>
  <c r="AA178" i="50"/>
  <c r="Z178" i="50"/>
  <c r="Y178" i="50"/>
  <c r="X178" i="50"/>
  <c r="W178" i="50"/>
  <c r="V178" i="50"/>
  <c r="AO177" i="50"/>
  <c r="AN177" i="50"/>
  <c r="AM177" i="50"/>
  <c r="AL177" i="50"/>
  <c r="AK177" i="50"/>
  <c r="AJ177" i="50"/>
  <c r="AI177" i="50"/>
  <c r="AH177" i="50"/>
  <c r="AG177" i="50"/>
  <c r="AF177" i="50"/>
  <c r="AE177" i="50"/>
  <c r="AD177" i="50"/>
  <c r="AC177" i="50"/>
  <c r="AB177" i="50"/>
  <c r="AA177" i="50"/>
  <c r="Z177" i="50"/>
  <c r="Y177" i="50"/>
  <c r="X177" i="50"/>
  <c r="W177" i="50"/>
  <c r="V177" i="50"/>
  <c r="AO176" i="50"/>
  <c r="AN176" i="50"/>
  <c r="AM176" i="50"/>
  <c r="AL176" i="50"/>
  <c r="AK176" i="50"/>
  <c r="AJ176" i="50"/>
  <c r="AI176" i="50"/>
  <c r="AH176" i="50"/>
  <c r="AG176" i="50"/>
  <c r="AF176" i="50"/>
  <c r="AE176" i="50"/>
  <c r="AD176" i="50"/>
  <c r="AC176" i="50"/>
  <c r="AB176" i="50"/>
  <c r="AA176" i="50"/>
  <c r="Z176" i="50"/>
  <c r="Y176" i="50"/>
  <c r="X176" i="50"/>
  <c r="V176" i="50"/>
  <c r="AO175" i="50"/>
  <c r="AN175" i="50"/>
  <c r="AM175" i="50"/>
  <c r="AL175" i="50"/>
  <c r="AK175" i="50"/>
  <c r="AJ175" i="50"/>
  <c r="AI175" i="50"/>
  <c r="AH175" i="50"/>
  <c r="AG175" i="50"/>
  <c r="AF175" i="50"/>
  <c r="AE175" i="50"/>
  <c r="AD175" i="50"/>
  <c r="AC175" i="50"/>
  <c r="AB175" i="50"/>
  <c r="AA175" i="50"/>
  <c r="Z175" i="50"/>
  <c r="Y175" i="50"/>
  <c r="X175" i="50"/>
  <c r="V175" i="50"/>
  <c r="AO174" i="50"/>
  <c r="AN174" i="50"/>
  <c r="AM174" i="50"/>
  <c r="AL174" i="50"/>
  <c r="AK174" i="50"/>
  <c r="AJ174" i="50"/>
  <c r="AI174" i="50"/>
  <c r="AH174" i="50"/>
  <c r="AG174" i="50"/>
  <c r="AF174" i="50"/>
  <c r="AE174" i="50"/>
  <c r="AD174" i="50"/>
  <c r="AC174" i="50"/>
  <c r="AB174" i="50"/>
  <c r="AA174" i="50"/>
  <c r="Z174" i="50"/>
  <c r="Y174" i="50"/>
  <c r="X174" i="50"/>
  <c r="V174" i="50"/>
  <c r="AO173" i="50"/>
  <c r="AN173" i="50"/>
  <c r="AM173" i="50"/>
  <c r="AL173" i="50"/>
  <c r="AK173" i="50"/>
  <c r="AJ173" i="50"/>
  <c r="AI173" i="50"/>
  <c r="AH173" i="50"/>
  <c r="AG173" i="50"/>
  <c r="AF173" i="50"/>
  <c r="AE173" i="50"/>
  <c r="AD173" i="50"/>
  <c r="AC173" i="50"/>
  <c r="AB173" i="50"/>
  <c r="AA173" i="50"/>
  <c r="Z173" i="50"/>
  <c r="Y173" i="50"/>
  <c r="X173" i="50"/>
  <c r="V173" i="50"/>
  <c r="AO172" i="50"/>
  <c r="AN172" i="50"/>
  <c r="AM172" i="50"/>
  <c r="AL172" i="50"/>
  <c r="AK172" i="50"/>
  <c r="AJ172" i="50"/>
  <c r="AI172" i="50"/>
  <c r="AH172" i="50"/>
  <c r="AG172" i="50"/>
  <c r="AF172" i="50"/>
  <c r="AE172" i="50"/>
  <c r="AD172" i="50"/>
  <c r="AC172" i="50"/>
  <c r="AB172" i="50"/>
  <c r="AA172" i="50"/>
  <c r="Z172" i="50"/>
  <c r="Y172" i="50"/>
  <c r="X172" i="50"/>
  <c r="W172" i="50"/>
  <c r="V172" i="50"/>
  <c r="AO171" i="50"/>
  <c r="AN171" i="50"/>
  <c r="AM171" i="50"/>
  <c r="AL171" i="50"/>
  <c r="AK171" i="50"/>
  <c r="AJ171" i="50"/>
  <c r="AI171" i="50"/>
  <c r="AH171" i="50"/>
  <c r="AG171" i="50"/>
  <c r="AF171" i="50"/>
  <c r="AE171" i="50"/>
  <c r="AD171" i="50"/>
  <c r="AC171" i="50"/>
  <c r="AB171" i="50"/>
  <c r="AA171" i="50"/>
  <c r="Z171" i="50"/>
  <c r="Y171" i="50"/>
  <c r="X171" i="50"/>
  <c r="V171" i="50"/>
  <c r="AO170" i="50"/>
  <c r="AN170" i="50"/>
  <c r="AM170" i="50"/>
  <c r="AL170" i="50"/>
  <c r="AK170" i="50"/>
  <c r="AJ170" i="50"/>
  <c r="AI170" i="50"/>
  <c r="AH170" i="50"/>
  <c r="AG170" i="50"/>
  <c r="AF170" i="50"/>
  <c r="AE170" i="50"/>
  <c r="AD170" i="50"/>
  <c r="AC170" i="50"/>
  <c r="AB170" i="50"/>
  <c r="AA170" i="50"/>
  <c r="Z170" i="50"/>
  <c r="Y170" i="50"/>
  <c r="X170" i="50"/>
  <c r="V170" i="50"/>
  <c r="AO169" i="50"/>
  <c r="AN169" i="50"/>
  <c r="AM169" i="50"/>
  <c r="AL169" i="50"/>
  <c r="AK169" i="50"/>
  <c r="AJ169" i="50"/>
  <c r="AI169" i="50"/>
  <c r="AH169" i="50"/>
  <c r="AG169" i="50"/>
  <c r="AF169" i="50"/>
  <c r="AE169" i="50"/>
  <c r="AD169" i="50"/>
  <c r="AC169" i="50"/>
  <c r="AB169" i="50"/>
  <c r="AA169" i="50"/>
  <c r="Z169" i="50"/>
  <c r="Y169" i="50"/>
  <c r="X169" i="50"/>
  <c r="W169" i="50"/>
  <c r="V169" i="50"/>
  <c r="AO168" i="50"/>
  <c r="AN168" i="50"/>
  <c r="AM168" i="50"/>
  <c r="AL168" i="50"/>
  <c r="X95" i="50" s="1"/>
  <c r="AK168" i="50"/>
  <c r="AJ168" i="50"/>
  <c r="AI168" i="50"/>
  <c r="AH168" i="50"/>
  <c r="AG168" i="50"/>
  <c r="AF168" i="50"/>
  <c r="AE168" i="50"/>
  <c r="AD168" i="50"/>
  <c r="AD95" i="50" s="1"/>
  <c r="AC168" i="50"/>
  <c r="AC95" i="50" s="1"/>
  <c r="AB168" i="50"/>
  <c r="AB95" i="50" s="1"/>
  <c r="AA168" i="50"/>
  <c r="Z168" i="50"/>
  <c r="Z95" i="50" s="1"/>
  <c r="Y168" i="50"/>
  <c r="X168" i="50"/>
  <c r="W168" i="50"/>
  <c r="W95" i="50" s="1"/>
  <c r="V168" i="50"/>
  <c r="V95" i="50" s="1"/>
  <c r="AO167" i="50"/>
  <c r="AN167" i="50"/>
  <c r="AM167" i="50"/>
  <c r="AL167" i="50"/>
  <c r="X94" i="50" s="1"/>
  <c r="AK167" i="50"/>
  <c r="AJ167" i="50"/>
  <c r="AI167" i="50"/>
  <c r="AH167" i="50"/>
  <c r="AG167" i="50"/>
  <c r="AF167" i="50"/>
  <c r="AE167" i="50"/>
  <c r="AD167" i="50"/>
  <c r="AD94" i="50" s="1"/>
  <c r="AC167" i="50"/>
  <c r="AB167" i="50"/>
  <c r="AB94" i="50" s="1"/>
  <c r="AA167" i="50"/>
  <c r="AA94" i="50" s="1"/>
  <c r="Z167" i="50"/>
  <c r="Z94" i="50" s="1"/>
  <c r="Y167" i="50"/>
  <c r="Y94" i="50" s="1"/>
  <c r="X167" i="50"/>
  <c r="W167" i="50"/>
  <c r="V167" i="50"/>
  <c r="V94" i="50" s="1"/>
  <c r="AO166" i="50"/>
  <c r="AN166" i="50"/>
  <c r="AM166" i="50"/>
  <c r="AL166" i="50"/>
  <c r="X93" i="50" s="1"/>
  <c r="AK166" i="50"/>
  <c r="AJ166" i="50"/>
  <c r="AI166" i="50"/>
  <c r="AH166" i="50"/>
  <c r="AG166" i="50"/>
  <c r="AF166" i="50"/>
  <c r="AE166" i="50"/>
  <c r="AD166" i="50"/>
  <c r="AD93" i="50" s="1"/>
  <c r="AC166" i="50"/>
  <c r="AC93" i="50" s="1"/>
  <c r="AB166" i="50"/>
  <c r="AB93" i="50" s="1"/>
  <c r="AA166" i="50"/>
  <c r="AA93" i="50" s="1"/>
  <c r="Z166" i="50"/>
  <c r="Z93" i="50" s="1"/>
  <c r="Y166" i="50"/>
  <c r="X166" i="50"/>
  <c r="W166" i="50"/>
  <c r="V166" i="50"/>
  <c r="V93" i="50" s="1"/>
  <c r="AO165" i="50"/>
  <c r="AN165" i="50"/>
  <c r="AM165" i="50"/>
  <c r="AL165" i="50"/>
  <c r="X92" i="50" s="1"/>
  <c r="AK165" i="50"/>
  <c r="AJ165" i="50"/>
  <c r="AI165" i="50"/>
  <c r="AH165" i="50"/>
  <c r="AG165" i="50"/>
  <c r="AF165" i="50"/>
  <c r="AE165" i="50"/>
  <c r="AD165" i="50"/>
  <c r="AD92" i="50" s="1"/>
  <c r="AC165" i="50"/>
  <c r="AC92" i="50" s="1"/>
  <c r="AB165" i="50"/>
  <c r="AB92" i="50" s="1"/>
  <c r="AA165" i="50"/>
  <c r="Z165" i="50"/>
  <c r="Z92" i="50" s="1"/>
  <c r="Y165" i="50"/>
  <c r="Y92" i="50" s="1"/>
  <c r="X165" i="50"/>
  <c r="W165" i="50"/>
  <c r="W92" i="50" s="1"/>
  <c r="V165" i="50"/>
  <c r="V92" i="50" s="1"/>
  <c r="AO164" i="50"/>
  <c r="AN164" i="50"/>
  <c r="AM164" i="50"/>
  <c r="AL164" i="50"/>
  <c r="X91" i="50" s="1"/>
  <c r="AK164" i="50"/>
  <c r="AJ164" i="50"/>
  <c r="AI164" i="50"/>
  <c r="AH164" i="50"/>
  <c r="AG164" i="50"/>
  <c r="AF164" i="50"/>
  <c r="AE164" i="50"/>
  <c r="AD164" i="50"/>
  <c r="AC164" i="50"/>
  <c r="AB164" i="50"/>
  <c r="AB91" i="50" s="1"/>
  <c r="AA164" i="50"/>
  <c r="AA91" i="50" s="1"/>
  <c r="Z164" i="50"/>
  <c r="Z91" i="50" s="1"/>
  <c r="Y164" i="50"/>
  <c r="Y91" i="50" s="1"/>
  <c r="X164" i="50"/>
  <c r="W164" i="50"/>
  <c r="V164" i="50"/>
  <c r="V91" i="50" s="1"/>
  <c r="AO163" i="50"/>
  <c r="AN163" i="50"/>
  <c r="AM163" i="50"/>
  <c r="AL163" i="50"/>
  <c r="X90" i="50" s="1"/>
  <c r="AK163" i="50"/>
  <c r="AJ163" i="50"/>
  <c r="AI163" i="50"/>
  <c r="AH163" i="50"/>
  <c r="AG163" i="50"/>
  <c r="AF163" i="50"/>
  <c r="AE163" i="50"/>
  <c r="AD163" i="50"/>
  <c r="AD90" i="50" s="1"/>
  <c r="AC163" i="50"/>
  <c r="AB163" i="50"/>
  <c r="AB90" i="50" s="1"/>
  <c r="AA163" i="50"/>
  <c r="AA90" i="50" s="1"/>
  <c r="Z163" i="50"/>
  <c r="Z90" i="50" s="1"/>
  <c r="Y163" i="50"/>
  <c r="X163" i="50"/>
  <c r="W163" i="50"/>
  <c r="W90" i="50" s="1"/>
  <c r="V163" i="50"/>
  <c r="V90" i="50" s="1"/>
  <c r="AO162" i="50"/>
  <c r="AN162" i="50"/>
  <c r="AM162" i="50"/>
  <c r="AL162" i="50"/>
  <c r="X89" i="50" s="1"/>
  <c r="AK162" i="50"/>
  <c r="AJ162" i="50"/>
  <c r="AI162" i="50"/>
  <c r="AH162" i="50"/>
  <c r="AG162" i="50"/>
  <c r="AF162" i="50"/>
  <c r="AE162" i="50"/>
  <c r="AD162" i="50"/>
  <c r="AD89" i="50" s="1"/>
  <c r="AC162" i="50"/>
  <c r="AC89" i="50" s="1"/>
  <c r="AB162" i="50"/>
  <c r="AB89" i="50" s="1"/>
  <c r="AA162" i="50"/>
  <c r="Z162" i="50"/>
  <c r="Z89" i="50" s="1"/>
  <c r="Y162" i="50"/>
  <c r="Y89" i="50" s="1"/>
  <c r="X162" i="50"/>
  <c r="W162" i="50"/>
  <c r="W89" i="50" s="1"/>
  <c r="V162" i="50"/>
  <c r="V89" i="50" s="1"/>
  <c r="AO161" i="50"/>
  <c r="AN161" i="50"/>
  <c r="AM161" i="50"/>
  <c r="AL161" i="50"/>
  <c r="X88" i="50" s="1"/>
  <c r="AK161" i="50"/>
  <c r="AJ161" i="50"/>
  <c r="AI161" i="50"/>
  <c r="AH161" i="50"/>
  <c r="AG161" i="50"/>
  <c r="AF161" i="50"/>
  <c r="AE161" i="50"/>
  <c r="AD161" i="50"/>
  <c r="AD88" i="50" s="1"/>
  <c r="AC161" i="50"/>
  <c r="AB161" i="50"/>
  <c r="AA161" i="50"/>
  <c r="AA88" i="50" s="1"/>
  <c r="Z161" i="50"/>
  <c r="Z88" i="50" s="1"/>
  <c r="Y161" i="50"/>
  <c r="Y88" i="50" s="1"/>
  <c r="X161" i="50"/>
  <c r="W161" i="50"/>
  <c r="V161" i="50"/>
  <c r="V88" i="50" s="1"/>
  <c r="AO160" i="50"/>
  <c r="AN160" i="50"/>
  <c r="AM160" i="50"/>
  <c r="AL160" i="50"/>
  <c r="X87" i="50" s="1"/>
  <c r="AK160" i="50"/>
  <c r="AJ160" i="50"/>
  <c r="AI160" i="50"/>
  <c r="AH160" i="50"/>
  <c r="AG160" i="50"/>
  <c r="AF160" i="50"/>
  <c r="AE160" i="50"/>
  <c r="AD160" i="50"/>
  <c r="AC160" i="50"/>
  <c r="AB160" i="50"/>
  <c r="AB87" i="50" s="1"/>
  <c r="AA160" i="50"/>
  <c r="AA87" i="50" s="1"/>
  <c r="Z160" i="50"/>
  <c r="Y160" i="50"/>
  <c r="X160" i="50"/>
  <c r="V160" i="50"/>
  <c r="V87" i="50" s="1"/>
  <c r="AO159" i="50"/>
  <c r="AN159" i="50"/>
  <c r="AM159" i="50"/>
  <c r="AL159" i="50"/>
  <c r="AK159" i="50"/>
  <c r="AJ159" i="50"/>
  <c r="AI159" i="50"/>
  <c r="AH159" i="50"/>
  <c r="AG159" i="50"/>
  <c r="AF159" i="50"/>
  <c r="AE159" i="50"/>
  <c r="AD159" i="50"/>
  <c r="AC159" i="50"/>
  <c r="AB159" i="50"/>
  <c r="AA159" i="50"/>
  <c r="Z159" i="50"/>
  <c r="Y159" i="50"/>
  <c r="X159" i="50"/>
  <c r="W159" i="50"/>
  <c r="V159" i="50"/>
  <c r="AO158" i="50"/>
  <c r="AN158" i="50"/>
  <c r="AM158" i="50"/>
  <c r="AL158" i="50"/>
  <c r="AK158" i="50"/>
  <c r="AJ158" i="50"/>
  <c r="AI158" i="50"/>
  <c r="AH158" i="50"/>
  <c r="AG158" i="50"/>
  <c r="AF158" i="50"/>
  <c r="AE158" i="50"/>
  <c r="AD158" i="50"/>
  <c r="AC158" i="50"/>
  <c r="AB158" i="50"/>
  <c r="AA158" i="50"/>
  <c r="Z158" i="50"/>
  <c r="Y158" i="50"/>
  <c r="X158" i="50"/>
  <c r="W158" i="50"/>
  <c r="V158" i="50"/>
  <c r="AO157" i="50"/>
  <c r="AN157" i="50"/>
  <c r="AM157" i="50"/>
  <c r="AL157" i="50"/>
  <c r="AK157" i="50"/>
  <c r="AJ157" i="50"/>
  <c r="AI157" i="50"/>
  <c r="AH157" i="50"/>
  <c r="AG157" i="50"/>
  <c r="AF157" i="50"/>
  <c r="AE157" i="50"/>
  <c r="AD157" i="50"/>
  <c r="AC157" i="50"/>
  <c r="AB157" i="50"/>
  <c r="AA157" i="50"/>
  <c r="Z157" i="50"/>
  <c r="Y157" i="50"/>
  <c r="X157" i="50"/>
  <c r="W157" i="50"/>
  <c r="V157" i="50"/>
  <c r="AO156" i="50"/>
  <c r="AN156" i="50"/>
  <c r="AM156" i="50"/>
  <c r="AL156" i="50"/>
  <c r="AK156" i="50"/>
  <c r="AJ156" i="50"/>
  <c r="AI156" i="50"/>
  <c r="AH156" i="50"/>
  <c r="AG156" i="50"/>
  <c r="AF156" i="50"/>
  <c r="AE156" i="50"/>
  <c r="AD156" i="50"/>
  <c r="AC156" i="50"/>
  <c r="AB156" i="50"/>
  <c r="AA156" i="50"/>
  <c r="Z156" i="50"/>
  <c r="Y156" i="50"/>
  <c r="X156" i="50"/>
  <c r="W156" i="50"/>
  <c r="V156" i="50"/>
  <c r="AO155" i="50"/>
  <c r="AN155" i="50"/>
  <c r="AM155" i="50"/>
  <c r="AL155" i="50"/>
  <c r="AK155" i="50"/>
  <c r="AJ155" i="50"/>
  <c r="AI155" i="50"/>
  <c r="AH155" i="50"/>
  <c r="AG155" i="50"/>
  <c r="AF155" i="50"/>
  <c r="AE155" i="50"/>
  <c r="AD155" i="50"/>
  <c r="AC155" i="50"/>
  <c r="AB155" i="50"/>
  <c r="AA155" i="50"/>
  <c r="Z155" i="50"/>
  <c r="Y155" i="50"/>
  <c r="X155" i="50"/>
  <c r="W155" i="50"/>
  <c r="V155" i="50"/>
  <c r="AO154" i="50"/>
  <c r="AN154" i="50"/>
  <c r="AM154" i="50"/>
  <c r="AL154" i="50"/>
  <c r="AK154" i="50"/>
  <c r="AJ154" i="50"/>
  <c r="AI154" i="50"/>
  <c r="AH154" i="50"/>
  <c r="AG154" i="50"/>
  <c r="AF154" i="50"/>
  <c r="AE154" i="50"/>
  <c r="AD154" i="50"/>
  <c r="AC154" i="50"/>
  <c r="AB154" i="50"/>
  <c r="AA154" i="50"/>
  <c r="Z154" i="50"/>
  <c r="Y154" i="50"/>
  <c r="X154" i="50"/>
  <c r="W154" i="50"/>
  <c r="V154" i="50"/>
  <c r="AO153" i="50"/>
  <c r="AN153" i="50"/>
  <c r="AM153" i="50"/>
  <c r="AL153" i="50"/>
  <c r="AK153" i="50"/>
  <c r="AJ153" i="50"/>
  <c r="AI153" i="50"/>
  <c r="AH153" i="50"/>
  <c r="AG153" i="50"/>
  <c r="AF153" i="50"/>
  <c r="AE153" i="50"/>
  <c r="AD153" i="50"/>
  <c r="AC153" i="50"/>
  <c r="AB153" i="50"/>
  <c r="AA153" i="50"/>
  <c r="Z153" i="50"/>
  <c r="Y153" i="50"/>
  <c r="X153" i="50"/>
  <c r="W153" i="50"/>
  <c r="V153" i="50"/>
  <c r="AO152" i="50"/>
  <c r="AN152" i="50"/>
  <c r="AM152" i="50"/>
  <c r="AL152" i="50"/>
  <c r="AK152" i="50"/>
  <c r="AJ152" i="50"/>
  <c r="AI152" i="50"/>
  <c r="AH152" i="50"/>
  <c r="AG152" i="50"/>
  <c r="AF152" i="50"/>
  <c r="AE152" i="50"/>
  <c r="AD152" i="50"/>
  <c r="AC152" i="50"/>
  <c r="AB152" i="50"/>
  <c r="AA152" i="50"/>
  <c r="Z152" i="50"/>
  <c r="Y152" i="50"/>
  <c r="X152" i="50"/>
  <c r="W152" i="50"/>
  <c r="V152" i="50"/>
  <c r="AO151" i="50"/>
  <c r="AN151" i="50"/>
  <c r="AM151" i="50"/>
  <c r="AL151" i="50"/>
  <c r="AK151" i="50"/>
  <c r="AJ151" i="50"/>
  <c r="AI151" i="50"/>
  <c r="AH151" i="50"/>
  <c r="AG151" i="50"/>
  <c r="AF151" i="50"/>
  <c r="AE151" i="50"/>
  <c r="AD151" i="50"/>
  <c r="AC151" i="50"/>
  <c r="AB151" i="50"/>
  <c r="AA151" i="50"/>
  <c r="Z151" i="50"/>
  <c r="Y151" i="50"/>
  <c r="X151" i="50"/>
  <c r="W151" i="50"/>
  <c r="V151" i="50"/>
  <c r="AO150" i="50"/>
  <c r="AN150" i="50"/>
  <c r="AM150" i="50"/>
  <c r="AL150" i="50"/>
  <c r="AK150" i="50"/>
  <c r="AJ150" i="50"/>
  <c r="AI150" i="50"/>
  <c r="AH150" i="50"/>
  <c r="AG150" i="50"/>
  <c r="AF150" i="50"/>
  <c r="AE150" i="50"/>
  <c r="AD150" i="50"/>
  <c r="AC150" i="50"/>
  <c r="AB150" i="50"/>
  <c r="AA150" i="50"/>
  <c r="Z150" i="50"/>
  <c r="Y150" i="50"/>
  <c r="X150" i="50"/>
  <c r="W150" i="50"/>
  <c r="V150" i="50"/>
  <c r="AO149" i="50"/>
  <c r="AN149" i="50"/>
  <c r="AM149" i="50"/>
  <c r="AL149" i="50"/>
  <c r="AK149" i="50"/>
  <c r="AJ149" i="50"/>
  <c r="AI149" i="50"/>
  <c r="AH149" i="50"/>
  <c r="AG149" i="50"/>
  <c r="AF149" i="50"/>
  <c r="AE149" i="50"/>
  <c r="AD149" i="50"/>
  <c r="AC149" i="50"/>
  <c r="AB149" i="50"/>
  <c r="AA149" i="50"/>
  <c r="Z149" i="50"/>
  <c r="Y149" i="50"/>
  <c r="X149" i="50"/>
  <c r="V149" i="50"/>
  <c r="AO148" i="50"/>
  <c r="AN148" i="50"/>
  <c r="AM148" i="50"/>
  <c r="AL148" i="50"/>
  <c r="AK148" i="50"/>
  <c r="AJ148" i="50"/>
  <c r="AI148" i="50"/>
  <c r="AH148" i="50"/>
  <c r="AG148" i="50"/>
  <c r="AF148" i="50"/>
  <c r="AE148" i="50"/>
  <c r="AD148" i="50"/>
  <c r="AC148" i="50"/>
  <c r="AB148" i="50"/>
  <c r="AA148" i="50"/>
  <c r="Z148" i="50"/>
  <c r="Y148" i="50"/>
  <c r="X148" i="50"/>
  <c r="V148" i="50"/>
  <c r="AO147" i="50"/>
  <c r="AN147" i="50"/>
  <c r="AM147" i="50"/>
  <c r="AL147" i="50"/>
  <c r="AK147" i="50"/>
  <c r="AJ147" i="50"/>
  <c r="AI147" i="50"/>
  <c r="AH147" i="50"/>
  <c r="AG147" i="50"/>
  <c r="AF147" i="50"/>
  <c r="AE147" i="50"/>
  <c r="AD147" i="50"/>
  <c r="AC147" i="50"/>
  <c r="AB147" i="50"/>
  <c r="AA147" i="50"/>
  <c r="Z147" i="50"/>
  <c r="Y147" i="50"/>
  <c r="X147" i="50"/>
  <c r="V147" i="50"/>
  <c r="AO146" i="50"/>
  <c r="AN146" i="50"/>
  <c r="AM146" i="50"/>
  <c r="AL146" i="50"/>
  <c r="AK146" i="50"/>
  <c r="AJ146" i="50"/>
  <c r="AI146" i="50"/>
  <c r="AH146" i="50"/>
  <c r="AG146" i="50"/>
  <c r="AF146" i="50"/>
  <c r="AE146" i="50"/>
  <c r="AD146" i="50"/>
  <c r="AC146" i="50"/>
  <c r="AB146" i="50"/>
  <c r="AA146" i="50"/>
  <c r="Z146" i="50"/>
  <c r="Y146" i="50"/>
  <c r="X146" i="50"/>
  <c r="V146" i="50"/>
  <c r="AO145" i="50"/>
  <c r="AN145" i="50"/>
  <c r="AM145" i="50"/>
  <c r="AL145" i="50"/>
  <c r="AK145" i="50"/>
  <c r="AJ145" i="50"/>
  <c r="AI145" i="50"/>
  <c r="AH145" i="50"/>
  <c r="AG145" i="50"/>
  <c r="AF145" i="50"/>
  <c r="AE145" i="50"/>
  <c r="AD145" i="50"/>
  <c r="AC145" i="50"/>
  <c r="AB145" i="50"/>
  <c r="AA145" i="50"/>
  <c r="Z145" i="50"/>
  <c r="Y145" i="50"/>
  <c r="X145" i="50"/>
  <c r="W145" i="50"/>
  <c r="V145" i="50"/>
  <c r="AO144" i="50"/>
  <c r="AN144" i="50"/>
  <c r="AM144" i="50"/>
  <c r="AL144" i="50"/>
  <c r="AK144" i="50"/>
  <c r="AJ144" i="50"/>
  <c r="AI144" i="50"/>
  <c r="AH144" i="50"/>
  <c r="AG144" i="50"/>
  <c r="AF144" i="50"/>
  <c r="AE144" i="50"/>
  <c r="AD144" i="50"/>
  <c r="AC144" i="50"/>
  <c r="AB144" i="50"/>
  <c r="AA144" i="50"/>
  <c r="Z144" i="50"/>
  <c r="Y144" i="50"/>
  <c r="X144" i="50"/>
  <c r="W144" i="50"/>
  <c r="V144" i="50"/>
  <c r="AO143" i="50"/>
  <c r="AN143" i="50"/>
  <c r="AM143" i="50"/>
  <c r="AL143" i="50"/>
  <c r="AK143" i="50"/>
  <c r="AJ143" i="50"/>
  <c r="AI143" i="50"/>
  <c r="AH143" i="50"/>
  <c r="AG143" i="50"/>
  <c r="AF143" i="50"/>
  <c r="AE143" i="50"/>
  <c r="AD143" i="50"/>
  <c r="AC143" i="50"/>
  <c r="AB143" i="50"/>
  <c r="AA143" i="50"/>
  <c r="Z143" i="50"/>
  <c r="Y143" i="50"/>
  <c r="X143" i="50"/>
  <c r="W143" i="50"/>
  <c r="V143" i="50"/>
  <c r="Q143" i="50"/>
  <c r="AO142" i="50"/>
  <c r="AN142" i="50"/>
  <c r="AM142" i="50"/>
  <c r="AL142" i="50"/>
  <c r="AK142" i="50"/>
  <c r="AJ142" i="50"/>
  <c r="AI142" i="50"/>
  <c r="AH142" i="50"/>
  <c r="AG142" i="50"/>
  <c r="AF142" i="50"/>
  <c r="AE142" i="50"/>
  <c r="AD142" i="50"/>
  <c r="AC142" i="50"/>
  <c r="AB142" i="50"/>
  <c r="AA142" i="50"/>
  <c r="Z142" i="50"/>
  <c r="Y142" i="50"/>
  <c r="X142" i="50"/>
  <c r="W142" i="50"/>
  <c r="V142" i="50"/>
  <c r="Q142" i="50"/>
  <c r="AO141" i="50"/>
  <c r="AN141" i="50"/>
  <c r="AM141" i="50"/>
  <c r="AL141" i="50"/>
  <c r="AK141" i="50"/>
  <c r="AJ141" i="50"/>
  <c r="AI141" i="50"/>
  <c r="AH141" i="50"/>
  <c r="AG141" i="50"/>
  <c r="AF141" i="50"/>
  <c r="AE141" i="50"/>
  <c r="AD141" i="50"/>
  <c r="AC141" i="50"/>
  <c r="AB141" i="50"/>
  <c r="AA141" i="50"/>
  <c r="Z141" i="50"/>
  <c r="Y141" i="50"/>
  <c r="X141" i="50"/>
  <c r="W141" i="50"/>
  <c r="V141" i="50"/>
  <c r="Q141" i="50"/>
  <c r="AO140" i="50"/>
  <c r="AN140" i="50"/>
  <c r="AM140" i="50"/>
  <c r="AL140" i="50"/>
  <c r="AK140" i="50"/>
  <c r="AJ140" i="50"/>
  <c r="AI140" i="50"/>
  <c r="AH140" i="50"/>
  <c r="AG140" i="50"/>
  <c r="AF140" i="50"/>
  <c r="AE140" i="50"/>
  <c r="AD140" i="50"/>
  <c r="AC140" i="50"/>
  <c r="AB140" i="50"/>
  <c r="AA140" i="50"/>
  <c r="Z140" i="50"/>
  <c r="Y140" i="50"/>
  <c r="X140" i="50"/>
  <c r="W140" i="50"/>
  <c r="V140" i="50"/>
  <c r="Q140" i="50"/>
  <c r="AO139" i="50"/>
  <c r="AN139" i="50"/>
  <c r="AM139" i="50"/>
  <c r="AL139" i="50"/>
  <c r="AK139" i="50"/>
  <c r="AJ139" i="50"/>
  <c r="AI139" i="50"/>
  <c r="AH139" i="50"/>
  <c r="AG139" i="50"/>
  <c r="AF139" i="50"/>
  <c r="AE139" i="50"/>
  <c r="AD139" i="50"/>
  <c r="AC139" i="50"/>
  <c r="AB139" i="50"/>
  <c r="AA139" i="50"/>
  <c r="Z139" i="50"/>
  <c r="Y139" i="50"/>
  <c r="X139" i="50"/>
  <c r="W139" i="50"/>
  <c r="V139" i="50"/>
  <c r="Q139" i="50"/>
  <c r="AO138" i="50"/>
  <c r="AN138" i="50"/>
  <c r="AM138" i="50"/>
  <c r="AL138" i="50"/>
  <c r="AK138" i="50"/>
  <c r="AJ138" i="50"/>
  <c r="AI138" i="50"/>
  <c r="AH138" i="50"/>
  <c r="AG138" i="50"/>
  <c r="AF138" i="50"/>
  <c r="AE138" i="50"/>
  <c r="AD138" i="50"/>
  <c r="AC138" i="50"/>
  <c r="AB138" i="50"/>
  <c r="AA138" i="50"/>
  <c r="Z138" i="50"/>
  <c r="Y138" i="50"/>
  <c r="X138" i="50"/>
  <c r="W138" i="50"/>
  <c r="V138" i="50"/>
  <c r="Q138" i="50"/>
  <c r="AO137" i="50"/>
  <c r="AN137" i="50"/>
  <c r="AM137" i="50"/>
  <c r="AL137" i="50"/>
  <c r="AK137" i="50"/>
  <c r="AJ137" i="50"/>
  <c r="AI137" i="50"/>
  <c r="AH137" i="50"/>
  <c r="AG137" i="50"/>
  <c r="AF137" i="50"/>
  <c r="AE137" i="50"/>
  <c r="AD137" i="50"/>
  <c r="AC137" i="50"/>
  <c r="AB137" i="50"/>
  <c r="AA137" i="50"/>
  <c r="Z137" i="50"/>
  <c r="Y137" i="50"/>
  <c r="X137" i="50"/>
  <c r="W137" i="50"/>
  <c r="V137" i="50"/>
  <c r="Q137" i="50"/>
  <c r="AO136" i="50"/>
  <c r="AN136" i="50"/>
  <c r="AM136" i="50"/>
  <c r="AL136" i="50"/>
  <c r="AK136" i="50"/>
  <c r="AJ136" i="50"/>
  <c r="AI136" i="50"/>
  <c r="AH136" i="50"/>
  <c r="AG136" i="50"/>
  <c r="AF136" i="50"/>
  <c r="AE136" i="50"/>
  <c r="AD136" i="50"/>
  <c r="AC136" i="50"/>
  <c r="AB136" i="50"/>
  <c r="AA136" i="50"/>
  <c r="Z136" i="50"/>
  <c r="Y136" i="50"/>
  <c r="X136" i="50"/>
  <c r="W136" i="50"/>
  <c r="V136" i="50"/>
  <c r="Q136" i="50"/>
  <c r="AO135" i="50"/>
  <c r="AN135" i="50"/>
  <c r="AM135" i="50"/>
  <c r="AL135" i="50"/>
  <c r="AK135" i="50"/>
  <c r="AJ135" i="50"/>
  <c r="AI135" i="50"/>
  <c r="AH135" i="50"/>
  <c r="AG135" i="50"/>
  <c r="AF135" i="50"/>
  <c r="AE135" i="50"/>
  <c r="AD135" i="50"/>
  <c r="AC135" i="50"/>
  <c r="AB135" i="50"/>
  <c r="AA135" i="50"/>
  <c r="Z135" i="50"/>
  <c r="Y135" i="50"/>
  <c r="X135" i="50"/>
  <c r="W135" i="50"/>
  <c r="V135" i="50"/>
  <c r="Q135" i="50"/>
  <c r="AO134" i="50"/>
  <c r="AN134" i="50"/>
  <c r="AM134" i="50"/>
  <c r="AL134" i="50"/>
  <c r="AK134" i="50"/>
  <c r="AJ134" i="50"/>
  <c r="AI134" i="50"/>
  <c r="AH134" i="50"/>
  <c r="AG134" i="50"/>
  <c r="AF134" i="50"/>
  <c r="AE134" i="50"/>
  <c r="AD134" i="50"/>
  <c r="AC134" i="50"/>
  <c r="AB134" i="50"/>
  <c r="AA134" i="50"/>
  <c r="Z134" i="50"/>
  <c r="Y134" i="50"/>
  <c r="X134" i="50"/>
  <c r="W134" i="50"/>
  <c r="V134" i="50"/>
  <c r="Q134" i="50"/>
  <c r="AO133" i="50"/>
  <c r="AN133" i="50"/>
  <c r="AM133" i="50"/>
  <c r="AL133" i="50"/>
  <c r="AK133" i="50"/>
  <c r="AJ133" i="50"/>
  <c r="AI133" i="50"/>
  <c r="AH133" i="50"/>
  <c r="AG133" i="50"/>
  <c r="AF133" i="50"/>
  <c r="AE133" i="50"/>
  <c r="AD133" i="50"/>
  <c r="AC133" i="50"/>
  <c r="AB133" i="50"/>
  <c r="AA133" i="50"/>
  <c r="Z133" i="50"/>
  <c r="Y133" i="50"/>
  <c r="X133" i="50"/>
  <c r="W133" i="50"/>
  <c r="V133" i="50"/>
  <c r="Q133" i="50"/>
  <c r="AO132" i="50"/>
  <c r="AN132" i="50"/>
  <c r="AM132" i="50"/>
  <c r="AL132" i="50"/>
  <c r="AK132" i="50"/>
  <c r="AJ132" i="50"/>
  <c r="AI132" i="50"/>
  <c r="AH132" i="50"/>
  <c r="AG132" i="50"/>
  <c r="AF132" i="50"/>
  <c r="AE132" i="50"/>
  <c r="AD132" i="50"/>
  <c r="AC132" i="50"/>
  <c r="AB132" i="50"/>
  <c r="AA132" i="50"/>
  <c r="Z132" i="50"/>
  <c r="Y132" i="50"/>
  <c r="X132" i="50"/>
  <c r="W132" i="50"/>
  <c r="V132" i="50"/>
  <c r="Q132" i="50"/>
  <c r="AO131" i="50"/>
  <c r="AN131" i="50"/>
  <c r="AM131" i="50"/>
  <c r="AL131" i="50"/>
  <c r="AK131" i="50"/>
  <c r="AJ131" i="50"/>
  <c r="AI131" i="50"/>
  <c r="AH131" i="50"/>
  <c r="AG131" i="50"/>
  <c r="AF131" i="50"/>
  <c r="AE131" i="50"/>
  <c r="AD131" i="50"/>
  <c r="AC131" i="50"/>
  <c r="AB131" i="50"/>
  <c r="AA131" i="50"/>
  <c r="Z131" i="50"/>
  <c r="Y131" i="50"/>
  <c r="X131" i="50"/>
  <c r="W131" i="50"/>
  <c r="V131" i="50"/>
  <c r="Q131" i="50"/>
  <c r="AO130" i="50"/>
  <c r="AN130" i="50"/>
  <c r="AM130" i="50"/>
  <c r="AL130" i="50"/>
  <c r="AK130" i="50"/>
  <c r="AJ130" i="50"/>
  <c r="AI130" i="50"/>
  <c r="AH130" i="50"/>
  <c r="AG130" i="50"/>
  <c r="AF130" i="50"/>
  <c r="AE130" i="50"/>
  <c r="AD130" i="50"/>
  <c r="AC130" i="50"/>
  <c r="AB130" i="50"/>
  <c r="AA130" i="50"/>
  <c r="Z130" i="50"/>
  <c r="Y130" i="50"/>
  <c r="X130" i="50"/>
  <c r="W130" i="50"/>
  <c r="V130" i="50"/>
  <c r="Q130" i="50"/>
  <c r="AO129" i="50"/>
  <c r="AN129" i="50"/>
  <c r="AM129" i="50"/>
  <c r="AL129" i="50"/>
  <c r="AK129" i="50"/>
  <c r="AJ129" i="50"/>
  <c r="AI129" i="50"/>
  <c r="AH129" i="50"/>
  <c r="AG129" i="50"/>
  <c r="AF129" i="50"/>
  <c r="AE129" i="50"/>
  <c r="AD129" i="50"/>
  <c r="AC129" i="50"/>
  <c r="AB129" i="50"/>
  <c r="AA129" i="50"/>
  <c r="Z129" i="50"/>
  <c r="Y129" i="50"/>
  <c r="X129" i="50"/>
  <c r="W129" i="50"/>
  <c r="V129" i="50"/>
  <c r="Q129" i="50"/>
  <c r="AO128" i="50"/>
  <c r="AN128" i="50"/>
  <c r="AM128" i="50"/>
  <c r="AL128" i="50"/>
  <c r="AK128" i="50"/>
  <c r="AJ128" i="50"/>
  <c r="AI128" i="50"/>
  <c r="AH128" i="50"/>
  <c r="AG128" i="50"/>
  <c r="AF128" i="50"/>
  <c r="AE128" i="50"/>
  <c r="AD128" i="50"/>
  <c r="AC128" i="50"/>
  <c r="AB128" i="50"/>
  <c r="AA128" i="50"/>
  <c r="Z128" i="50"/>
  <c r="Y128" i="50"/>
  <c r="X128" i="50"/>
  <c r="V128" i="50"/>
  <c r="Q128" i="50"/>
  <c r="AO127" i="50"/>
  <c r="AN127" i="50"/>
  <c r="AM127" i="50"/>
  <c r="AL127" i="50"/>
  <c r="AK127" i="50"/>
  <c r="AJ127" i="50"/>
  <c r="AI127" i="50"/>
  <c r="AH127" i="50"/>
  <c r="AG127" i="50"/>
  <c r="AF127" i="50"/>
  <c r="AE127" i="50"/>
  <c r="AD127" i="50"/>
  <c r="AC127" i="50"/>
  <c r="AB127" i="50"/>
  <c r="AA127" i="50"/>
  <c r="Z127" i="50"/>
  <c r="Y127" i="50"/>
  <c r="X127" i="50"/>
  <c r="V127" i="50"/>
  <c r="Q127" i="50"/>
  <c r="AO126" i="50"/>
  <c r="AN126" i="50"/>
  <c r="AM126" i="50"/>
  <c r="AL126" i="50"/>
  <c r="AK126" i="50"/>
  <c r="AJ126" i="50"/>
  <c r="AI126" i="50"/>
  <c r="AH126" i="50"/>
  <c r="AG126" i="50"/>
  <c r="AF126" i="50"/>
  <c r="AE126" i="50"/>
  <c r="AD126" i="50"/>
  <c r="AC126" i="50"/>
  <c r="AB126" i="50"/>
  <c r="AA126" i="50"/>
  <c r="Z126" i="50"/>
  <c r="Y126" i="50"/>
  <c r="X126" i="50"/>
  <c r="V126" i="50"/>
  <c r="Q126" i="50"/>
  <c r="AO125" i="50"/>
  <c r="AN125" i="50"/>
  <c r="AM125" i="50"/>
  <c r="AL125" i="50"/>
  <c r="AK125" i="50"/>
  <c r="AJ125" i="50"/>
  <c r="AI125" i="50"/>
  <c r="AH125" i="50"/>
  <c r="AG125" i="50"/>
  <c r="AF125" i="50"/>
  <c r="AE125" i="50"/>
  <c r="AD125" i="50"/>
  <c r="AC125" i="50"/>
  <c r="AB125" i="50"/>
  <c r="AA125" i="50"/>
  <c r="Z125" i="50"/>
  <c r="Y125" i="50"/>
  <c r="X125" i="50"/>
  <c r="V125" i="50"/>
  <c r="Q125" i="50"/>
  <c r="AO124" i="50"/>
  <c r="AN124" i="50"/>
  <c r="AM124" i="50"/>
  <c r="AL124" i="50"/>
  <c r="AK124" i="50"/>
  <c r="AJ124" i="50"/>
  <c r="AI124" i="50"/>
  <c r="AH124" i="50"/>
  <c r="AG124" i="50"/>
  <c r="AF124" i="50"/>
  <c r="AE124" i="50"/>
  <c r="AD124" i="50"/>
  <c r="AC124" i="50"/>
  <c r="AB124" i="50"/>
  <c r="AA124" i="50"/>
  <c r="Z124" i="50"/>
  <c r="Y124" i="50"/>
  <c r="X124" i="50"/>
  <c r="V124" i="50"/>
  <c r="Q124" i="50"/>
  <c r="AO123" i="50"/>
  <c r="AN123" i="50"/>
  <c r="AM123" i="50"/>
  <c r="AL123" i="50"/>
  <c r="AK123" i="50"/>
  <c r="AJ123" i="50"/>
  <c r="AI123" i="50"/>
  <c r="AH123" i="50"/>
  <c r="AG123" i="50"/>
  <c r="AF123" i="50"/>
  <c r="AE123" i="50"/>
  <c r="AD123" i="50"/>
  <c r="AC123" i="50"/>
  <c r="AB123" i="50"/>
  <c r="AA123" i="50"/>
  <c r="Z123" i="50"/>
  <c r="Y123" i="50"/>
  <c r="X123" i="50"/>
  <c r="W123" i="50"/>
  <c r="V123" i="50"/>
  <c r="Q123" i="50"/>
  <c r="AO122" i="50"/>
  <c r="AN122" i="50"/>
  <c r="AM122" i="50"/>
  <c r="AL122" i="50"/>
  <c r="AK122" i="50"/>
  <c r="AJ122" i="50"/>
  <c r="AI122" i="50"/>
  <c r="AH122" i="50"/>
  <c r="AG122" i="50"/>
  <c r="AF122" i="50"/>
  <c r="AE122" i="50"/>
  <c r="AD122" i="50"/>
  <c r="AC122" i="50"/>
  <c r="AB122" i="50"/>
  <c r="AA122" i="50"/>
  <c r="Z122" i="50"/>
  <c r="Y122" i="50"/>
  <c r="X122" i="50"/>
  <c r="V122" i="50"/>
  <c r="Q122" i="50"/>
  <c r="AO121" i="50"/>
  <c r="AN121" i="50"/>
  <c r="AM121" i="50"/>
  <c r="AL121" i="50"/>
  <c r="AK121" i="50"/>
  <c r="AJ121" i="50"/>
  <c r="AI121" i="50"/>
  <c r="AH121" i="50"/>
  <c r="AG121" i="50"/>
  <c r="AF121" i="50"/>
  <c r="AE121" i="50"/>
  <c r="AD121" i="50"/>
  <c r="AC121" i="50"/>
  <c r="AB121" i="50"/>
  <c r="AA121" i="50"/>
  <c r="Z121" i="50"/>
  <c r="Y121" i="50"/>
  <c r="X121" i="50"/>
  <c r="V121" i="50"/>
  <c r="Q121" i="50"/>
  <c r="AO120" i="50"/>
  <c r="AN120" i="50"/>
  <c r="AM120" i="50"/>
  <c r="AL120" i="50"/>
  <c r="AK120" i="50"/>
  <c r="AJ120" i="50"/>
  <c r="AI120" i="50"/>
  <c r="AH120" i="50"/>
  <c r="AG120" i="50"/>
  <c r="AF120" i="50"/>
  <c r="AE120" i="50"/>
  <c r="AD120" i="50"/>
  <c r="AC120" i="50"/>
  <c r="AB120" i="50"/>
  <c r="AA120" i="50"/>
  <c r="Z120" i="50"/>
  <c r="Y120" i="50"/>
  <c r="X120" i="50"/>
  <c r="W120" i="50"/>
  <c r="V120" i="50"/>
  <c r="Q120" i="50"/>
  <c r="AO119" i="50"/>
  <c r="AN119" i="50"/>
  <c r="AM119" i="50"/>
  <c r="AL119" i="50"/>
  <c r="AK119" i="50"/>
  <c r="AJ119" i="50"/>
  <c r="AI119" i="50"/>
  <c r="AH119" i="50"/>
  <c r="AG119" i="50"/>
  <c r="AF119" i="50"/>
  <c r="AE119" i="50"/>
  <c r="AD119" i="50"/>
  <c r="AC119" i="50"/>
  <c r="AB119" i="50"/>
  <c r="AA119" i="50"/>
  <c r="Z119" i="50"/>
  <c r="Y119" i="50"/>
  <c r="X119" i="50"/>
  <c r="V119" i="50"/>
  <c r="Q119" i="50"/>
  <c r="AO118" i="50"/>
  <c r="AN118" i="50"/>
  <c r="AM118" i="50"/>
  <c r="AL118" i="50"/>
  <c r="AK118" i="50"/>
  <c r="AJ118" i="50"/>
  <c r="AI118" i="50"/>
  <c r="AH118" i="50"/>
  <c r="AG118" i="50"/>
  <c r="AF118" i="50"/>
  <c r="AE118" i="50"/>
  <c r="AD118" i="50"/>
  <c r="AC118" i="50"/>
  <c r="AB118" i="50"/>
  <c r="AA118" i="50"/>
  <c r="Z118" i="50"/>
  <c r="Y118" i="50"/>
  <c r="X118" i="50"/>
  <c r="V118" i="50"/>
  <c r="Q118" i="50"/>
  <c r="AO117" i="50"/>
  <c r="AN117" i="50"/>
  <c r="AM117" i="50"/>
  <c r="AL117" i="50"/>
  <c r="AK117" i="50"/>
  <c r="AJ117" i="50"/>
  <c r="AI117" i="50"/>
  <c r="AH117" i="50"/>
  <c r="AG117" i="50"/>
  <c r="AF117" i="50"/>
  <c r="AE117" i="50"/>
  <c r="AD117" i="50"/>
  <c r="AC117" i="50"/>
  <c r="AB117" i="50"/>
  <c r="AA117" i="50"/>
  <c r="Z117" i="50"/>
  <c r="Y117" i="50"/>
  <c r="X117" i="50"/>
  <c r="V117" i="50"/>
  <c r="Q117" i="50"/>
  <c r="AO116" i="50"/>
  <c r="AN116" i="50"/>
  <c r="AM116" i="50"/>
  <c r="AL116" i="50"/>
  <c r="AK116" i="50"/>
  <c r="AJ116" i="50"/>
  <c r="AI116" i="50"/>
  <c r="AH116" i="50"/>
  <c r="AG116" i="50"/>
  <c r="AF116" i="50"/>
  <c r="AE116" i="50"/>
  <c r="AD116" i="50"/>
  <c r="AC116" i="50"/>
  <c r="AB116" i="50"/>
  <c r="AA116" i="50"/>
  <c r="Z116" i="50"/>
  <c r="Y116" i="50"/>
  <c r="X116" i="50"/>
  <c r="V116" i="50"/>
  <c r="AO115" i="50"/>
  <c r="AN115" i="50"/>
  <c r="AM115" i="50"/>
  <c r="AL115" i="50"/>
  <c r="AK115" i="50"/>
  <c r="AJ115" i="50"/>
  <c r="AI115" i="50"/>
  <c r="AH115" i="50"/>
  <c r="AG115" i="50"/>
  <c r="AF115" i="50"/>
  <c r="AE115" i="50"/>
  <c r="AD115" i="50"/>
  <c r="AC115" i="50"/>
  <c r="AB115" i="50"/>
  <c r="AA115" i="50"/>
  <c r="Z115" i="50"/>
  <c r="Y115" i="50"/>
  <c r="X115" i="50"/>
  <c r="W115" i="50"/>
  <c r="V115" i="50"/>
  <c r="AO114" i="50"/>
  <c r="AN114" i="50"/>
  <c r="AM114" i="50"/>
  <c r="AL114" i="50"/>
  <c r="AK114" i="50"/>
  <c r="AJ114" i="50"/>
  <c r="AI114" i="50"/>
  <c r="AH114" i="50"/>
  <c r="AG114" i="50"/>
  <c r="AF114" i="50"/>
  <c r="AE114" i="50"/>
  <c r="AD114" i="50"/>
  <c r="AC114" i="50"/>
  <c r="AB114" i="50"/>
  <c r="AA114" i="50"/>
  <c r="Z114" i="50"/>
  <c r="Y114" i="50"/>
  <c r="X114" i="50"/>
  <c r="W114" i="50"/>
  <c r="V114" i="50"/>
  <c r="AO113" i="50"/>
  <c r="AN113" i="50"/>
  <c r="AM113" i="50"/>
  <c r="AL113" i="50"/>
  <c r="AK113" i="50"/>
  <c r="AJ113" i="50"/>
  <c r="AI113" i="50"/>
  <c r="AH113" i="50"/>
  <c r="AG113" i="50"/>
  <c r="AF113" i="50"/>
  <c r="AE113" i="50"/>
  <c r="AD113" i="50"/>
  <c r="AC113" i="50"/>
  <c r="AB113" i="50"/>
  <c r="AA113" i="50"/>
  <c r="Z113" i="50"/>
  <c r="Y113" i="50"/>
  <c r="X113" i="50"/>
  <c r="W113" i="50"/>
  <c r="V113" i="50"/>
  <c r="AO112" i="50"/>
  <c r="AN112" i="50"/>
  <c r="AM112" i="50"/>
  <c r="AL112" i="50"/>
  <c r="AK112" i="50"/>
  <c r="AJ112" i="50"/>
  <c r="AI112" i="50"/>
  <c r="AH112" i="50"/>
  <c r="AG112" i="50"/>
  <c r="AF112" i="50"/>
  <c r="AE112" i="50"/>
  <c r="AD112" i="50"/>
  <c r="AC112" i="50"/>
  <c r="AB112" i="50"/>
  <c r="AA112" i="50"/>
  <c r="Z112" i="50"/>
  <c r="Y112" i="50"/>
  <c r="X112" i="50"/>
  <c r="V112" i="50"/>
  <c r="AO111" i="50"/>
  <c r="AN111" i="50"/>
  <c r="AM111" i="50"/>
  <c r="AL111" i="50"/>
  <c r="AK111" i="50"/>
  <c r="AJ111" i="50"/>
  <c r="AI111" i="50"/>
  <c r="AH111" i="50"/>
  <c r="AG111" i="50"/>
  <c r="AF111" i="50"/>
  <c r="AE111" i="50"/>
  <c r="AD111" i="50"/>
  <c r="AC111" i="50"/>
  <c r="AB111" i="50"/>
  <c r="AA111" i="50"/>
  <c r="Z111" i="50"/>
  <c r="Y111" i="50"/>
  <c r="X111" i="50"/>
  <c r="V111" i="50"/>
  <c r="AO110" i="50"/>
  <c r="AN110" i="50"/>
  <c r="AM110" i="50"/>
  <c r="AL110" i="50"/>
  <c r="AK110" i="50"/>
  <c r="AJ110" i="50"/>
  <c r="AI110" i="50"/>
  <c r="AH110" i="50"/>
  <c r="AG110" i="50"/>
  <c r="AF110" i="50"/>
  <c r="AE110" i="50"/>
  <c r="AD110" i="50"/>
  <c r="AC110" i="50"/>
  <c r="AB110" i="50"/>
  <c r="AA110" i="50"/>
  <c r="Z110" i="50"/>
  <c r="Y110" i="50"/>
  <c r="X110" i="50"/>
  <c r="V110" i="50"/>
  <c r="AO109" i="50"/>
  <c r="AN109" i="50"/>
  <c r="AM109" i="50"/>
  <c r="AL109" i="50"/>
  <c r="AK109" i="50"/>
  <c r="AJ109" i="50"/>
  <c r="AI109" i="50"/>
  <c r="AH109" i="50"/>
  <c r="AG109" i="50"/>
  <c r="AF109" i="50"/>
  <c r="AE109" i="50"/>
  <c r="AD109" i="50"/>
  <c r="AC109" i="50"/>
  <c r="AB109" i="50"/>
  <c r="AA109" i="50"/>
  <c r="Z109" i="50"/>
  <c r="Y109" i="50"/>
  <c r="X109" i="50"/>
  <c r="V109" i="50"/>
  <c r="AO108" i="50"/>
  <c r="AN108" i="50"/>
  <c r="AM108" i="50"/>
  <c r="AL108" i="50"/>
  <c r="AK108" i="50"/>
  <c r="AJ108" i="50"/>
  <c r="AI108" i="50"/>
  <c r="AH108" i="50"/>
  <c r="AG108" i="50"/>
  <c r="AF108" i="50"/>
  <c r="AE108" i="50"/>
  <c r="AD108" i="50"/>
  <c r="AC108" i="50"/>
  <c r="AB108" i="50"/>
  <c r="AA108" i="50"/>
  <c r="Z108" i="50"/>
  <c r="Y108" i="50"/>
  <c r="X108" i="50"/>
  <c r="V108" i="50"/>
  <c r="AO107" i="50"/>
  <c r="AN107" i="50"/>
  <c r="AM107" i="50"/>
  <c r="AL107" i="50"/>
  <c r="AK107" i="50"/>
  <c r="AJ107" i="50"/>
  <c r="AI107" i="50"/>
  <c r="AH107" i="50"/>
  <c r="AG107" i="50"/>
  <c r="AF107" i="50"/>
  <c r="AE107" i="50"/>
  <c r="AD107" i="50"/>
  <c r="AC107" i="50"/>
  <c r="AB107" i="50"/>
  <c r="AA107" i="50"/>
  <c r="Z107" i="50"/>
  <c r="Y107" i="50"/>
  <c r="X107" i="50"/>
  <c r="V107" i="50"/>
  <c r="AO106" i="50"/>
  <c r="AN106" i="50"/>
  <c r="AM106" i="50"/>
  <c r="AL106" i="50"/>
  <c r="AK106" i="50"/>
  <c r="AJ106" i="50"/>
  <c r="AI106" i="50"/>
  <c r="AH106" i="50"/>
  <c r="AG106" i="50"/>
  <c r="AF106" i="50"/>
  <c r="AE106" i="50"/>
  <c r="AD106" i="50"/>
  <c r="AC106" i="50"/>
  <c r="AB106" i="50"/>
  <c r="AA106" i="50"/>
  <c r="Z106" i="50"/>
  <c r="Y106" i="50"/>
  <c r="X106" i="50"/>
  <c r="V106" i="50"/>
  <c r="AO105" i="50"/>
  <c r="AN105" i="50"/>
  <c r="AM105" i="50"/>
  <c r="AL105" i="50"/>
  <c r="AK105" i="50"/>
  <c r="AJ105" i="50"/>
  <c r="AI105" i="50"/>
  <c r="AH105" i="50"/>
  <c r="AG105" i="50"/>
  <c r="AF105" i="50"/>
  <c r="AE105" i="50"/>
  <c r="AD105" i="50"/>
  <c r="AC105" i="50"/>
  <c r="AB105" i="50"/>
  <c r="AA105" i="50"/>
  <c r="Z105" i="50"/>
  <c r="Y105" i="50"/>
  <c r="X105" i="50"/>
  <c r="V105" i="50"/>
  <c r="AO104" i="50"/>
  <c r="AN104" i="50"/>
  <c r="AM104" i="50"/>
  <c r="AL104" i="50"/>
  <c r="AK104" i="50"/>
  <c r="AJ104" i="50"/>
  <c r="AI104" i="50"/>
  <c r="AH104" i="50"/>
  <c r="AG104" i="50"/>
  <c r="AF104" i="50"/>
  <c r="AE104" i="50"/>
  <c r="AD104" i="50"/>
  <c r="AC104" i="50"/>
  <c r="AB104" i="50"/>
  <c r="AA104" i="50"/>
  <c r="Z104" i="50"/>
  <c r="Y104" i="50"/>
  <c r="X104" i="50"/>
  <c r="W104" i="50"/>
  <c r="V104" i="50"/>
  <c r="AO103" i="50"/>
  <c r="AN103" i="50"/>
  <c r="AM103" i="50"/>
  <c r="AL103" i="50"/>
  <c r="AK103" i="50"/>
  <c r="AJ103" i="50"/>
  <c r="AI103" i="50"/>
  <c r="AH103" i="50"/>
  <c r="AG103" i="50"/>
  <c r="AF103" i="50"/>
  <c r="AE103" i="50"/>
  <c r="AD103" i="50"/>
  <c r="AC103" i="50"/>
  <c r="AB103" i="50"/>
  <c r="AA103" i="50"/>
  <c r="Z103" i="50"/>
  <c r="Y103" i="50"/>
  <c r="X103" i="50"/>
  <c r="V103" i="50"/>
  <c r="AO102" i="50"/>
  <c r="AN102" i="50"/>
  <c r="AM102" i="50"/>
  <c r="AL102" i="50"/>
  <c r="AK102" i="50"/>
  <c r="AJ102" i="50"/>
  <c r="AI102" i="50"/>
  <c r="AH102" i="50"/>
  <c r="AG102" i="50"/>
  <c r="AF102" i="50"/>
  <c r="AE102" i="50"/>
  <c r="AD102" i="50"/>
  <c r="AC102" i="50"/>
  <c r="AB102" i="50"/>
  <c r="AA102" i="50"/>
  <c r="Z102" i="50"/>
  <c r="Y102" i="50"/>
  <c r="X102" i="50"/>
  <c r="W102" i="50"/>
  <c r="V102" i="50"/>
  <c r="AO101" i="50"/>
  <c r="AN101" i="50"/>
  <c r="AM101" i="50"/>
  <c r="AL101" i="50"/>
  <c r="AK101" i="50"/>
  <c r="AJ101" i="50"/>
  <c r="AI101" i="50"/>
  <c r="AH101" i="50"/>
  <c r="AG101" i="50"/>
  <c r="AF101" i="50"/>
  <c r="AE101" i="50"/>
  <c r="AD101" i="50"/>
  <c r="AC101" i="50"/>
  <c r="AB101" i="50"/>
  <c r="AA101" i="50"/>
  <c r="Z101" i="50"/>
  <c r="Y101" i="50"/>
  <c r="X101" i="50"/>
  <c r="V101" i="50"/>
  <c r="AO100" i="50"/>
  <c r="AN100" i="50"/>
  <c r="AM100" i="50"/>
  <c r="AL100" i="50"/>
  <c r="AK100" i="50"/>
  <c r="AJ100" i="50"/>
  <c r="AI100" i="50"/>
  <c r="AH100" i="50"/>
  <c r="AG100" i="50"/>
  <c r="AF100" i="50"/>
  <c r="AE100" i="50"/>
  <c r="AD100" i="50"/>
  <c r="AC100" i="50"/>
  <c r="AB100" i="50"/>
  <c r="AA100" i="50"/>
  <c r="Z100" i="50"/>
  <c r="Y100" i="50"/>
  <c r="X100" i="50"/>
  <c r="V100" i="50"/>
  <c r="AA95" i="50"/>
  <c r="Y95" i="50"/>
  <c r="AC94" i="50"/>
  <c r="W94" i="50"/>
  <c r="Y93" i="50"/>
  <c r="W93" i="50"/>
  <c r="AA92" i="50"/>
  <c r="AD91" i="50"/>
  <c r="AC91" i="50"/>
  <c r="W91" i="50"/>
  <c r="AC90" i="50"/>
  <c r="Y90" i="50"/>
  <c r="AA89" i="50"/>
  <c r="AC88" i="50"/>
  <c r="AB88" i="50"/>
  <c r="W88" i="50"/>
  <c r="AD87" i="50"/>
  <c r="AC87" i="50"/>
  <c r="Z87" i="50"/>
  <c r="Y87" i="50"/>
  <c r="B85" i="50"/>
  <c r="Z82" i="50"/>
  <c r="Y82" i="50"/>
  <c r="X82" i="50"/>
  <c r="W82" i="50"/>
  <c r="V82" i="50"/>
  <c r="Z81" i="50"/>
  <c r="Y81" i="50"/>
  <c r="X81" i="50"/>
  <c r="W81" i="50"/>
  <c r="V81" i="50"/>
  <c r="Z80" i="50"/>
  <c r="Y80" i="50"/>
  <c r="X80" i="50"/>
  <c r="W80" i="50"/>
  <c r="V80" i="50"/>
  <c r="Z79" i="50"/>
  <c r="Y79" i="50"/>
  <c r="X79" i="50"/>
  <c r="W79" i="50"/>
  <c r="V79" i="50"/>
  <c r="Z78" i="50"/>
  <c r="Y78" i="50"/>
  <c r="X78" i="50"/>
  <c r="W78" i="50"/>
  <c r="V78" i="50"/>
  <c r="Z77" i="50"/>
  <c r="Y77" i="50"/>
  <c r="X77" i="50"/>
  <c r="W77" i="50"/>
  <c r="V77" i="50"/>
  <c r="Z76" i="50"/>
  <c r="Y76" i="50"/>
  <c r="X76" i="50"/>
  <c r="W76" i="50"/>
  <c r="V76" i="50"/>
  <c r="Z75" i="50"/>
  <c r="Y75" i="50"/>
  <c r="X75" i="50"/>
  <c r="V75" i="50"/>
  <c r="Z74" i="50"/>
  <c r="Y74" i="50"/>
  <c r="X74" i="50"/>
  <c r="W74" i="50"/>
  <c r="V74" i="50"/>
  <c r="Z73" i="50"/>
  <c r="Y73" i="50"/>
  <c r="X73" i="50"/>
  <c r="W73" i="50"/>
  <c r="V73" i="50"/>
  <c r="Z68" i="50"/>
  <c r="Y68" i="50"/>
  <c r="X68" i="50"/>
  <c r="W68" i="50"/>
  <c r="V68" i="50"/>
  <c r="Z67" i="50"/>
  <c r="Y67" i="50"/>
  <c r="X67" i="50"/>
  <c r="W67" i="50"/>
  <c r="V67" i="50"/>
  <c r="Z66" i="50"/>
  <c r="Y66" i="50"/>
  <c r="X66" i="50"/>
  <c r="V66" i="50"/>
  <c r="Z65" i="50"/>
  <c r="Y65" i="50"/>
  <c r="X65" i="50"/>
  <c r="W65" i="50"/>
  <c r="V65" i="50"/>
  <c r="Z64" i="50"/>
  <c r="Y64" i="50"/>
  <c r="X64" i="50"/>
  <c r="W64" i="50"/>
  <c r="V64" i="50"/>
  <c r="Z63" i="50"/>
  <c r="Y63" i="50"/>
  <c r="X63" i="50"/>
  <c r="W63" i="50"/>
  <c r="V63" i="50"/>
  <c r="B63" i="50"/>
  <c r="Z62" i="50"/>
  <c r="Y62" i="50"/>
  <c r="X62" i="50"/>
  <c r="W62" i="50"/>
  <c r="V62" i="50"/>
  <c r="Z61" i="50"/>
  <c r="Y61" i="50"/>
  <c r="X61" i="50"/>
  <c r="W61" i="50"/>
  <c r="V61" i="50"/>
  <c r="Z60" i="50"/>
  <c r="Y60" i="50"/>
  <c r="X60" i="50"/>
  <c r="W60" i="50"/>
  <c r="V60" i="50"/>
  <c r="Z59" i="50"/>
  <c r="Y59" i="50"/>
  <c r="X59" i="50"/>
  <c r="W59" i="50"/>
  <c r="V59" i="50"/>
  <c r="Z58" i="50"/>
  <c r="Y58" i="50"/>
  <c r="X58" i="50"/>
  <c r="W58" i="50"/>
  <c r="V58" i="50"/>
  <c r="Z57" i="50"/>
  <c r="Y57" i="50"/>
  <c r="X57" i="50"/>
  <c r="W57" i="50"/>
  <c r="V57" i="50"/>
  <c r="Z56" i="50"/>
  <c r="Y56" i="50"/>
  <c r="X56" i="50"/>
  <c r="W56" i="50"/>
  <c r="V56" i="50"/>
  <c r="AU51" i="50"/>
  <c r="AC47" i="50"/>
  <c r="AC46" i="50"/>
  <c r="AE45" i="50"/>
  <c r="AC45" i="50"/>
  <c r="B45" i="50"/>
  <c r="AP44" i="50"/>
  <c r="B94" i="50" s="1"/>
  <c r="AP43" i="50"/>
  <c r="B91" i="50" s="1"/>
  <c r="AP42" i="50"/>
  <c r="B88" i="50" s="1"/>
  <c r="X42" i="50"/>
  <c r="AP41" i="50"/>
  <c r="X41" i="50"/>
  <c r="AP40" i="50"/>
  <c r="B82" i="50" s="1"/>
  <c r="X40" i="50"/>
  <c r="X39" i="50"/>
  <c r="X38" i="50"/>
  <c r="B38" i="50"/>
  <c r="AK37" i="50"/>
  <c r="AU59" i="50" s="1"/>
  <c r="X37" i="50"/>
  <c r="AL36" i="50"/>
  <c r="AK36" i="50"/>
  <c r="AU58" i="50" s="1"/>
  <c r="X36" i="50"/>
  <c r="AL35" i="50"/>
  <c r="AK35" i="50"/>
  <c r="AU57" i="50" s="1"/>
  <c r="X35" i="50"/>
  <c r="Q35" i="50"/>
  <c r="P35" i="50"/>
  <c r="O35" i="50"/>
  <c r="AL34" i="50"/>
  <c r="AK34" i="50"/>
  <c r="AU56" i="50" s="1"/>
  <c r="X34" i="50"/>
  <c r="AQ33" i="50"/>
  <c r="AL33" i="50"/>
  <c r="AK33" i="50"/>
  <c r="AU55" i="50" s="1"/>
  <c r="X33" i="50"/>
  <c r="AL32" i="50"/>
  <c r="AK32" i="50"/>
  <c r="AU54" i="50" s="1"/>
  <c r="X32" i="50"/>
  <c r="AL31" i="50"/>
  <c r="AK31" i="50"/>
  <c r="AU53" i="50" s="1"/>
  <c r="AG31" i="50"/>
  <c r="X31" i="50"/>
  <c r="AL30" i="50"/>
  <c r="AK30" i="50"/>
  <c r="AU52" i="50" s="1"/>
  <c r="X30" i="50"/>
  <c r="B30" i="50"/>
  <c r="AL29" i="50"/>
  <c r="AK29" i="50"/>
  <c r="X29" i="50"/>
  <c r="X28" i="50"/>
  <c r="B27" i="50"/>
  <c r="P25" i="50"/>
  <c r="I24" i="50" s="1"/>
  <c r="G24" i="50"/>
  <c r="E24" i="50"/>
  <c r="C24" i="50"/>
  <c r="AB23" i="50"/>
  <c r="AA23" i="50"/>
  <c r="AC23" i="50" s="1"/>
  <c r="Z23" i="50"/>
  <c r="Y23" i="50"/>
  <c r="I23" i="50"/>
  <c r="G23" i="50"/>
  <c r="E23" i="50"/>
  <c r="C23" i="50"/>
  <c r="AB22" i="50"/>
  <c r="AC22" i="50" s="1"/>
  <c r="AA22" i="50"/>
  <c r="Z22" i="50"/>
  <c r="Y22" i="50"/>
  <c r="I22" i="50"/>
  <c r="G22" i="50"/>
  <c r="E22" i="50"/>
  <c r="C22" i="50"/>
  <c r="I21" i="50"/>
  <c r="G21" i="50"/>
  <c r="E21" i="50"/>
  <c r="C21" i="50"/>
  <c r="AQ20" i="50"/>
  <c r="B72" i="50" s="1"/>
  <c r="AQ36" i="50" s="1"/>
  <c r="AI20" i="50"/>
  <c r="I20" i="50"/>
  <c r="AQ19" i="50"/>
  <c r="AI19" i="50"/>
  <c r="AQ18" i="50"/>
  <c r="B66" i="50" s="1"/>
  <c r="AQ34" i="50" s="1"/>
  <c r="AJ18" i="50"/>
  <c r="AK18" i="50" s="1"/>
  <c r="AV26" i="50" s="1"/>
  <c r="AI18" i="50"/>
  <c r="I18" i="50"/>
  <c r="E18" i="50"/>
  <c r="AL18" i="50" s="1"/>
  <c r="AI17" i="50"/>
  <c r="AI16" i="50"/>
  <c r="AI15" i="50"/>
  <c r="AJ15" i="50" s="1"/>
  <c r="AK15" i="50" s="1"/>
  <c r="AU26" i="50" s="1"/>
  <c r="AQ14" i="50"/>
  <c r="AI14" i="50"/>
  <c r="I14" i="50"/>
  <c r="AQ13" i="50"/>
  <c r="B60" i="50" s="1"/>
  <c r="AQ32" i="50" s="1"/>
  <c r="AI13" i="50"/>
  <c r="AQ12" i="50"/>
  <c r="B57" i="50" s="1"/>
  <c r="AQ31" i="50" s="1"/>
  <c r="AJ12" i="50"/>
  <c r="AK12" i="50" s="1"/>
  <c r="AT26" i="50" s="1"/>
  <c r="AI12" i="50"/>
  <c r="AI11" i="50"/>
  <c r="AB11" i="50"/>
  <c r="AA11" i="50"/>
  <c r="Z11" i="50"/>
  <c r="AC11" i="50" s="1"/>
  <c r="Y11" i="50"/>
  <c r="AI10" i="50"/>
  <c r="AB10" i="50"/>
  <c r="AA10" i="50"/>
  <c r="Z10" i="50"/>
  <c r="AC10" i="50" s="1"/>
  <c r="Y10" i="50"/>
  <c r="AI9" i="50"/>
  <c r="AJ9" i="50" s="1"/>
  <c r="AB9" i="50"/>
  <c r="AA9" i="50"/>
  <c r="Z9" i="50"/>
  <c r="AC9" i="50" s="1"/>
  <c r="Y9" i="50"/>
  <c r="AQ8" i="50"/>
  <c r="B54" i="50" s="1"/>
  <c r="AQ30" i="50" s="1"/>
  <c r="AC8" i="50"/>
  <c r="AB8" i="50"/>
  <c r="AA8" i="50"/>
  <c r="Z8" i="50"/>
  <c r="Y8" i="50"/>
  <c r="AD8" i="50" s="1"/>
  <c r="AB36" i="50" s="1"/>
  <c r="AQ7" i="50"/>
  <c r="B51" i="50" s="1"/>
  <c r="AQ29" i="50" s="1"/>
  <c r="AQ6" i="50"/>
  <c r="AA215" i="49"/>
  <c r="V214" i="49"/>
  <c r="V213" i="49"/>
  <c r="V212" i="49"/>
  <c r="V211" i="49"/>
  <c r="V210" i="49"/>
  <c r="V209" i="49"/>
  <c r="V208" i="49"/>
  <c r="V207" i="49"/>
  <c r="V206" i="49"/>
  <c r="V205" i="49"/>
  <c r="V204" i="49"/>
  <c r="V203" i="49"/>
  <c r="V202" i="49"/>
  <c r="V201" i="49"/>
  <c r="V200" i="49"/>
  <c r="V199" i="49"/>
  <c r="V198" i="49"/>
  <c r="V197" i="49"/>
  <c r="V196" i="49"/>
  <c r="V195" i="49"/>
  <c r="V194" i="49"/>
  <c r="V193" i="49"/>
  <c r="V192" i="49"/>
  <c r="V191" i="49"/>
  <c r="V190" i="49"/>
  <c r="V189" i="49"/>
  <c r="V188" i="49"/>
  <c r="AO179" i="49"/>
  <c r="AN179" i="49"/>
  <c r="AM179" i="49"/>
  <c r="AL179" i="49"/>
  <c r="AK179" i="49"/>
  <c r="AJ179" i="49"/>
  <c r="AI179" i="49"/>
  <c r="AH179" i="49"/>
  <c r="AG179" i="49"/>
  <c r="AF179" i="49"/>
  <c r="AE179" i="49"/>
  <c r="AD179" i="49"/>
  <c r="AC179" i="49"/>
  <c r="AB179" i="49"/>
  <c r="AA179" i="49"/>
  <c r="Z179" i="49"/>
  <c r="Y179" i="49"/>
  <c r="X179" i="49"/>
  <c r="W179" i="49"/>
  <c r="V179" i="49"/>
  <c r="AO178" i="49"/>
  <c r="AN178" i="49"/>
  <c r="AM178" i="49"/>
  <c r="AL178" i="49"/>
  <c r="AK178" i="49"/>
  <c r="AJ178" i="49"/>
  <c r="AI178" i="49"/>
  <c r="AH178" i="49"/>
  <c r="AG178" i="49"/>
  <c r="AF178" i="49"/>
  <c r="AE178" i="49"/>
  <c r="AD178" i="49"/>
  <c r="AC178" i="49"/>
  <c r="AB178" i="49"/>
  <c r="AA178" i="49"/>
  <c r="Z178" i="49"/>
  <c r="Y178" i="49"/>
  <c r="X178" i="49"/>
  <c r="W178" i="49"/>
  <c r="V178" i="49"/>
  <c r="AO177" i="49"/>
  <c r="AN177" i="49"/>
  <c r="AM177" i="49"/>
  <c r="AL177" i="49"/>
  <c r="AK177" i="49"/>
  <c r="AJ177" i="49"/>
  <c r="AI177" i="49"/>
  <c r="AH177" i="49"/>
  <c r="AG177" i="49"/>
  <c r="AF177" i="49"/>
  <c r="AE177" i="49"/>
  <c r="AD177" i="49"/>
  <c r="AC177" i="49"/>
  <c r="AB177" i="49"/>
  <c r="AA177" i="49"/>
  <c r="Z177" i="49"/>
  <c r="Y177" i="49"/>
  <c r="X177" i="49"/>
  <c r="W177" i="49"/>
  <c r="V177" i="49"/>
  <c r="AO176" i="49"/>
  <c r="AN176" i="49"/>
  <c r="AM176" i="49"/>
  <c r="AL176" i="49"/>
  <c r="AK176" i="49"/>
  <c r="AJ176" i="49"/>
  <c r="AI176" i="49"/>
  <c r="AH176" i="49"/>
  <c r="AG176" i="49"/>
  <c r="AF176" i="49"/>
  <c r="AE176" i="49"/>
  <c r="AD176" i="49"/>
  <c r="AC176" i="49"/>
  <c r="AB176" i="49"/>
  <c r="AA176" i="49"/>
  <c r="Z176" i="49"/>
  <c r="Y176" i="49"/>
  <c r="X176" i="49"/>
  <c r="V176" i="49"/>
  <c r="AO175" i="49"/>
  <c r="AN175" i="49"/>
  <c r="AM175" i="49"/>
  <c r="AL175" i="49"/>
  <c r="AK175" i="49"/>
  <c r="AJ175" i="49"/>
  <c r="AI175" i="49"/>
  <c r="AH175" i="49"/>
  <c r="AG175" i="49"/>
  <c r="AF175" i="49"/>
  <c r="AE175" i="49"/>
  <c r="AD175" i="49"/>
  <c r="AC175" i="49"/>
  <c r="AB175" i="49"/>
  <c r="AA175" i="49"/>
  <c r="Z175" i="49"/>
  <c r="Y175" i="49"/>
  <c r="X175" i="49"/>
  <c r="V175" i="49"/>
  <c r="AO174" i="49"/>
  <c r="AN174" i="49"/>
  <c r="AM174" i="49"/>
  <c r="AL174" i="49"/>
  <c r="AK174" i="49"/>
  <c r="AJ174" i="49"/>
  <c r="AI174" i="49"/>
  <c r="AH174" i="49"/>
  <c r="AG174" i="49"/>
  <c r="AF174" i="49"/>
  <c r="AE174" i="49"/>
  <c r="AD174" i="49"/>
  <c r="AC174" i="49"/>
  <c r="AB174" i="49"/>
  <c r="AA174" i="49"/>
  <c r="Z174" i="49"/>
  <c r="Y174" i="49"/>
  <c r="X174" i="49"/>
  <c r="V174" i="49"/>
  <c r="AO173" i="49"/>
  <c r="AN173" i="49"/>
  <c r="AM173" i="49"/>
  <c r="AL173" i="49"/>
  <c r="AK173" i="49"/>
  <c r="AJ173" i="49"/>
  <c r="AI173" i="49"/>
  <c r="AH173" i="49"/>
  <c r="AG173" i="49"/>
  <c r="AF173" i="49"/>
  <c r="AE173" i="49"/>
  <c r="AD173" i="49"/>
  <c r="AC173" i="49"/>
  <c r="AB173" i="49"/>
  <c r="AA173" i="49"/>
  <c r="Z173" i="49"/>
  <c r="Y173" i="49"/>
  <c r="X173" i="49"/>
  <c r="V173" i="49"/>
  <c r="AO172" i="49"/>
  <c r="AN172" i="49"/>
  <c r="AM172" i="49"/>
  <c r="AL172" i="49"/>
  <c r="AK172" i="49"/>
  <c r="AJ172" i="49"/>
  <c r="AI172" i="49"/>
  <c r="AH172" i="49"/>
  <c r="AG172" i="49"/>
  <c r="AF172" i="49"/>
  <c r="AE172" i="49"/>
  <c r="AD172" i="49"/>
  <c r="AC172" i="49"/>
  <c r="AB172" i="49"/>
  <c r="AA172" i="49"/>
  <c r="Z172" i="49"/>
  <c r="Y172" i="49"/>
  <c r="X172" i="49"/>
  <c r="W172" i="49"/>
  <c r="V172" i="49"/>
  <c r="AO171" i="49"/>
  <c r="AN171" i="49"/>
  <c r="AM171" i="49"/>
  <c r="AL171" i="49"/>
  <c r="AK171" i="49"/>
  <c r="AJ171" i="49"/>
  <c r="AI171" i="49"/>
  <c r="AH171" i="49"/>
  <c r="AG171" i="49"/>
  <c r="AF171" i="49"/>
  <c r="AE171" i="49"/>
  <c r="AD171" i="49"/>
  <c r="AC171" i="49"/>
  <c r="AB171" i="49"/>
  <c r="AA171" i="49"/>
  <c r="Z171" i="49"/>
  <c r="Y171" i="49"/>
  <c r="X171" i="49"/>
  <c r="V171" i="49"/>
  <c r="AO170" i="49"/>
  <c r="AN170" i="49"/>
  <c r="AM170" i="49"/>
  <c r="AL170" i="49"/>
  <c r="AK170" i="49"/>
  <c r="AJ170" i="49"/>
  <c r="AI170" i="49"/>
  <c r="AH170" i="49"/>
  <c r="AG170" i="49"/>
  <c r="AF170" i="49"/>
  <c r="AE170" i="49"/>
  <c r="AD170" i="49"/>
  <c r="AC170" i="49"/>
  <c r="AB170" i="49"/>
  <c r="AA170" i="49"/>
  <c r="Z170" i="49"/>
  <c r="Y170" i="49"/>
  <c r="X170" i="49"/>
  <c r="V170" i="49"/>
  <c r="AO169" i="49"/>
  <c r="AN169" i="49"/>
  <c r="AM169" i="49"/>
  <c r="AL169" i="49"/>
  <c r="AK169" i="49"/>
  <c r="AJ169" i="49"/>
  <c r="AI169" i="49"/>
  <c r="AH169" i="49"/>
  <c r="AG169" i="49"/>
  <c r="AF169" i="49"/>
  <c r="AE169" i="49"/>
  <c r="AD169" i="49"/>
  <c r="AC169" i="49"/>
  <c r="AB169" i="49"/>
  <c r="AA169" i="49"/>
  <c r="Z169" i="49"/>
  <c r="Y169" i="49"/>
  <c r="X169" i="49"/>
  <c r="W169" i="49"/>
  <c r="V169" i="49"/>
  <c r="AO168" i="49"/>
  <c r="AN168" i="49"/>
  <c r="AM168" i="49"/>
  <c r="AL168" i="49"/>
  <c r="AK168" i="49"/>
  <c r="AJ168" i="49"/>
  <c r="AI168" i="49"/>
  <c r="AH168" i="49"/>
  <c r="AG168" i="49"/>
  <c r="AF168" i="49"/>
  <c r="AE168" i="49"/>
  <c r="AD168" i="49"/>
  <c r="AC168" i="49"/>
  <c r="AC95" i="49" s="1"/>
  <c r="AB168" i="49"/>
  <c r="AB95" i="49" s="1"/>
  <c r="AA168" i="49"/>
  <c r="AA95" i="49" s="1"/>
  <c r="Z168" i="49"/>
  <c r="Y168" i="49"/>
  <c r="X168" i="49"/>
  <c r="W168" i="49"/>
  <c r="W95" i="49" s="1"/>
  <c r="V168" i="49"/>
  <c r="V95" i="49" s="1"/>
  <c r="AO167" i="49"/>
  <c r="AN167" i="49"/>
  <c r="AM167" i="49"/>
  <c r="AL167" i="49"/>
  <c r="X94" i="49" s="1"/>
  <c r="AK167" i="49"/>
  <c r="AJ167" i="49"/>
  <c r="AI167" i="49"/>
  <c r="AH167" i="49"/>
  <c r="AG167" i="49"/>
  <c r="AF167" i="49"/>
  <c r="AE167" i="49"/>
  <c r="AD167" i="49"/>
  <c r="AD94" i="49" s="1"/>
  <c r="AC167" i="49"/>
  <c r="AC94" i="49" s="1"/>
  <c r="AB167" i="49"/>
  <c r="AA167" i="49"/>
  <c r="Z167" i="49"/>
  <c r="Z94" i="49" s="1"/>
  <c r="Y167" i="49"/>
  <c r="X167" i="49"/>
  <c r="W167" i="49"/>
  <c r="W94" i="49" s="1"/>
  <c r="V167" i="49"/>
  <c r="AO166" i="49"/>
  <c r="AN166" i="49"/>
  <c r="AM166" i="49"/>
  <c r="AL166" i="49"/>
  <c r="X93" i="49" s="1"/>
  <c r="AK166" i="49"/>
  <c r="AJ166" i="49"/>
  <c r="AI166" i="49"/>
  <c r="AH166" i="49"/>
  <c r="AG166" i="49"/>
  <c r="AF166" i="49"/>
  <c r="AE166" i="49"/>
  <c r="AD166" i="49"/>
  <c r="AC166" i="49"/>
  <c r="AB166" i="49"/>
  <c r="AA166" i="49"/>
  <c r="Z166" i="49"/>
  <c r="Z93" i="49" s="1"/>
  <c r="Y166" i="49"/>
  <c r="Y93" i="49" s="1"/>
  <c r="X166" i="49"/>
  <c r="W166" i="49"/>
  <c r="V166" i="49"/>
  <c r="AO165" i="49"/>
  <c r="AN165" i="49"/>
  <c r="AM165" i="49"/>
  <c r="AL165" i="49"/>
  <c r="AK165" i="49"/>
  <c r="AJ165" i="49"/>
  <c r="AI165" i="49"/>
  <c r="AH165" i="49"/>
  <c r="AG165" i="49"/>
  <c r="AF165" i="49"/>
  <c r="AE165" i="49"/>
  <c r="AD165" i="49"/>
  <c r="AD92" i="49" s="1"/>
  <c r="AC165" i="49"/>
  <c r="AB165" i="49"/>
  <c r="AB92" i="49" s="1"/>
  <c r="AA165" i="49"/>
  <c r="AA92" i="49" s="1"/>
  <c r="Z165" i="49"/>
  <c r="Y165" i="49"/>
  <c r="X165" i="49"/>
  <c r="W165" i="49"/>
  <c r="V165" i="49"/>
  <c r="V92" i="49" s="1"/>
  <c r="AO164" i="49"/>
  <c r="AN164" i="49"/>
  <c r="AM164" i="49"/>
  <c r="AL164" i="49"/>
  <c r="X91" i="49" s="1"/>
  <c r="AK164" i="49"/>
  <c r="AJ164" i="49"/>
  <c r="AI164" i="49"/>
  <c r="AH164" i="49"/>
  <c r="AG164" i="49"/>
  <c r="AF164" i="49"/>
  <c r="AE164" i="49"/>
  <c r="AD164" i="49"/>
  <c r="AD91" i="49" s="1"/>
  <c r="AC164" i="49"/>
  <c r="AC91" i="49" s="1"/>
  <c r="AB164" i="49"/>
  <c r="AA164" i="49"/>
  <c r="Z164" i="49"/>
  <c r="Y164" i="49"/>
  <c r="X164" i="49"/>
  <c r="W164" i="49"/>
  <c r="W91" i="49" s="1"/>
  <c r="V164" i="49"/>
  <c r="AO163" i="49"/>
  <c r="AN163" i="49"/>
  <c r="AM163" i="49"/>
  <c r="AL163" i="49"/>
  <c r="X90" i="49" s="1"/>
  <c r="AK163" i="49"/>
  <c r="AJ163" i="49"/>
  <c r="AI163" i="49"/>
  <c r="AH163" i="49"/>
  <c r="AG163" i="49"/>
  <c r="AF163" i="49"/>
  <c r="AE163" i="49"/>
  <c r="AD163" i="49"/>
  <c r="AC163" i="49"/>
  <c r="AB163" i="49"/>
  <c r="AA163" i="49"/>
  <c r="Z163" i="49"/>
  <c r="Z90" i="49" s="1"/>
  <c r="Y163" i="49"/>
  <c r="Y90" i="49" s="1"/>
  <c r="X163" i="49"/>
  <c r="W163" i="49"/>
  <c r="V163" i="49"/>
  <c r="AO162" i="49"/>
  <c r="AN162" i="49"/>
  <c r="AM162" i="49"/>
  <c r="AL162" i="49"/>
  <c r="AK162" i="49"/>
  <c r="AJ162" i="49"/>
  <c r="AI162" i="49"/>
  <c r="AH162" i="49"/>
  <c r="AG162" i="49"/>
  <c r="AF162" i="49"/>
  <c r="AE162" i="49"/>
  <c r="AD162" i="49"/>
  <c r="AD89" i="49" s="1"/>
  <c r="AC162" i="49"/>
  <c r="AB162" i="49"/>
  <c r="AB89" i="49" s="1"/>
  <c r="AA162" i="49"/>
  <c r="AA89" i="49" s="1"/>
  <c r="Z162" i="49"/>
  <c r="Y162" i="49"/>
  <c r="X162" i="49"/>
  <c r="W162" i="49"/>
  <c r="V162" i="49"/>
  <c r="V89" i="49" s="1"/>
  <c r="AO161" i="49"/>
  <c r="AN161" i="49"/>
  <c r="AM161" i="49"/>
  <c r="AL161" i="49"/>
  <c r="X88" i="49" s="1"/>
  <c r="AK161" i="49"/>
  <c r="AJ161" i="49"/>
  <c r="AI161" i="49"/>
  <c r="AH161" i="49"/>
  <c r="AG161" i="49"/>
  <c r="AF161" i="49"/>
  <c r="AE161" i="49"/>
  <c r="AD161" i="49"/>
  <c r="AD88" i="49" s="1"/>
  <c r="AC161" i="49"/>
  <c r="AC88" i="49" s="1"/>
  <c r="AB161" i="49"/>
  <c r="AA161" i="49"/>
  <c r="Z161" i="49"/>
  <c r="Z88" i="49" s="1"/>
  <c r="Y161" i="49"/>
  <c r="X161" i="49"/>
  <c r="W161" i="49"/>
  <c r="W88" i="49" s="1"/>
  <c r="V161" i="49"/>
  <c r="AO160" i="49"/>
  <c r="AN160" i="49"/>
  <c r="AM160" i="49"/>
  <c r="AL160" i="49"/>
  <c r="X87" i="49" s="1"/>
  <c r="AK160" i="49"/>
  <c r="AJ160" i="49"/>
  <c r="AI160" i="49"/>
  <c r="AH160" i="49"/>
  <c r="AG160" i="49"/>
  <c r="AF160" i="49"/>
  <c r="AE160" i="49"/>
  <c r="AD160" i="49"/>
  <c r="AC160" i="49"/>
  <c r="AB160" i="49"/>
  <c r="AB87" i="49" s="1"/>
  <c r="AA160" i="49"/>
  <c r="Z160" i="49"/>
  <c r="Z87" i="49" s="1"/>
  <c r="Y160" i="49"/>
  <c r="Y87" i="49" s="1"/>
  <c r="X160" i="49"/>
  <c r="V160" i="49"/>
  <c r="V87" i="49" s="1"/>
  <c r="AO159" i="49"/>
  <c r="AN159" i="49"/>
  <c r="AM159" i="49"/>
  <c r="AL159" i="49"/>
  <c r="AK159" i="49"/>
  <c r="AJ159" i="49"/>
  <c r="AI159" i="49"/>
  <c r="AH159" i="49"/>
  <c r="AG159" i="49"/>
  <c r="AF159" i="49"/>
  <c r="AE159" i="49"/>
  <c r="AD159" i="49"/>
  <c r="AC159" i="49"/>
  <c r="AB159" i="49"/>
  <c r="AA159" i="49"/>
  <c r="Z159" i="49"/>
  <c r="Y159" i="49"/>
  <c r="X159" i="49"/>
  <c r="W159" i="49"/>
  <c r="V159" i="49"/>
  <c r="AO158" i="49"/>
  <c r="AN158" i="49"/>
  <c r="AM158" i="49"/>
  <c r="AL158" i="49"/>
  <c r="AK158" i="49"/>
  <c r="AJ158" i="49"/>
  <c r="AI158" i="49"/>
  <c r="AH158" i="49"/>
  <c r="AG158" i="49"/>
  <c r="AF158" i="49"/>
  <c r="AE158" i="49"/>
  <c r="AD158" i="49"/>
  <c r="AC158" i="49"/>
  <c r="AB158" i="49"/>
  <c r="AA158" i="49"/>
  <c r="Z158" i="49"/>
  <c r="Y158" i="49"/>
  <c r="X158" i="49"/>
  <c r="W158" i="49"/>
  <c r="V158" i="49"/>
  <c r="AO157" i="49"/>
  <c r="AN157" i="49"/>
  <c r="AM157" i="49"/>
  <c r="AL157" i="49"/>
  <c r="AK157" i="49"/>
  <c r="AJ157" i="49"/>
  <c r="AI157" i="49"/>
  <c r="AH157" i="49"/>
  <c r="AG157" i="49"/>
  <c r="AF157" i="49"/>
  <c r="AE157" i="49"/>
  <c r="AD157" i="49"/>
  <c r="AC157" i="49"/>
  <c r="AB157" i="49"/>
  <c r="AA157" i="49"/>
  <c r="Z157" i="49"/>
  <c r="Y157" i="49"/>
  <c r="X157" i="49"/>
  <c r="W157" i="49"/>
  <c r="V157" i="49"/>
  <c r="AO156" i="49"/>
  <c r="AN156" i="49"/>
  <c r="AM156" i="49"/>
  <c r="AL156" i="49"/>
  <c r="AK156" i="49"/>
  <c r="AJ156" i="49"/>
  <c r="AI156" i="49"/>
  <c r="AH156" i="49"/>
  <c r="AG156" i="49"/>
  <c r="AF156" i="49"/>
  <c r="AE156" i="49"/>
  <c r="AD156" i="49"/>
  <c r="AC156" i="49"/>
  <c r="AB156" i="49"/>
  <c r="AA156" i="49"/>
  <c r="Z156" i="49"/>
  <c r="Y156" i="49"/>
  <c r="X156" i="49"/>
  <c r="W156" i="49"/>
  <c r="V156" i="49"/>
  <c r="AO155" i="49"/>
  <c r="AN155" i="49"/>
  <c r="AM155" i="49"/>
  <c r="AL155" i="49"/>
  <c r="AK155" i="49"/>
  <c r="AJ155" i="49"/>
  <c r="AI155" i="49"/>
  <c r="AH155" i="49"/>
  <c r="AG155" i="49"/>
  <c r="AF155" i="49"/>
  <c r="AE155" i="49"/>
  <c r="AD155" i="49"/>
  <c r="AC155" i="49"/>
  <c r="AB155" i="49"/>
  <c r="AA155" i="49"/>
  <c r="Z155" i="49"/>
  <c r="Y155" i="49"/>
  <c r="X155" i="49"/>
  <c r="W155" i="49"/>
  <c r="V155" i="49"/>
  <c r="AO154" i="49"/>
  <c r="AN154" i="49"/>
  <c r="AM154" i="49"/>
  <c r="AL154" i="49"/>
  <c r="AK154" i="49"/>
  <c r="AJ154" i="49"/>
  <c r="AI154" i="49"/>
  <c r="AH154" i="49"/>
  <c r="AG154" i="49"/>
  <c r="AF154" i="49"/>
  <c r="AE154" i="49"/>
  <c r="AD154" i="49"/>
  <c r="AC154" i="49"/>
  <c r="AB154" i="49"/>
  <c r="AA154" i="49"/>
  <c r="Z154" i="49"/>
  <c r="Y154" i="49"/>
  <c r="X154" i="49"/>
  <c r="W154" i="49"/>
  <c r="V154" i="49"/>
  <c r="AO153" i="49"/>
  <c r="AN153" i="49"/>
  <c r="AM153" i="49"/>
  <c r="AL153" i="49"/>
  <c r="AK153" i="49"/>
  <c r="AJ153" i="49"/>
  <c r="AI153" i="49"/>
  <c r="AH153" i="49"/>
  <c r="AG153" i="49"/>
  <c r="AF153" i="49"/>
  <c r="AE153" i="49"/>
  <c r="AD153" i="49"/>
  <c r="AC153" i="49"/>
  <c r="AB153" i="49"/>
  <c r="AA153" i="49"/>
  <c r="Z153" i="49"/>
  <c r="Y153" i="49"/>
  <c r="X153" i="49"/>
  <c r="W153" i="49"/>
  <c r="V153" i="49"/>
  <c r="AO152" i="49"/>
  <c r="AN152" i="49"/>
  <c r="AM152" i="49"/>
  <c r="AL152" i="49"/>
  <c r="AK152" i="49"/>
  <c r="AJ152" i="49"/>
  <c r="AI152" i="49"/>
  <c r="AH152" i="49"/>
  <c r="AG152" i="49"/>
  <c r="AF152" i="49"/>
  <c r="AE152" i="49"/>
  <c r="AD152" i="49"/>
  <c r="AC152" i="49"/>
  <c r="AB152" i="49"/>
  <c r="AA152" i="49"/>
  <c r="Z152" i="49"/>
  <c r="Y152" i="49"/>
  <c r="X152" i="49"/>
  <c r="W152" i="49"/>
  <c r="V152" i="49"/>
  <c r="AO151" i="49"/>
  <c r="AN151" i="49"/>
  <c r="AM151" i="49"/>
  <c r="AL151" i="49"/>
  <c r="AK151" i="49"/>
  <c r="AJ151" i="49"/>
  <c r="AI151" i="49"/>
  <c r="AH151" i="49"/>
  <c r="AG151" i="49"/>
  <c r="AF151" i="49"/>
  <c r="AE151" i="49"/>
  <c r="AD151" i="49"/>
  <c r="AC151" i="49"/>
  <c r="AB151" i="49"/>
  <c r="AA151" i="49"/>
  <c r="Z151" i="49"/>
  <c r="Y151" i="49"/>
  <c r="X151" i="49"/>
  <c r="W151" i="49"/>
  <c r="V151" i="49"/>
  <c r="AO150" i="49"/>
  <c r="AN150" i="49"/>
  <c r="AM150" i="49"/>
  <c r="AL150" i="49"/>
  <c r="AK150" i="49"/>
  <c r="AJ150" i="49"/>
  <c r="AI150" i="49"/>
  <c r="AH150" i="49"/>
  <c r="AG150" i="49"/>
  <c r="AF150" i="49"/>
  <c r="AE150" i="49"/>
  <c r="AD150" i="49"/>
  <c r="AC150" i="49"/>
  <c r="AB150" i="49"/>
  <c r="AA150" i="49"/>
  <c r="Z150" i="49"/>
  <c r="Y150" i="49"/>
  <c r="X150" i="49"/>
  <c r="W150" i="49"/>
  <c r="V150" i="49"/>
  <c r="AO149" i="49"/>
  <c r="AN149" i="49"/>
  <c r="AM149" i="49"/>
  <c r="AL149" i="49"/>
  <c r="AK149" i="49"/>
  <c r="AJ149" i="49"/>
  <c r="AI149" i="49"/>
  <c r="AH149" i="49"/>
  <c r="AG149" i="49"/>
  <c r="AF149" i="49"/>
  <c r="AE149" i="49"/>
  <c r="AD149" i="49"/>
  <c r="AC149" i="49"/>
  <c r="AB149" i="49"/>
  <c r="AA149" i="49"/>
  <c r="Z149" i="49"/>
  <c r="Y149" i="49"/>
  <c r="X149" i="49"/>
  <c r="V149" i="49"/>
  <c r="AO148" i="49"/>
  <c r="AN148" i="49"/>
  <c r="AM148" i="49"/>
  <c r="AL148" i="49"/>
  <c r="AK148" i="49"/>
  <c r="AJ148" i="49"/>
  <c r="AI148" i="49"/>
  <c r="AH148" i="49"/>
  <c r="AG148" i="49"/>
  <c r="AF148" i="49"/>
  <c r="AE148" i="49"/>
  <c r="AD148" i="49"/>
  <c r="AC148" i="49"/>
  <c r="AB148" i="49"/>
  <c r="AA148" i="49"/>
  <c r="Z148" i="49"/>
  <c r="Y148" i="49"/>
  <c r="X148" i="49"/>
  <c r="V148" i="49"/>
  <c r="AO147" i="49"/>
  <c r="AN147" i="49"/>
  <c r="AM147" i="49"/>
  <c r="AL147" i="49"/>
  <c r="AK147" i="49"/>
  <c r="AJ147" i="49"/>
  <c r="AI147" i="49"/>
  <c r="AH147" i="49"/>
  <c r="AG147" i="49"/>
  <c r="AF147" i="49"/>
  <c r="AE147" i="49"/>
  <c r="AD147" i="49"/>
  <c r="AC147" i="49"/>
  <c r="AB147" i="49"/>
  <c r="AA147" i="49"/>
  <c r="Z147" i="49"/>
  <c r="Y147" i="49"/>
  <c r="X147" i="49"/>
  <c r="V147" i="49"/>
  <c r="AO146" i="49"/>
  <c r="AN146" i="49"/>
  <c r="AM146" i="49"/>
  <c r="AL146" i="49"/>
  <c r="AK146" i="49"/>
  <c r="AJ146" i="49"/>
  <c r="AI146" i="49"/>
  <c r="AH146" i="49"/>
  <c r="AG146" i="49"/>
  <c r="AF146" i="49"/>
  <c r="AE146" i="49"/>
  <c r="AD146" i="49"/>
  <c r="AC146" i="49"/>
  <c r="AB146" i="49"/>
  <c r="AA146" i="49"/>
  <c r="Z146" i="49"/>
  <c r="Y146" i="49"/>
  <c r="X146" i="49"/>
  <c r="V146" i="49"/>
  <c r="AO145" i="49"/>
  <c r="AN145" i="49"/>
  <c r="AM145" i="49"/>
  <c r="AL145" i="49"/>
  <c r="AK145" i="49"/>
  <c r="AJ145" i="49"/>
  <c r="AI145" i="49"/>
  <c r="AH145" i="49"/>
  <c r="AG145" i="49"/>
  <c r="AF145" i="49"/>
  <c r="AE145" i="49"/>
  <c r="AD145" i="49"/>
  <c r="AC145" i="49"/>
  <c r="AB145" i="49"/>
  <c r="AA145" i="49"/>
  <c r="Z145" i="49"/>
  <c r="Y145" i="49"/>
  <c r="X145" i="49"/>
  <c r="W145" i="49"/>
  <c r="V145" i="49"/>
  <c r="AO144" i="49"/>
  <c r="AN144" i="49"/>
  <c r="AM144" i="49"/>
  <c r="AL144" i="49"/>
  <c r="AK144" i="49"/>
  <c r="AJ144" i="49"/>
  <c r="AI144" i="49"/>
  <c r="AH144" i="49"/>
  <c r="AG144" i="49"/>
  <c r="AF144" i="49"/>
  <c r="AE144" i="49"/>
  <c r="AD144" i="49"/>
  <c r="AC144" i="49"/>
  <c r="AB144" i="49"/>
  <c r="AA144" i="49"/>
  <c r="Z144" i="49"/>
  <c r="Y144" i="49"/>
  <c r="X144" i="49"/>
  <c r="W144" i="49"/>
  <c r="V144" i="49"/>
  <c r="AO143" i="49"/>
  <c r="AN143" i="49"/>
  <c r="AM143" i="49"/>
  <c r="AL143" i="49"/>
  <c r="AK143" i="49"/>
  <c r="AJ143" i="49"/>
  <c r="AI143" i="49"/>
  <c r="AH143" i="49"/>
  <c r="AG143" i="49"/>
  <c r="AF143" i="49"/>
  <c r="AE143" i="49"/>
  <c r="AD143" i="49"/>
  <c r="AC143" i="49"/>
  <c r="AB143" i="49"/>
  <c r="AA143" i="49"/>
  <c r="Z143" i="49"/>
  <c r="Y143" i="49"/>
  <c r="X143" i="49"/>
  <c r="W143" i="49"/>
  <c r="V143" i="49"/>
  <c r="Q143" i="49"/>
  <c r="AO142" i="49"/>
  <c r="AN142" i="49"/>
  <c r="AM142" i="49"/>
  <c r="AL142" i="49"/>
  <c r="AK142" i="49"/>
  <c r="AJ142" i="49"/>
  <c r="AI142" i="49"/>
  <c r="AH142" i="49"/>
  <c r="AG142" i="49"/>
  <c r="AF142" i="49"/>
  <c r="AE142" i="49"/>
  <c r="AD142" i="49"/>
  <c r="AC142" i="49"/>
  <c r="AB142" i="49"/>
  <c r="AA142" i="49"/>
  <c r="Z142" i="49"/>
  <c r="Y142" i="49"/>
  <c r="X142" i="49"/>
  <c r="W142" i="49"/>
  <c r="V142" i="49"/>
  <c r="Q142" i="49"/>
  <c r="AO141" i="49"/>
  <c r="AN141" i="49"/>
  <c r="AM141" i="49"/>
  <c r="AL141" i="49"/>
  <c r="AK141" i="49"/>
  <c r="AJ141" i="49"/>
  <c r="AI141" i="49"/>
  <c r="AH141" i="49"/>
  <c r="AG141" i="49"/>
  <c r="AF141" i="49"/>
  <c r="AE141" i="49"/>
  <c r="AD141" i="49"/>
  <c r="AC141" i="49"/>
  <c r="AB141" i="49"/>
  <c r="AA141" i="49"/>
  <c r="Z141" i="49"/>
  <c r="Y141" i="49"/>
  <c r="X141" i="49"/>
  <c r="W141" i="49"/>
  <c r="V141" i="49"/>
  <c r="Q141" i="49"/>
  <c r="AO140" i="49"/>
  <c r="AN140" i="49"/>
  <c r="AM140" i="49"/>
  <c r="AL140" i="49"/>
  <c r="AK140" i="49"/>
  <c r="AJ140" i="49"/>
  <c r="AI140" i="49"/>
  <c r="AH140" i="49"/>
  <c r="AG140" i="49"/>
  <c r="AF140" i="49"/>
  <c r="AE140" i="49"/>
  <c r="AD140" i="49"/>
  <c r="AC140" i="49"/>
  <c r="AB140" i="49"/>
  <c r="AA140" i="49"/>
  <c r="Z140" i="49"/>
  <c r="Y140" i="49"/>
  <c r="X140" i="49"/>
  <c r="W140" i="49"/>
  <c r="V140" i="49"/>
  <c r="Q140" i="49"/>
  <c r="AO139" i="49"/>
  <c r="AN139" i="49"/>
  <c r="AM139" i="49"/>
  <c r="AL139" i="49"/>
  <c r="AK139" i="49"/>
  <c r="AJ139" i="49"/>
  <c r="AI139" i="49"/>
  <c r="AH139" i="49"/>
  <c r="AG139" i="49"/>
  <c r="AF139" i="49"/>
  <c r="AE139" i="49"/>
  <c r="AD139" i="49"/>
  <c r="AC139" i="49"/>
  <c r="AB139" i="49"/>
  <c r="AA139" i="49"/>
  <c r="Z139" i="49"/>
  <c r="Y139" i="49"/>
  <c r="X139" i="49"/>
  <c r="W139" i="49"/>
  <c r="V139" i="49"/>
  <c r="Q139" i="49"/>
  <c r="AO138" i="49"/>
  <c r="AN138" i="49"/>
  <c r="AM138" i="49"/>
  <c r="AL138" i="49"/>
  <c r="AK138" i="49"/>
  <c r="AJ138" i="49"/>
  <c r="AI138" i="49"/>
  <c r="AH138" i="49"/>
  <c r="AG138" i="49"/>
  <c r="AF138" i="49"/>
  <c r="AE138" i="49"/>
  <c r="AD138" i="49"/>
  <c r="AC138" i="49"/>
  <c r="AB138" i="49"/>
  <c r="AA138" i="49"/>
  <c r="Z138" i="49"/>
  <c r="Y138" i="49"/>
  <c r="X138" i="49"/>
  <c r="W138" i="49"/>
  <c r="V138" i="49"/>
  <c r="Q138" i="49"/>
  <c r="AO137" i="49"/>
  <c r="AN137" i="49"/>
  <c r="AM137" i="49"/>
  <c r="AL137" i="49"/>
  <c r="AK137" i="49"/>
  <c r="AJ137" i="49"/>
  <c r="AI137" i="49"/>
  <c r="AH137" i="49"/>
  <c r="AG137" i="49"/>
  <c r="AF137" i="49"/>
  <c r="AE137" i="49"/>
  <c r="AD137" i="49"/>
  <c r="AC137" i="49"/>
  <c r="AB137" i="49"/>
  <c r="AA137" i="49"/>
  <c r="Z137" i="49"/>
  <c r="Y137" i="49"/>
  <c r="X137" i="49"/>
  <c r="W137" i="49"/>
  <c r="V137" i="49"/>
  <c r="Q137" i="49"/>
  <c r="AO136" i="49"/>
  <c r="AN136" i="49"/>
  <c r="AM136" i="49"/>
  <c r="AL136" i="49"/>
  <c r="AK136" i="49"/>
  <c r="AJ136" i="49"/>
  <c r="AI136" i="49"/>
  <c r="AH136" i="49"/>
  <c r="AG136" i="49"/>
  <c r="AF136" i="49"/>
  <c r="AE136" i="49"/>
  <c r="AD136" i="49"/>
  <c r="AC136" i="49"/>
  <c r="AB136" i="49"/>
  <c r="AA136" i="49"/>
  <c r="Z136" i="49"/>
  <c r="Y136" i="49"/>
  <c r="X136" i="49"/>
  <c r="W136" i="49"/>
  <c r="V136" i="49"/>
  <c r="Q136" i="49"/>
  <c r="AO135" i="49"/>
  <c r="AN135" i="49"/>
  <c r="AM135" i="49"/>
  <c r="AL135" i="49"/>
  <c r="AK135" i="49"/>
  <c r="AJ135" i="49"/>
  <c r="AI135" i="49"/>
  <c r="AH135" i="49"/>
  <c r="AG135" i="49"/>
  <c r="AF135" i="49"/>
  <c r="AE135" i="49"/>
  <c r="AD135" i="49"/>
  <c r="AC135" i="49"/>
  <c r="AB135" i="49"/>
  <c r="AA135" i="49"/>
  <c r="Z135" i="49"/>
  <c r="Y135" i="49"/>
  <c r="X135" i="49"/>
  <c r="W135" i="49"/>
  <c r="V135" i="49"/>
  <c r="Q135" i="49"/>
  <c r="AO134" i="49"/>
  <c r="AN134" i="49"/>
  <c r="AM134" i="49"/>
  <c r="AL134" i="49"/>
  <c r="AK134" i="49"/>
  <c r="AJ134" i="49"/>
  <c r="AI134" i="49"/>
  <c r="AH134" i="49"/>
  <c r="AG134" i="49"/>
  <c r="AF134" i="49"/>
  <c r="AE134" i="49"/>
  <c r="AD134" i="49"/>
  <c r="AC134" i="49"/>
  <c r="AB134" i="49"/>
  <c r="AA134" i="49"/>
  <c r="Z134" i="49"/>
  <c r="Y134" i="49"/>
  <c r="X134" i="49"/>
  <c r="W134" i="49"/>
  <c r="V134" i="49"/>
  <c r="Q134" i="49"/>
  <c r="AO133" i="49"/>
  <c r="AN133" i="49"/>
  <c r="AM133" i="49"/>
  <c r="AL133" i="49"/>
  <c r="AK133" i="49"/>
  <c r="AJ133" i="49"/>
  <c r="AI133" i="49"/>
  <c r="AH133" i="49"/>
  <c r="AG133" i="49"/>
  <c r="AF133" i="49"/>
  <c r="AE133" i="49"/>
  <c r="AD133" i="49"/>
  <c r="AC133" i="49"/>
  <c r="AB133" i="49"/>
  <c r="AA133" i="49"/>
  <c r="Z133" i="49"/>
  <c r="Y133" i="49"/>
  <c r="X133" i="49"/>
  <c r="W133" i="49"/>
  <c r="V133" i="49"/>
  <c r="Q133" i="49"/>
  <c r="AO132" i="49"/>
  <c r="AN132" i="49"/>
  <c r="AM132" i="49"/>
  <c r="AL132" i="49"/>
  <c r="AK132" i="49"/>
  <c r="AJ132" i="49"/>
  <c r="AI132" i="49"/>
  <c r="AH132" i="49"/>
  <c r="AG132" i="49"/>
  <c r="AF132" i="49"/>
  <c r="AE132" i="49"/>
  <c r="AD132" i="49"/>
  <c r="AC132" i="49"/>
  <c r="AB132" i="49"/>
  <c r="AA132" i="49"/>
  <c r="Z132" i="49"/>
  <c r="Y132" i="49"/>
  <c r="X132" i="49"/>
  <c r="W132" i="49"/>
  <c r="V132" i="49"/>
  <c r="Q132" i="49"/>
  <c r="AO131" i="49"/>
  <c r="AN131" i="49"/>
  <c r="AM131" i="49"/>
  <c r="AL131" i="49"/>
  <c r="AK131" i="49"/>
  <c r="AJ131" i="49"/>
  <c r="AI131" i="49"/>
  <c r="AH131" i="49"/>
  <c r="AG131" i="49"/>
  <c r="AF131" i="49"/>
  <c r="AE131" i="49"/>
  <c r="AD131" i="49"/>
  <c r="AC131" i="49"/>
  <c r="AB131" i="49"/>
  <c r="AA131" i="49"/>
  <c r="Z131" i="49"/>
  <c r="Y131" i="49"/>
  <c r="X131" i="49"/>
  <c r="W131" i="49"/>
  <c r="V131" i="49"/>
  <c r="Q131" i="49"/>
  <c r="AO130" i="49"/>
  <c r="AN130" i="49"/>
  <c r="AM130" i="49"/>
  <c r="AL130" i="49"/>
  <c r="AK130" i="49"/>
  <c r="AJ130" i="49"/>
  <c r="AI130" i="49"/>
  <c r="AH130" i="49"/>
  <c r="AG130" i="49"/>
  <c r="AF130" i="49"/>
  <c r="AE130" i="49"/>
  <c r="AD130" i="49"/>
  <c r="AC130" i="49"/>
  <c r="AB130" i="49"/>
  <c r="AA130" i="49"/>
  <c r="Z130" i="49"/>
  <c r="Y130" i="49"/>
  <c r="X130" i="49"/>
  <c r="W130" i="49"/>
  <c r="V130" i="49"/>
  <c r="Q130" i="49"/>
  <c r="AO129" i="49"/>
  <c r="AN129" i="49"/>
  <c r="AM129" i="49"/>
  <c r="AL129" i="49"/>
  <c r="AK129" i="49"/>
  <c r="AJ129" i="49"/>
  <c r="AI129" i="49"/>
  <c r="AH129" i="49"/>
  <c r="AG129" i="49"/>
  <c r="AF129" i="49"/>
  <c r="AE129" i="49"/>
  <c r="AD129" i="49"/>
  <c r="AC129" i="49"/>
  <c r="AB129" i="49"/>
  <c r="AA129" i="49"/>
  <c r="Z129" i="49"/>
  <c r="Y129" i="49"/>
  <c r="X129" i="49"/>
  <c r="W129" i="49"/>
  <c r="V129" i="49"/>
  <c r="Q129" i="49"/>
  <c r="AO128" i="49"/>
  <c r="AN128" i="49"/>
  <c r="AM128" i="49"/>
  <c r="AL128" i="49"/>
  <c r="AK128" i="49"/>
  <c r="AJ128" i="49"/>
  <c r="AI128" i="49"/>
  <c r="AH128" i="49"/>
  <c r="AG128" i="49"/>
  <c r="AF128" i="49"/>
  <c r="AE128" i="49"/>
  <c r="AD128" i="49"/>
  <c r="AC128" i="49"/>
  <c r="AB128" i="49"/>
  <c r="AA128" i="49"/>
  <c r="Z128" i="49"/>
  <c r="Y128" i="49"/>
  <c r="X128" i="49"/>
  <c r="V128" i="49"/>
  <c r="Q128" i="49"/>
  <c r="AO127" i="49"/>
  <c r="AN127" i="49"/>
  <c r="AM127" i="49"/>
  <c r="AL127" i="49"/>
  <c r="AK127" i="49"/>
  <c r="AJ127" i="49"/>
  <c r="AI127" i="49"/>
  <c r="AH127" i="49"/>
  <c r="AG127" i="49"/>
  <c r="AF127" i="49"/>
  <c r="AE127" i="49"/>
  <c r="AD127" i="49"/>
  <c r="AC127" i="49"/>
  <c r="AB127" i="49"/>
  <c r="AA127" i="49"/>
  <c r="Z127" i="49"/>
  <c r="Y127" i="49"/>
  <c r="X127" i="49"/>
  <c r="V127" i="49"/>
  <c r="Q127" i="49"/>
  <c r="AO126" i="49"/>
  <c r="AN126" i="49"/>
  <c r="AM126" i="49"/>
  <c r="AL126" i="49"/>
  <c r="AK126" i="49"/>
  <c r="AJ126" i="49"/>
  <c r="AI126" i="49"/>
  <c r="AH126" i="49"/>
  <c r="AG126" i="49"/>
  <c r="AF126" i="49"/>
  <c r="AE126" i="49"/>
  <c r="AD126" i="49"/>
  <c r="AC126" i="49"/>
  <c r="AB126" i="49"/>
  <c r="AA126" i="49"/>
  <c r="Z126" i="49"/>
  <c r="Y126" i="49"/>
  <c r="X126" i="49"/>
  <c r="V126" i="49"/>
  <c r="Q126" i="49"/>
  <c r="AO125" i="49"/>
  <c r="AN125" i="49"/>
  <c r="AM125" i="49"/>
  <c r="AL125" i="49"/>
  <c r="AK125" i="49"/>
  <c r="AJ125" i="49"/>
  <c r="AI125" i="49"/>
  <c r="AH125" i="49"/>
  <c r="AG125" i="49"/>
  <c r="AF125" i="49"/>
  <c r="AE125" i="49"/>
  <c r="AD125" i="49"/>
  <c r="AC125" i="49"/>
  <c r="AB125" i="49"/>
  <c r="AA125" i="49"/>
  <c r="Z125" i="49"/>
  <c r="Y125" i="49"/>
  <c r="X125" i="49"/>
  <c r="V125" i="49"/>
  <c r="Q125" i="49"/>
  <c r="AO124" i="49"/>
  <c r="AN124" i="49"/>
  <c r="AM124" i="49"/>
  <c r="AL124" i="49"/>
  <c r="AK124" i="49"/>
  <c r="AJ124" i="49"/>
  <c r="AI124" i="49"/>
  <c r="AH124" i="49"/>
  <c r="AG124" i="49"/>
  <c r="AF124" i="49"/>
  <c r="AE124" i="49"/>
  <c r="AD124" i="49"/>
  <c r="AC124" i="49"/>
  <c r="AB124" i="49"/>
  <c r="AA124" i="49"/>
  <c r="Z124" i="49"/>
  <c r="Y124" i="49"/>
  <c r="X124" i="49"/>
  <c r="V124" i="49"/>
  <c r="Q124" i="49"/>
  <c r="AO123" i="49"/>
  <c r="AN123" i="49"/>
  <c r="AM123" i="49"/>
  <c r="AL123" i="49"/>
  <c r="AK123" i="49"/>
  <c r="AJ123" i="49"/>
  <c r="AI123" i="49"/>
  <c r="AH123" i="49"/>
  <c r="AG123" i="49"/>
  <c r="AF123" i="49"/>
  <c r="AE123" i="49"/>
  <c r="AD123" i="49"/>
  <c r="AC123" i="49"/>
  <c r="AB123" i="49"/>
  <c r="AA123" i="49"/>
  <c r="Z123" i="49"/>
  <c r="Y123" i="49"/>
  <c r="X123" i="49"/>
  <c r="W123" i="49"/>
  <c r="V123" i="49"/>
  <c r="Q123" i="49"/>
  <c r="AO122" i="49"/>
  <c r="AN122" i="49"/>
  <c r="AM122" i="49"/>
  <c r="AL122" i="49"/>
  <c r="AK122" i="49"/>
  <c r="AJ122" i="49"/>
  <c r="AI122" i="49"/>
  <c r="AH122" i="49"/>
  <c r="AG122" i="49"/>
  <c r="AF122" i="49"/>
  <c r="AE122" i="49"/>
  <c r="AD122" i="49"/>
  <c r="AC122" i="49"/>
  <c r="AB122" i="49"/>
  <c r="AA122" i="49"/>
  <c r="Z122" i="49"/>
  <c r="Y122" i="49"/>
  <c r="X122" i="49"/>
  <c r="V122" i="49"/>
  <c r="Q122" i="49"/>
  <c r="AO121" i="49"/>
  <c r="AN121" i="49"/>
  <c r="AM121" i="49"/>
  <c r="AL121" i="49"/>
  <c r="AK121" i="49"/>
  <c r="AJ121" i="49"/>
  <c r="AI121" i="49"/>
  <c r="AH121" i="49"/>
  <c r="AG121" i="49"/>
  <c r="AF121" i="49"/>
  <c r="AE121" i="49"/>
  <c r="AD121" i="49"/>
  <c r="AC121" i="49"/>
  <c r="AB121" i="49"/>
  <c r="AA121" i="49"/>
  <c r="Z121" i="49"/>
  <c r="Y121" i="49"/>
  <c r="X121" i="49"/>
  <c r="V121" i="49"/>
  <c r="Q121" i="49"/>
  <c r="AO120" i="49"/>
  <c r="AN120" i="49"/>
  <c r="AM120" i="49"/>
  <c r="AL120" i="49"/>
  <c r="AK120" i="49"/>
  <c r="AJ120" i="49"/>
  <c r="AI120" i="49"/>
  <c r="AH120" i="49"/>
  <c r="AG120" i="49"/>
  <c r="AF120" i="49"/>
  <c r="AE120" i="49"/>
  <c r="AD120" i="49"/>
  <c r="AC120" i="49"/>
  <c r="AB120" i="49"/>
  <c r="AA120" i="49"/>
  <c r="Z120" i="49"/>
  <c r="Y120" i="49"/>
  <c r="X120" i="49"/>
  <c r="W120" i="49"/>
  <c r="V120" i="49"/>
  <c r="Q120" i="49"/>
  <c r="AO119" i="49"/>
  <c r="AN119" i="49"/>
  <c r="AM119" i="49"/>
  <c r="AL119" i="49"/>
  <c r="AK119" i="49"/>
  <c r="AJ119" i="49"/>
  <c r="AI119" i="49"/>
  <c r="AH119" i="49"/>
  <c r="AG119" i="49"/>
  <c r="AF119" i="49"/>
  <c r="AE119" i="49"/>
  <c r="AD119" i="49"/>
  <c r="AC119" i="49"/>
  <c r="AB119" i="49"/>
  <c r="AA119" i="49"/>
  <c r="Z119" i="49"/>
  <c r="Y119" i="49"/>
  <c r="X119" i="49"/>
  <c r="V119" i="49"/>
  <c r="Q119" i="49"/>
  <c r="AO118" i="49"/>
  <c r="AN118" i="49"/>
  <c r="AM118" i="49"/>
  <c r="AL118" i="49"/>
  <c r="AK118" i="49"/>
  <c r="AJ118" i="49"/>
  <c r="AI118" i="49"/>
  <c r="AH118" i="49"/>
  <c r="AG118" i="49"/>
  <c r="AF118" i="49"/>
  <c r="AE118" i="49"/>
  <c r="AD118" i="49"/>
  <c r="AC118" i="49"/>
  <c r="AB118" i="49"/>
  <c r="AA118" i="49"/>
  <c r="Z118" i="49"/>
  <c r="Y118" i="49"/>
  <c r="X118" i="49"/>
  <c r="V118" i="49"/>
  <c r="Q118" i="49"/>
  <c r="AO117" i="49"/>
  <c r="AN117" i="49"/>
  <c r="AM117" i="49"/>
  <c r="AL117" i="49"/>
  <c r="AK117" i="49"/>
  <c r="AJ117" i="49"/>
  <c r="AI117" i="49"/>
  <c r="AH117" i="49"/>
  <c r="AG117" i="49"/>
  <c r="AF117" i="49"/>
  <c r="AE117" i="49"/>
  <c r="AD117" i="49"/>
  <c r="AC117" i="49"/>
  <c r="AB117" i="49"/>
  <c r="AA117" i="49"/>
  <c r="Z117" i="49"/>
  <c r="Y117" i="49"/>
  <c r="X117" i="49"/>
  <c r="V117" i="49"/>
  <c r="Q117" i="49"/>
  <c r="AO116" i="49"/>
  <c r="AN116" i="49"/>
  <c r="AM116" i="49"/>
  <c r="AL116" i="49"/>
  <c r="AK116" i="49"/>
  <c r="AJ116" i="49"/>
  <c r="AI116" i="49"/>
  <c r="AH116" i="49"/>
  <c r="AG116" i="49"/>
  <c r="AF116" i="49"/>
  <c r="AE116" i="49"/>
  <c r="AD116" i="49"/>
  <c r="AC116" i="49"/>
  <c r="AB116" i="49"/>
  <c r="AA116" i="49"/>
  <c r="Z116" i="49"/>
  <c r="Y116" i="49"/>
  <c r="X116" i="49"/>
  <c r="V116" i="49"/>
  <c r="AO115" i="49"/>
  <c r="AN115" i="49"/>
  <c r="AM115" i="49"/>
  <c r="AL115" i="49"/>
  <c r="AK115" i="49"/>
  <c r="AJ115" i="49"/>
  <c r="AI115" i="49"/>
  <c r="AH115" i="49"/>
  <c r="AG115" i="49"/>
  <c r="AF115" i="49"/>
  <c r="AE115" i="49"/>
  <c r="AD115" i="49"/>
  <c r="AC115" i="49"/>
  <c r="AB115" i="49"/>
  <c r="AA115" i="49"/>
  <c r="Z115" i="49"/>
  <c r="Y115" i="49"/>
  <c r="X115" i="49"/>
  <c r="W115" i="49"/>
  <c r="V115" i="49"/>
  <c r="AO114" i="49"/>
  <c r="AN114" i="49"/>
  <c r="AM114" i="49"/>
  <c r="AL114" i="49"/>
  <c r="AK114" i="49"/>
  <c r="AJ114" i="49"/>
  <c r="AI114" i="49"/>
  <c r="AH114" i="49"/>
  <c r="AG114" i="49"/>
  <c r="AF114" i="49"/>
  <c r="AE114" i="49"/>
  <c r="AD114" i="49"/>
  <c r="AC114" i="49"/>
  <c r="AB114" i="49"/>
  <c r="AA114" i="49"/>
  <c r="Z114" i="49"/>
  <c r="Y114" i="49"/>
  <c r="X114" i="49"/>
  <c r="W114" i="49"/>
  <c r="V114" i="49"/>
  <c r="AO113" i="49"/>
  <c r="AN113" i="49"/>
  <c r="AM113" i="49"/>
  <c r="AL113" i="49"/>
  <c r="AK113" i="49"/>
  <c r="AJ113" i="49"/>
  <c r="AI113" i="49"/>
  <c r="AH113" i="49"/>
  <c r="AG113" i="49"/>
  <c r="AF113" i="49"/>
  <c r="AE113" i="49"/>
  <c r="AD113" i="49"/>
  <c r="AC113" i="49"/>
  <c r="AB113" i="49"/>
  <c r="AA113" i="49"/>
  <c r="Z113" i="49"/>
  <c r="Y113" i="49"/>
  <c r="X113" i="49"/>
  <c r="W113" i="49"/>
  <c r="V113" i="49"/>
  <c r="AO112" i="49"/>
  <c r="AN112" i="49"/>
  <c r="AM112" i="49"/>
  <c r="AL112" i="49"/>
  <c r="AK112" i="49"/>
  <c r="AJ112" i="49"/>
  <c r="AI112" i="49"/>
  <c r="AH112" i="49"/>
  <c r="AG112" i="49"/>
  <c r="AF112" i="49"/>
  <c r="AE112" i="49"/>
  <c r="AD112" i="49"/>
  <c r="AC112" i="49"/>
  <c r="AB112" i="49"/>
  <c r="AA112" i="49"/>
  <c r="Z112" i="49"/>
  <c r="Y112" i="49"/>
  <c r="X112" i="49"/>
  <c r="V112" i="49"/>
  <c r="AO111" i="49"/>
  <c r="AN111" i="49"/>
  <c r="AM111" i="49"/>
  <c r="AL111" i="49"/>
  <c r="AK111" i="49"/>
  <c r="AJ111" i="49"/>
  <c r="AI111" i="49"/>
  <c r="AH111" i="49"/>
  <c r="AG111" i="49"/>
  <c r="AF111" i="49"/>
  <c r="AE111" i="49"/>
  <c r="AD111" i="49"/>
  <c r="AC111" i="49"/>
  <c r="AB111" i="49"/>
  <c r="AA111" i="49"/>
  <c r="Z111" i="49"/>
  <c r="Y111" i="49"/>
  <c r="X111" i="49"/>
  <c r="V111" i="49"/>
  <c r="AO110" i="49"/>
  <c r="AN110" i="49"/>
  <c r="AM110" i="49"/>
  <c r="AL110" i="49"/>
  <c r="AK110" i="49"/>
  <c r="AJ110" i="49"/>
  <c r="AI110" i="49"/>
  <c r="AH110" i="49"/>
  <c r="AG110" i="49"/>
  <c r="AF110" i="49"/>
  <c r="AE110" i="49"/>
  <c r="AD110" i="49"/>
  <c r="AC110" i="49"/>
  <c r="AB110" i="49"/>
  <c r="AA110" i="49"/>
  <c r="Z110" i="49"/>
  <c r="Y110" i="49"/>
  <c r="X110" i="49"/>
  <c r="V110" i="49"/>
  <c r="AO109" i="49"/>
  <c r="AN109" i="49"/>
  <c r="AM109" i="49"/>
  <c r="AL109" i="49"/>
  <c r="AK109" i="49"/>
  <c r="AJ109" i="49"/>
  <c r="AI109" i="49"/>
  <c r="AH109" i="49"/>
  <c r="AG109" i="49"/>
  <c r="AF109" i="49"/>
  <c r="AE109" i="49"/>
  <c r="AD109" i="49"/>
  <c r="AC109" i="49"/>
  <c r="AB109" i="49"/>
  <c r="AA109" i="49"/>
  <c r="Z109" i="49"/>
  <c r="Y109" i="49"/>
  <c r="X109" i="49"/>
  <c r="V109" i="49"/>
  <c r="AO108" i="49"/>
  <c r="AN108" i="49"/>
  <c r="AM108" i="49"/>
  <c r="AL108" i="49"/>
  <c r="AK108" i="49"/>
  <c r="AJ108" i="49"/>
  <c r="AI108" i="49"/>
  <c r="AH108" i="49"/>
  <c r="AG108" i="49"/>
  <c r="AF108" i="49"/>
  <c r="AE108" i="49"/>
  <c r="AD108" i="49"/>
  <c r="AC108" i="49"/>
  <c r="AB108" i="49"/>
  <c r="AA108" i="49"/>
  <c r="Z108" i="49"/>
  <c r="Y108" i="49"/>
  <c r="X108" i="49"/>
  <c r="V108" i="49"/>
  <c r="AO107" i="49"/>
  <c r="AN107" i="49"/>
  <c r="AM107" i="49"/>
  <c r="AL107" i="49"/>
  <c r="AK107" i="49"/>
  <c r="AJ107" i="49"/>
  <c r="AI107" i="49"/>
  <c r="AH107" i="49"/>
  <c r="AG107" i="49"/>
  <c r="AF107" i="49"/>
  <c r="AE107" i="49"/>
  <c r="AD107" i="49"/>
  <c r="AC107" i="49"/>
  <c r="AB107" i="49"/>
  <c r="AA107" i="49"/>
  <c r="Z107" i="49"/>
  <c r="Y107" i="49"/>
  <c r="X107" i="49"/>
  <c r="V107" i="49"/>
  <c r="AO106" i="49"/>
  <c r="AN106" i="49"/>
  <c r="AM106" i="49"/>
  <c r="AL106" i="49"/>
  <c r="AK106" i="49"/>
  <c r="AJ106" i="49"/>
  <c r="AI106" i="49"/>
  <c r="AH106" i="49"/>
  <c r="AG106" i="49"/>
  <c r="AF106" i="49"/>
  <c r="AE106" i="49"/>
  <c r="AD106" i="49"/>
  <c r="AC106" i="49"/>
  <c r="AB106" i="49"/>
  <c r="AA106" i="49"/>
  <c r="Z106" i="49"/>
  <c r="Y106" i="49"/>
  <c r="X106" i="49"/>
  <c r="V106" i="49"/>
  <c r="AO105" i="49"/>
  <c r="AN105" i="49"/>
  <c r="AM105" i="49"/>
  <c r="AL105" i="49"/>
  <c r="AK105" i="49"/>
  <c r="AJ105" i="49"/>
  <c r="AI105" i="49"/>
  <c r="AH105" i="49"/>
  <c r="AG105" i="49"/>
  <c r="AF105" i="49"/>
  <c r="AE105" i="49"/>
  <c r="AD105" i="49"/>
  <c r="AC105" i="49"/>
  <c r="AB105" i="49"/>
  <c r="AA105" i="49"/>
  <c r="Z105" i="49"/>
  <c r="Y105" i="49"/>
  <c r="X105" i="49"/>
  <c r="V105" i="49"/>
  <c r="AO104" i="49"/>
  <c r="AN104" i="49"/>
  <c r="AM104" i="49"/>
  <c r="AL104" i="49"/>
  <c r="AK104" i="49"/>
  <c r="AJ104" i="49"/>
  <c r="AI104" i="49"/>
  <c r="AH104" i="49"/>
  <c r="AG104" i="49"/>
  <c r="AF104" i="49"/>
  <c r="AE104" i="49"/>
  <c r="AD104" i="49"/>
  <c r="AC104" i="49"/>
  <c r="AB104" i="49"/>
  <c r="AA104" i="49"/>
  <c r="Z104" i="49"/>
  <c r="Y104" i="49"/>
  <c r="X104" i="49"/>
  <c r="W104" i="49"/>
  <c r="V104" i="49"/>
  <c r="AO103" i="49"/>
  <c r="AN103" i="49"/>
  <c r="AM103" i="49"/>
  <c r="AL103" i="49"/>
  <c r="AK103" i="49"/>
  <c r="AJ103" i="49"/>
  <c r="AI103" i="49"/>
  <c r="AH103" i="49"/>
  <c r="AG103" i="49"/>
  <c r="AF103" i="49"/>
  <c r="AE103" i="49"/>
  <c r="AD103" i="49"/>
  <c r="AC103" i="49"/>
  <c r="AB103" i="49"/>
  <c r="AA103" i="49"/>
  <c r="Z103" i="49"/>
  <c r="Y103" i="49"/>
  <c r="X103" i="49"/>
  <c r="V103" i="49"/>
  <c r="AO102" i="49"/>
  <c r="AN102" i="49"/>
  <c r="AM102" i="49"/>
  <c r="AL102" i="49"/>
  <c r="AK102" i="49"/>
  <c r="AJ102" i="49"/>
  <c r="AI102" i="49"/>
  <c r="AH102" i="49"/>
  <c r="AG102" i="49"/>
  <c r="AF102" i="49"/>
  <c r="AE102" i="49"/>
  <c r="AD102" i="49"/>
  <c r="AC102" i="49"/>
  <c r="AB102" i="49"/>
  <c r="AA102" i="49"/>
  <c r="Z102" i="49"/>
  <c r="Y102" i="49"/>
  <c r="X102" i="49"/>
  <c r="W102" i="49"/>
  <c r="V102" i="49"/>
  <c r="AO101" i="49"/>
  <c r="AN101" i="49"/>
  <c r="AM101" i="49"/>
  <c r="AL101" i="49"/>
  <c r="AK101" i="49"/>
  <c r="AJ101" i="49"/>
  <c r="AI101" i="49"/>
  <c r="AH101" i="49"/>
  <c r="AG101" i="49"/>
  <c r="AF101" i="49"/>
  <c r="AE101" i="49"/>
  <c r="AD101" i="49"/>
  <c r="AC101" i="49"/>
  <c r="AB101" i="49"/>
  <c r="AA101" i="49"/>
  <c r="Z101" i="49"/>
  <c r="Y101" i="49"/>
  <c r="X101" i="49"/>
  <c r="V101" i="49"/>
  <c r="AO100" i="49"/>
  <c r="AN100" i="49"/>
  <c r="AM100" i="49"/>
  <c r="AL100" i="49"/>
  <c r="AK100" i="49"/>
  <c r="AJ100" i="49"/>
  <c r="AI100" i="49"/>
  <c r="AH100" i="49"/>
  <c r="AG100" i="49"/>
  <c r="AF100" i="49"/>
  <c r="AE100" i="49"/>
  <c r="AD100" i="49"/>
  <c r="AC100" i="49"/>
  <c r="AB100" i="49"/>
  <c r="AA100" i="49"/>
  <c r="Z100" i="49"/>
  <c r="Y100" i="49"/>
  <c r="X100" i="49"/>
  <c r="V100" i="49"/>
  <c r="AD95" i="49"/>
  <c r="Z95" i="49"/>
  <c r="Y95" i="49"/>
  <c r="X95" i="49"/>
  <c r="AB94" i="49"/>
  <c r="AA94" i="49"/>
  <c r="Y94" i="49"/>
  <c r="V94" i="49"/>
  <c r="AD93" i="49"/>
  <c r="AC93" i="49"/>
  <c r="AB93" i="49"/>
  <c r="AA93" i="49"/>
  <c r="W93" i="49"/>
  <c r="V93" i="49"/>
  <c r="AC92" i="49"/>
  <c r="Z92" i="49"/>
  <c r="Y92" i="49"/>
  <c r="X92" i="49"/>
  <c r="W92" i="49"/>
  <c r="AB91" i="49"/>
  <c r="AA91" i="49"/>
  <c r="Z91" i="49"/>
  <c r="Y91" i="49"/>
  <c r="V91" i="49"/>
  <c r="AD90" i="49"/>
  <c r="AC90" i="49"/>
  <c r="AB90" i="49"/>
  <c r="AA90" i="49"/>
  <c r="W90" i="49"/>
  <c r="V90" i="49"/>
  <c r="AC89" i="49"/>
  <c r="Z89" i="49"/>
  <c r="Y89" i="49"/>
  <c r="X89" i="49"/>
  <c r="W89" i="49"/>
  <c r="AB88" i="49"/>
  <c r="AA88" i="49"/>
  <c r="Y88" i="49"/>
  <c r="V88" i="49"/>
  <c r="AD87" i="49"/>
  <c r="AC87" i="49"/>
  <c r="AA87" i="49"/>
  <c r="Z82" i="49"/>
  <c r="Y82" i="49"/>
  <c r="X82" i="49"/>
  <c r="W82" i="49"/>
  <c r="V82" i="49"/>
  <c r="Z81" i="49"/>
  <c r="Y81" i="49"/>
  <c r="X81" i="49"/>
  <c r="W81" i="49"/>
  <c r="V81" i="49"/>
  <c r="Z80" i="49"/>
  <c r="Y80" i="49"/>
  <c r="X80" i="49"/>
  <c r="W80" i="49"/>
  <c r="V80" i="49"/>
  <c r="Z79" i="49"/>
  <c r="Y79" i="49"/>
  <c r="X79" i="49"/>
  <c r="W79" i="49"/>
  <c r="V79" i="49"/>
  <c r="Z78" i="49"/>
  <c r="Y78" i="49"/>
  <c r="X78" i="49"/>
  <c r="W78" i="49"/>
  <c r="V78" i="49"/>
  <c r="Z77" i="49"/>
  <c r="Y77" i="49"/>
  <c r="X77" i="49"/>
  <c r="W77" i="49"/>
  <c r="V77" i="49"/>
  <c r="Z76" i="49"/>
  <c r="Y76" i="49"/>
  <c r="X76" i="49"/>
  <c r="W76" i="49"/>
  <c r="V76" i="49"/>
  <c r="Z75" i="49"/>
  <c r="Y75" i="49"/>
  <c r="X75" i="49"/>
  <c r="V75" i="49"/>
  <c r="Z74" i="49"/>
  <c r="Y74" i="49"/>
  <c r="X74" i="49"/>
  <c r="W74" i="49"/>
  <c r="V74" i="49"/>
  <c r="Z73" i="49"/>
  <c r="Y73" i="49"/>
  <c r="X73" i="49"/>
  <c r="W73" i="49"/>
  <c r="V73" i="49"/>
  <c r="B72" i="49"/>
  <c r="AQ36" i="49" s="1"/>
  <c r="Z68" i="49"/>
  <c r="Y68" i="49"/>
  <c r="X68" i="49"/>
  <c r="W68" i="49"/>
  <c r="V68" i="49"/>
  <c r="Z67" i="49"/>
  <c r="Y67" i="49"/>
  <c r="X67" i="49"/>
  <c r="W67" i="49"/>
  <c r="V67" i="49"/>
  <c r="Z66" i="49"/>
  <c r="Y66" i="49"/>
  <c r="X66" i="49"/>
  <c r="V66" i="49"/>
  <c r="Z65" i="49"/>
  <c r="Y65" i="49"/>
  <c r="X65" i="49"/>
  <c r="W65" i="49"/>
  <c r="V65" i="49"/>
  <c r="Z64" i="49"/>
  <c r="Y64" i="49"/>
  <c r="X64" i="49"/>
  <c r="W64" i="49"/>
  <c r="V64" i="49"/>
  <c r="Z63" i="49"/>
  <c r="Y63" i="49"/>
  <c r="X63" i="49"/>
  <c r="W63" i="49"/>
  <c r="V63" i="49"/>
  <c r="Z62" i="49"/>
  <c r="Y62" i="49"/>
  <c r="X62" i="49"/>
  <c r="W62" i="49"/>
  <c r="V62" i="49"/>
  <c r="Z61" i="49"/>
  <c r="Y61" i="49"/>
  <c r="X61" i="49"/>
  <c r="W61" i="49"/>
  <c r="V61" i="49"/>
  <c r="Z60" i="49"/>
  <c r="Y60" i="49"/>
  <c r="X60" i="49"/>
  <c r="W60" i="49"/>
  <c r="V60" i="49"/>
  <c r="Z59" i="49"/>
  <c r="Y59" i="49"/>
  <c r="X59" i="49"/>
  <c r="W59" i="49"/>
  <c r="V59" i="49"/>
  <c r="Z58" i="49"/>
  <c r="Y58" i="49"/>
  <c r="X58" i="49"/>
  <c r="W58" i="49"/>
  <c r="V58" i="49"/>
  <c r="Z57" i="49"/>
  <c r="Y57" i="49"/>
  <c r="X57" i="49"/>
  <c r="W57" i="49"/>
  <c r="V57" i="49"/>
  <c r="Z56" i="49"/>
  <c r="Y56" i="49"/>
  <c r="X56" i="49"/>
  <c r="W56" i="49"/>
  <c r="V56" i="49"/>
  <c r="B48" i="49"/>
  <c r="AQ28" i="49" s="1"/>
  <c r="AC47" i="49"/>
  <c r="AC46" i="49"/>
  <c r="AE45" i="49"/>
  <c r="AC45" i="49"/>
  <c r="B45" i="49"/>
  <c r="AP44" i="49"/>
  <c r="B94" i="49" s="1"/>
  <c r="AP43" i="49"/>
  <c r="B91" i="49" s="1"/>
  <c r="AP42" i="49"/>
  <c r="B88" i="49" s="1"/>
  <c r="AP41" i="49"/>
  <c r="B85" i="49" s="1"/>
  <c r="AP40" i="49"/>
  <c r="B82" i="49" s="1"/>
  <c r="B38" i="49"/>
  <c r="AK37" i="49"/>
  <c r="AU59" i="49" s="1"/>
  <c r="AL36" i="49"/>
  <c r="AK36" i="49"/>
  <c r="AU58" i="49" s="1"/>
  <c r="X36" i="49"/>
  <c r="AQ35" i="49"/>
  <c r="AL35" i="49"/>
  <c r="AK35" i="49"/>
  <c r="AU57" i="49" s="1"/>
  <c r="X35" i="49"/>
  <c r="Q35" i="49"/>
  <c r="P35" i="49"/>
  <c r="AL34" i="49"/>
  <c r="AK34" i="49"/>
  <c r="AU56" i="49" s="1"/>
  <c r="X34" i="49"/>
  <c r="AL33" i="49"/>
  <c r="AK33" i="49"/>
  <c r="AU55" i="49" s="1"/>
  <c r="X33" i="49"/>
  <c r="AL32" i="49"/>
  <c r="AK32" i="49"/>
  <c r="AU54" i="49" s="1"/>
  <c r="X32" i="49"/>
  <c r="AL31" i="49"/>
  <c r="AK31" i="49"/>
  <c r="AU53" i="49" s="1"/>
  <c r="AG31" i="49"/>
  <c r="X31" i="49"/>
  <c r="AL30" i="49"/>
  <c r="AK30" i="49"/>
  <c r="AU52" i="49" s="1"/>
  <c r="X30" i="49"/>
  <c r="B30" i="49"/>
  <c r="AL29" i="49"/>
  <c r="AK29" i="49"/>
  <c r="AU51" i="49" s="1"/>
  <c r="X29" i="49"/>
  <c r="X28" i="49"/>
  <c r="AQ27" i="49"/>
  <c r="B27" i="49"/>
  <c r="P25" i="49"/>
  <c r="P24" i="49" s="1"/>
  <c r="G20" i="49" s="1"/>
  <c r="G24" i="49"/>
  <c r="E24" i="49"/>
  <c r="C24" i="49"/>
  <c r="AB23" i="49"/>
  <c r="AA23" i="49"/>
  <c r="Z23" i="49"/>
  <c r="AC23" i="49" s="1"/>
  <c r="AD22" i="49" s="1"/>
  <c r="AB39" i="49" s="1"/>
  <c r="Y23" i="49"/>
  <c r="I23" i="49"/>
  <c r="G23" i="49"/>
  <c r="E23" i="49"/>
  <c r="C23" i="49"/>
  <c r="AB22" i="49"/>
  <c r="AA22" i="49"/>
  <c r="Z22" i="49"/>
  <c r="AC22" i="49" s="1"/>
  <c r="Y22" i="49"/>
  <c r="I22" i="49"/>
  <c r="G22" i="49"/>
  <c r="E22" i="49"/>
  <c r="C22" i="49"/>
  <c r="I21" i="49"/>
  <c r="G21" i="49"/>
  <c r="E21" i="49"/>
  <c r="C21" i="49"/>
  <c r="AQ20" i="49"/>
  <c r="AI20" i="49"/>
  <c r="I20" i="49"/>
  <c r="AQ19" i="49"/>
  <c r="B69" i="49" s="1"/>
  <c r="AI19" i="49"/>
  <c r="AQ18" i="49"/>
  <c r="B66" i="49" s="1"/>
  <c r="AQ34" i="49" s="1"/>
  <c r="AI18" i="49"/>
  <c r="AJ18" i="49" s="1"/>
  <c r="AK18" i="49" s="1"/>
  <c r="AV26" i="49" s="1"/>
  <c r="I18" i="49"/>
  <c r="AI17" i="49"/>
  <c r="AI16" i="49"/>
  <c r="AI15" i="49"/>
  <c r="AJ15" i="49" s="1"/>
  <c r="AK15" i="49" s="1"/>
  <c r="AU26" i="49" s="1"/>
  <c r="AQ14" i="49"/>
  <c r="B63" i="49" s="1"/>
  <c r="AQ33" i="49" s="1"/>
  <c r="AI14" i="49"/>
  <c r="I14" i="49"/>
  <c r="AQ13" i="49"/>
  <c r="B60" i="49" s="1"/>
  <c r="AQ32" i="49" s="1"/>
  <c r="AI13" i="49"/>
  <c r="AQ12" i="49"/>
  <c r="B57" i="49" s="1"/>
  <c r="AQ31" i="49" s="1"/>
  <c r="AI12" i="49"/>
  <c r="AJ12" i="49" s="1"/>
  <c r="AK12" i="49" s="1"/>
  <c r="AT26" i="49" s="1"/>
  <c r="AI11" i="49"/>
  <c r="AB11" i="49"/>
  <c r="AA11" i="49"/>
  <c r="Z11" i="49"/>
  <c r="AC11" i="49" s="1"/>
  <c r="Y11" i="49"/>
  <c r="AI10" i="49"/>
  <c r="AB10" i="49"/>
  <c r="AA10" i="49"/>
  <c r="Z10" i="49"/>
  <c r="AC10" i="49" s="1"/>
  <c r="Y10" i="49"/>
  <c r="AJ9" i="49"/>
  <c r="AI9" i="49"/>
  <c r="AB9" i="49"/>
  <c r="AA9" i="49"/>
  <c r="Z9" i="49"/>
  <c r="AC9" i="49" s="1"/>
  <c r="Y9" i="49"/>
  <c r="AD8" i="49" s="1"/>
  <c r="AB36" i="49" s="1"/>
  <c r="AQ8" i="49"/>
  <c r="B54" i="49" s="1"/>
  <c r="AQ30" i="49" s="1"/>
  <c r="AB8" i="49"/>
  <c r="AA8" i="49"/>
  <c r="Z8" i="49"/>
  <c r="AC8" i="49" s="1"/>
  <c r="Y8" i="49"/>
  <c r="AQ7" i="49"/>
  <c r="B51" i="49" s="1"/>
  <c r="AQ29" i="49" s="1"/>
  <c r="AQ6" i="49"/>
  <c r="V46" i="48"/>
  <c r="AA215" i="48"/>
  <c r="V214" i="48"/>
  <c r="V213" i="48"/>
  <c r="V212" i="48"/>
  <c r="V211" i="48"/>
  <c r="V210" i="48"/>
  <c r="V209" i="48"/>
  <c r="V208" i="48"/>
  <c r="V207" i="48"/>
  <c r="V206" i="48"/>
  <c r="V205" i="48"/>
  <c r="V204" i="48"/>
  <c r="V203" i="48"/>
  <c r="V202" i="48"/>
  <c r="V201" i="48"/>
  <c r="V200" i="48"/>
  <c r="V199" i="48"/>
  <c r="V198" i="48"/>
  <c r="V197" i="48"/>
  <c r="V196" i="48"/>
  <c r="V195" i="48"/>
  <c r="V194" i="48"/>
  <c r="V193" i="48"/>
  <c r="V192" i="48"/>
  <c r="V191" i="48"/>
  <c r="V190" i="48"/>
  <c r="V189" i="48"/>
  <c r="V188" i="48"/>
  <c r="AO179" i="48"/>
  <c r="AN179" i="48"/>
  <c r="AM179" i="48"/>
  <c r="AL179" i="48"/>
  <c r="AK179" i="48"/>
  <c r="AJ179" i="48"/>
  <c r="AI179" i="48"/>
  <c r="AH179" i="48"/>
  <c r="AG179" i="48"/>
  <c r="AF179" i="48"/>
  <c r="AE179" i="48"/>
  <c r="AD179" i="48"/>
  <c r="AC179" i="48"/>
  <c r="AB179" i="48"/>
  <c r="AA179" i="48"/>
  <c r="Z179" i="48"/>
  <c r="Y179" i="48"/>
  <c r="X179" i="48"/>
  <c r="W179" i="48"/>
  <c r="V179" i="48"/>
  <c r="AO178" i="48"/>
  <c r="AN178" i="48"/>
  <c r="AM178" i="48"/>
  <c r="AL178" i="48"/>
  <c r="AK178" i="48"/>
  <c r="AJ178" i="48"/>
  <c r="AI178" i="48"/>
  <c r="AH178" i="48"/>
  <c r="AG178" i="48"/>
  <c r="AF178" i="48"/>
  <c r="AE178" i="48"/>
  <c r="AD178" i="48"/>
  <c r="AC178" i="48"/>
  <c r="AB178" i="48"/>
  <c r="AA178" i="48"/>
  <c r="Z178" i="48"/>
  <c r="Y178" i="48"/>
  <c r="X178" i="48"/>
  <c r="W178" i="48"/>
  <c r="V178" i="48"/>
  <c r="AO177" i="48"/>
  <c r="AN177" i="48"/>
  <c r="AM177" i="48"/>
  <c r="AL177" i="48"/>
  <c r="AK177" i="48"/>
  <c r="AJ177" i="48"/>
  <c r="AI177" i="48"/>
  <c r="AH177" i="48"/>
  <c r="AG177" i="48"/>
  <c r="AF177" i="48"/>
  <c r="AE177" i="48"/>
  <c r="AD177" i="48"/>
  <c r="AC177" i="48"/>
  <c r="AB177" i="48"/>
  <c r="AA177" i="48"/>
  <c r="Z177" i="48"/>
  <c r="Y177" i="48"/>
  <c r="X177" i="48"/>
  <c r="W177" i="48"/>
  <c r="V177" i="48"/>
  <c r="AO176" i="48"/>
  <c r="AN176" i="48"/>
  <c r="AM176" i="48"/>
  <c r="AL176" i="48"/>
  <c r="AK176" i="48"/>
  <c r="AJ176" i="48"/>
  <c r="AI176" i="48"/>
  <c r="AH176" i="48"/>
  <c r="AG176" i="48"/>
  <c r="AF176" i="48"/>
  <c r="AE176" i="48"/>
  <c r="AD176" i="48"/>
  <c r="AC176" i="48"/>
  <c r="AB176" i="48"/>
  <c r="AA176" i="48"/>
  <c r="Z176" i="48"/>
  <c r="Y176" i="48"/>
  <c r="X176" i="48"/>
  <c r="V176" i="48"/>
  <c r="AO175" i="48"/>
  <c r="AN175" i="48"/>
  <c r="AM175" i="48"/>
  <c r="AL175" i="48"/>
  <c r="AK175" i="48"/>
  <c r="AJ175" i="48"/>
  <c r="AI175" i="48"/>
  <c r="AH175" i="48"/>
  <c r="AG175" i="48"/>
  <c r="AF175" i="48"/>
  <c r="AE175" i="48"/>
  <c r="AD175" i="48"/>
  <c r="AC175" i="48"/>
  <c r="AB175" i="48"/>
  <c r="AA175" i="48"/>
  <c r="Z175" i="48"/>
  <c r="Y175" i="48"/>
  <c r="X175" i="48"/>
  <c r="V175" i="48"/>
  <c r="AO174" i="48"/>
  <c r="AN174" i="48"/>
  <c r="AM174" i="48"/>
  <c r="AL174" i="48"/>
  <c r="AK174" i="48"/>
  <c r="AJ174" i="48"/>
  <c r="AI174" i="48"/>
  <c r="AH174" i="48"/>
  <c r="AG174" i="48"/>
  <c r="AF174" i="48"/>
  <c r="AE174" i="48"/>
  <c r="AD174" i="48"/>
  <c r="AC174" i="48"/>
  <c r="AB174" i="48"/>
  <c r="AA174" i="48"/>
  <c r="Z174" i="48"/>
  <c r="Y174" i="48"/>
  <c r="X174" i="48"/>
  <c r="V174" i="48"/>
  <c r="AO173" i="48"/>
  <c r="AN173" i="48"/>
  <c r="AM173" i="48"/>
  <c r="AL173" i="48"/>
  <c r="AK173" i="48"/>
  <c r="AJ173" i="48"/>
  <c r="AI173" i="48"/>
  <c r="AH173" i="48"/>
  <c r="AG173" i="48"/>
  <c r="AF173" i="48"/>
  <c r="AE173" i="48"/>
  <c r="AD173" i="48"/>
  <c r="AC173" i="48"/>
  <c r="AB173" i="48"/>
  <c r="AA173" i="48"/>
  <c r="Z173" i="48"/>
  <c r="Y173" i="48"/>
  <c r="X173" i="48"/>
  <c r="V173" i="48"/>
  <c r="AO172" i="48"/>
  <c r="AN172" i="48"/>
  <c r="AM172" i="48"/>
  <c r="AL172" i="48"/>
  <c r="AK172" i="48"/>
  <c r="AJ172" i="48"/>
  <c r="AI172" i="48"/>
  <c r="AH172" i="48"/>
  <c r="AG172" i="48"/>
  <c r="AF172" i="48"/>
  <c r="AE172" i="48"/>
  <c r="AD172" i="48"/>
  <c r="AC172" i="48"/>
  <c r="AB172" i="48"/>
  <c r="AA172" i="48"/>
  <c r="Z172" i="48"/>
  <c r="Y172" i="48"/>
  <c r="X172" i="48"/>
  <c r="W172" i="48"/>
  <c r="V172" i="48"/>
  <c r="AO171" i="48"/>
  <c r="AN171" i="48"/>
  <c r="AM171" i="48"/>
  <c r="AL171" i="48"/>
  <c r="AK171" i="48"/>
  <c r="AJ171" i="48"/>
  <c r="AI171" i="48"/>
  <c r="AH171" i="48"/>
  <c r="AG171" i="48"/>
  <c r="AF171" i="48"/>
  <c r="AE171" i="48"/>
  <c r="AD171" i="48"/>
  <c r="AC171" i="48"/>
  <c r="AB171" i="48"/>
  <c r="AA171" i="48"/>
  <c r="Z171" i="48"/>
  <c r="Y171" i="48"/>
  <c r="X171" i="48"/>
  <c r="V171" i="48"/>
  <c r="AO170" i="48"/>
  <c r="AN170" i="48"/>
  <c r="AM170" i="48"/>
  <c r="AL170" i="48"/>
  <c r="AK170" i="48"/>
  <c r="AJ170" i="48"/>
  <c r="AI170" i="48"/>
  <c r="AH170" i="48"/>
  <c r="AG170" i="48"/>
  <c r="AF170" i="48"/>
  <c r="AE170" i="48"/>
  <c r="AD170" i="48"/>
  <c r="AC170" i="48"/>
  <c r="AB170" i="48"/>
  <c r="AA170" i="48"/>
  <c r="Z170" i="48"/>
  <c r="Y170" i="48"/>
  <c r="X170" i="48"/>
  <c r="V170" i="48"/>
  <c r="AO169" i="48"/>
  <c r="AN169" i="48"/>
  <c r="AM169" i="48"/>
  <c r="AL169" i="48"/>
  <c r="AK169" i="48"/>
  <c r="AJ169" i="48"/>
  <c r="AI169" i="48"/>
  <c r="AH169" i="48"/>
  <c r="AG169" i="48"/>
  <c r="AF169" i="48"/>
  <c r="AE169" i="48"/>
  <c r="AD169" i="48"/>
  <c r="AC169" i="48"/>
  <c r="AB169" i="48"/>
  <c r="AA169" i="48"/>
  <c r="Z169" i="48"/>
  <c r="Y169" i="48"/>
  <c r="X169" i="48"/>
  <c r="W169" i="48"/>
  <c r="V169" i="48"/>
  <c r="AO168" i="48"/>
  <c r="AN168" i="48"/>
  <c r="AM168" i="48"/>
  <c r="AL168" i="48"/>
  <c r="AK168" i="48"/>
  <c r="AJ168" i="48"/>
  <c r="AI168" i="48"/>
  <c r="AH168" i="48"/>
  <c r="AG168" i="48"/>
  <c r="AF168" i="48"/>
  <c r="AE168" i="48"/>
  <c r="AD168" i="48"/>
  <c r="AD95" i="48" s="1"/>
  <c r="AC168" i="48"/>
  <c r="AC95" i="48" s="1"/>
  <c r="AB168" i="48"/>
  <c r="AB95" i="48" s="1"/>
  <c r="AA168" i="48"/>
  <c r="AA95" i="48" s="1"/>
  <c r="Z168" i="48"/>
  <c r="Z95" i="48" s="1"/>
  <c r="Y168" i="48"/>
  <c r="Y95" i="48" s="1"/>
  <c r="X168" i="48"/>
  <c r="W168" i="48"/>
  <c r="V168" i="48"/>
  <c r="V95" i="48" s="1"/>
  <c r="AO167" i="48"/>
  <c r="AN167" i="48"/>
  <c r="AM167" i="48"/>
  <c r="AL167" i="48"/>
  <c r="X94" i="48" s="1"/>
  <c r="AK167" i="48"/>
  <c r="AJ167" i="48"/>
  <c r="AI167" i="48"/>
  <c r="AH167" i="48"/>
  <c r="AG167" i="48"/>
  <c r="AF167" i="48"/>
  <c r="AE167" i="48"/>
  <c r="AD167" i="48"/>
  <c r="AD94" i="48" s="1"/>
  <c r="AC167" i="48"/>
  <c r="AC94" i="48" s="1"/>
  <c r="AB167" i="48"/>
  <c r="AA167" i="48"/>
  <c r="AA94" i="48" s="1"/>
  <c r="Z167" i="48"/>
  <c r="Y167" i="48"/>
  <c r="Y94" i="48" s="1"/>
  <c r="X167" i="48"/>
  <c r="W167" i="48"/>
  <c r="W94" i="48" s="1"/>
  <c r="V167" i="48"/>
  <c r="V94" i="48" s="1"/>
  <c r="AO166" i="48"/>
  <c r="AN166" i="48"/>
  <c r="AM166" i="48"/>
  <c r="AL166" i="48"/>
  <c r="X93" i="48" s="1"/>
  <c r="AK166" i="48"/>
  <c r="AJ166" i="48"/>
  <c r="AI166" i="48"/>
  <c r="AH166" i="48"/>
  <c r="AG166" i="48"/>
  <c r="AF166" i="48"/>
  <c r="AE166" i="48"/>
  <c r="AD166" i="48"/>
  <c r="AC166" i="48"/>
  <c r="AC93" i="48" s="1"/>
  <c r="AB166" i="48"/>
  <c r="AB93" i="48" s="1"/>
  <c r="AA166" i="48"/>
  <c r="AA93" i="48" s="1"/>
  <c r="Z166" i="48"/>
  <c r="Z93" i="48" s="1"/>
  <c r="Y166" i="48"/>
  <c r="Y93" i="48" s="1"/>
  <c r="X166" i="48"/>
  <c r="W166" i="48"/>
  <c r="W93" i="48" s="1"/>
  <c r="V166" i="48"/>
  <c r="V93" i="48" s="1"/>
  <c r="AO165" i="48"/>
  <c r="AN165" i="48"/>
  <c r="AM165" i="48"/>
  <c r="AL165" i="48"/>
  <c r="X92" i="48" s="1"/>
  <c r="AK165" i="48"/>
  <c r="AJ165" i="48"/>
  <c r="AI165" i="48"/>
  <c r="AH165" i="48"/>
  <c r="AG165" i="48"/>
  <c r="AF165" i="48"/>
  <c r="AE165" i="48"/>
  <c r="AD165" i="48"/>
  <c r="AD92" i="48" s="1"/>
  <c r="AC165" i="48"/>
  <c r="AB165" i="48"/>
  <c r="AB92" i="48" s="1"/>
  <c r="AA165" i="48"/>
  <c r="Z165" i="48"/>
  <c r="Y165" i="48"/>
  <c r="Y92" i="48" s="1"/>
  <c r="X165" i="48"/>
  <c r="W165" i="48"/>
  <c r="W92" i="48" s="1"/>
  <c r="V165" i="48"/>
  <c r="V92" i="48" s="1"/>
  <c r="AO164" i="48"/>
  <c r="AN164" i="48"/>
  <c r="AM164" i="48"/>
  <c r="AL164" i="48"/>
  <c r="X91" i="48" s="1"/>
  <c r="AK164" i="48"/>
  <c r="AJ164" i="48"/>
  <c r="AI164" i="48"/>
  <c r="AH164" i="48"/>
  <c r="AG164" i="48"/>
  <c r="AF164" i="48"/>
  <c r="AE164" i="48"/>
  <c r="AD164" i="48"/>
  <c r="AD91" i="48" s="1"/>
  <c r="AC164" i="48"/>
  <c r="AB164" i="48"/>
  <c r="AA164" i="48"/>
  <c r="AA91" i="48" s="1"/>
  <c r="Z164" i="48"/>
  <c r="Z91" i="48" s="1"/>
  <c r="Y164" i="48"/>
  <c r="Y91" i="48" s="1"/>
  <c r="X164" i="48"/>
  <c r="W164" i="48"/>
  <c r="W91" i="48" s="1"/>
  <c r="V164" i="48"/>
  <c r="V91" i="48" s="1"/>
  <c r="AO163" i="48"/>
  <c r="AN163" i="48"/>
  <c r="AM163" i="48"/>
  <c r="AL163" i="48"/>
  <c r="X90" i="48" s="1"/>
  <c r="AK163" i="48"/>
  <c r="AJ163" i="48"/>
  <c r="AI163" i="48"/>
  <c r="AH163" i="48"/>
  <c r="AG163" i="48"/>
  <c r="AF163" i="48"/>
  <c r="AE163" i="48"/>
  <c r="AD163" i="48"/>
  <c r="AC163" i="48"/>
  <c r="AC90" i="48" s="1"/>
  <c r="AB163" i="48"/>
  <c r="AB90" i="48" s="1"/>
  <c r="AA163" i="48"/>
  <c r="AA90" i="48" s="1"/>
  <c r="Z163" i="48"/>
  <c r="Z90" i="48" s="1"/>
  <c r="Y163" i="48"/>
  <c r="Y90" i="48" s="1"/>
  <c r="X163" i="48"/>
  <c r="W163" i="48"/>
  <c r="W90" i="48" s="1"/>
  <c r="V163" i="48"/>
  <c r="V90" i="48" s="1"/>
  <c r="AO162" i="48"/>
  <c r="AN162" i="48"/>
  <c r="AM162" i="48"/>
  <c r="AL162" i="48"/>
  <c r="AK162" i="48"/>
  <c r="AJ162" i="48"/>
  <c r="AI162" i="48"/>
  <c r="AH162" i="48"/>
  <c r="AG162" i="48"/>
  <c r="AF162" i="48"/>
  <c r="AE162" i="48"/>
  <c r="AD162" i="48"/>
  <c r="AD89" i="48" s="1"/>
  <c r="AC162" i="48"/>
  <c r="AC89" i="48" s="1"/>
  <c r="AB162" i="48"/>
  <c r="AB89" i="48" s="1"/>
  <c r="AA162" i="48"/>
  <c r="AA89" i="48" s="1"/>
  <c r="Z162" i="48"/>
  <c r="Z89" i="48" s="1"/>
  <c r="Y162" i="48"/>
  <c r="Y89" i="48" s="1"/>
  <c r="X162" i="48"/>
  <c r="W162" i="48"/>
  <c r="W89" i="48" s="1"/>
  <c r="V162" i="48"/>
  <c r="V89" i="48" s="1"/>
  <c r="AO161" i="48"/>
  <c r="AN161" i="48"/>
  <c r="AM161" i="48"/>
  <c r="AL161" i="48"/>
  <c r="X88" i="48" s="1"/>
  <c r="AK161" i="48"/>
  <c r="AJ161" i="48"/>
  <c r="AI161" i="48"/>
  <c r="AH161" i="48"/>
  <c r="AG161" i="48"/>
  <c r="AF161" i="48"/>
  <c r="AE161" i="48"/>
  <c r="AD161" i="48"/>
  <c r="AC161" i="48"/>
  <c r="AC88" i="48" s="1"/>
  <c r="AB161" i="48"/>
  <c r="AB88" i="48" s="1"/>
  <c r="AA161" i="48"/>
  <c r="AA88" i="48" s="1"/>
  <c r="Z161" i="48"/>
  <c r="Z88" i="48" s="1"/>
  <c r="Y161" i="48"/>
  <c r="Y88" i="48" s="1"/>
  <c r="X161" i="48"/>
  <c r="W161" i="48"/>
  <c r="W88" i="48" s="1"/>
  <c r="V161" i="48"/>
  <c r="V88" i="48" s="1"/>
  <c r="AO160" i="48"/>
  <c r="AN160" i="48"/>
  <c r="AM160" i="48"/>
  <c r="AL160" i="48"/>
  <c r="X87" i="48" s="1"/>
  <c r="AK160" i="48"/>
  <c r="AJ160" i="48"/>
  <c r="AI160" i="48"/>
  <c r="AH160" i="48"/>
  <c r="AG160" i="48"/>
  <c r="AF160" i="48"/>
  <c r="AE160" i="48"/>
  <c r="AD160" i="48"/>
  <c r="AD87" i="48" s="1"/>
  <c r="AC160" i="48"/>
  <c r="AC87" i="48" s="1"/>
  <c r="AB160" i="48"/>
  <c r="AB87" i="48" s="1"/>
  <c r="AA160" i="48"/>
  <c r="AA87" i="48" s="1"/>
  <c r="Z160" i="48"/>
  <c r="Z87" i="48" s="1"/>
  <c r="Y160" i="48"/>
  <c r="Y87" i="48" s="1"/>
  <c r="X160" i="48"/>
  <c r="V160" i="48"/>
  <c r="V87" i="48" s="1"/>
  <c r="AO159" i="48"/>
  <c r="AN159" i="48"/>
  <c r="AM159" i="48"/>
  <c r="AL159" i="48"/>
  <c r="AK159" i="48"/>
  <c r="AJ159" i="48"/>
  <c r="AI159" i="48"/>
  <c r="AH159" i="48"/>
  <c r="AG159" i="48"/>
  <c r="AF159" i="48"/>
  <c r="AE159" i="48"/>
  <c r="AD159" i="48"/>
  <c r="AC159" i="48"/>
  <c r="AB159" i="48"/>
  <c r="AA159" i="48"/>
  <c r="Z159" i="48"/>
  <c r="Y159" i="48"/>
  <c r="X159" i="48"/>
  <c r="W159" i="48"/>
  <c r="V159" i="48"/>
  <c r="AO158" i="48"/>
  <c r="AN158" i="48"/>
  <c r="AM158" i="48"/>
  <c r="AL158" i="48"/>
  <c r="AK158" i="48"/>
  <c r="AJ158" i="48"/>
  <c r="AI158" i="48"/>
  <c r="AH158" i="48"/>
  <c r="AG158" i="48"/>
  <c r="AF158" i="48"/>
  <c r="AE158" i="48"/>
  <c r="AD158" i="48"/>
  <c r="AC158" i="48"/>
  <c r="AB158" i="48"/>
  <c r="AA158" i="48"/>
  <c r="Z158" i="48"/>
  <c r="Y158" i="48"/>
  <c r="X158" i="48"/>
  <c r="W158" i="48"/>
  <c r="V158" i="48"/>
  <c r="AO157" i="48"/>
  <c r="AN157" i="48"/>
  <c r="AM157" i="48"/>
  <c r="AL157" i="48"/>
  <c r="AK157" i="48"/>
  <c r="AJ157" i="48"/>
  <c r="AI157" i="48"/>
  <c r="AH157" i="48"/>
  <c r="AG157" i="48"/>
  <c r="AF157" i="48"/>
  <c r="AE157" i="48"/>
  <c r="AD157" i="48"/>
  <c r="AC157" i="48"/>
  <c r="AB157" i="48"/>
  <c r="AA157" i="48"/>
  <c r="Z157" i="48"/>
  <c r="Y157" i="48"/>
  <c r="X157" i="48"/>
  <c r="W157" i="48"/>
  <c r="V157" i="48"/>
  <c r="AO156" i="48"/>
  <c r="AN156" i="48"/>
  <c r="AM156" i="48"/>
  <c r="AL156" i="48"/>
  <c r="AK156" i="48"/>
  <c r="AJ156" i="48"/>
  <c r="AI156" i="48"/>
  <c r="AH156" i="48"/>
  <c r="AG156" i="48"/>
  <c r="AF156" i="48"/>
  <c r="AE156" i="48"/>
  <c r="AD156" i="48"/>
  <c r="AC156" i="48"/>
  <c r="AB156" i="48"/>
  <c r="AA156" i="48"/>
  <c r="Z156" i="48"/>
  <c r="Y156" i="48"/>
  <c r="X156" i="48"/>
  <c r="W156" i="48"/>
  <c r="V156" i="48"/>
  <c r="AO155" i="48"/>
  <c r="AN155" i="48"/>
  <c r="AM155" i="48"/>
  <c r="AL155" i="48"/>
  <c r="AK155" i="48"/>
  <c r="AJ155" i="48"/>
  <c r="AI155" i="48"/>
  <c r="AH155" i="48"/>
  <c r="AG155" i="48"/>
  <c r="AF155" i="48"/>
  <c r="AE155" i="48"/>
  <c r="AD155" i="48"/>
  <c r="AC155" i="48"/>
  <c r="AB155" i="48"/>
  <c r="AA155" i="48"/>
  <c r="Z155" i="48"/>
  <c r="Y155" i="48"/>
  <c r="X155" i="48"/>
  <c r="W155" i="48"/>
  <c r="V155" i="48"/>
  <c r="AO154" i="48"/>
  <c r="AN154" i="48"/>
  <c r="AM154" i="48"/>
  <c r="AL154" i="48"/>
  <c r="AK154" i="48"/>
  <c r="AJ154" i="48"/>
  <c r="AI154" i="48"/>
  <c r="AH154" i="48"/>
  <c r="AG154" i="48"/>
  <c r="AF154" i="48"/>
  <c r="AE154" i="48"/>
  <c r="AD154" i="48"/>
  <c r="AC154" i="48"/>
  <c r="AB154" i="48"/>
  <c r="AA154" i="48"/>
  <c r="Z154" i="48"/>
  <c r="Y154" i="48"/>
  <c r="X154" i="48"/>
  <c r="W154" i="48"/>
  <c r="V154" i="48"/>
  <c r="AO153" i="48"/>
  <c r="AN153" i="48"/>
  <c r="AM153" i="48"/>
  <c r="AL153" i="48"/>
  <c r="AK153" i="48"/>
  <c r="AJ153" i="48"/>
  <c r="AI153" i="48"/>
  <c r="AH153" i="48"/>
  <c r="AG153" i="48"/>
  <c r="AF153" i="48"/>
  <c r="AE153" i="48"/>
  <c r="AD153" i="48"/>
  <c r="AC153" i="48"/>
  <c r="AB153" i="48"/>
  <c r="AA153" i="48"/>
  <c r="Z153" i="48"/>
  <c r="Y153" i="48"/>
  <c r="X153" i="48"/>
  <c r="W153" i="48"/>
  <c r="V153" i="48"/>
  <c r="AO152" i="48"/>
  <c r="AN152" i="48"/>
  <c r="AM152" i="48"/>
  <c r="AL152" i="48"/>
  <c r="AK152" i="48"/>
  <c r="AJ152" i="48"/>
  <c r="AI152" i="48"/>
  <c r="AH152" i="48"/>
  <c r="AG152" i="48"/>
  <c r="AF152" i="48"/>
  <c r="AE152" i="48"/>
  <c r="AD152" i="48"/>
  <c r="AC152" i="48"/>
  <c r="AB152" i="48"/>
  <c r="AA152" i="48"/>
  <c r="Z152" i="48"/>
  <c r="Y152" i="48"/>
  <c r="X152" i="48"/>
  <c r="W152" i="48"/>
  <c r="V152" i="48"/>
  <c r="AO151" i="48"/>
  <c r="AN151" i="48"/>
  <c r="AM151" i="48"/>
  <c r="AL151" i="48"/>
  <c r="AK151" i="48"/>
  <c r="AJ151" i="48"/>
  <c r="AI151" i="48"/>
  <c r="AH151" i="48"/>
  <c r="AG151" i="48"/>
  <c r="AF151" i="48"/>
  <c r="AE151" i="48"/>
  <c r="AD151" i="48"/>
  <c r="AC151" i="48"/>
  <c r="AB151" i="48"/>
  <c r="AA151" i="48"/>
  <c r="Z151" i="48"/>
  <c r="Y151" i="48"/>
  <c r="X151" i="48"/>
  <c r="W151" i="48"/>
  <c r="V151" i="48"/>
  <c r="AO150" i="48"/>
  <c r="AN150" i="48"/>
  <c r="AM150" i="48"/>
  <c r="AL150" i="48"/>
  <c r="AK150" i="48"/>
  <c r="AJ150" i="48"/>
  <c r="AI150" i="48"/>
  <c r="AH150" i="48"/>
  <c r="AG150" i="48"/>
  <c r="AF150" i="48"/>
  <c r="AE150" i="48"/>
  <c r="AD150" i="48"/>
  <c r="AC150" i="48"/>
  <c r="AB150" i="48"/>
  <c r="AA150" i="48"/>
  <c r="Z150" i="48"/>
  <c r="Y150" i="48"/>
  <c r="X150" i="48"/>
  <c r="W150" i="48"/>
  <c r="V150" i="48"/>
  <c r="AO149" i="48"/>
  <c r="AN149" i="48"/>
  <c r="AM149" i="48"/>
  <c r="AL149" i="48"/>
  <c r="AK149" i="48"/>
  <c r="AJ149" i="48"/>
  <c r="AI149" i="48"/>
  <c r="AH149" i="48"/>
  <c r="AG149" i="48"/>
  <c r="AF149" i="48"/>
  <c r="AE149" i="48"/>
  <c r="AD149" i="48"/>
  <c r="AC149" i="48"/>
  <c r="AB149" i="48"/>
  <c r="AA149" i="48"/>
  <c r="Z149" i="48"/>
  <c r="Y149" i="48"/>
  <c r="X149" i="48"/>
  <c r="V149" i="48"/>
  <c r="AO148" i="48"/>
  <c r="AN148" i="48"/>
  <c r="AM148" i="48"/>
  <c r="AL148" i="48"/>
  <c r="AK148" i="48"/>
  <c r="AJ148" i="48"/>
  <c r="AI148" i="48"/>
  <c r="AH148" i="48"/>
  <c r="AG148" i="48"/>
  <c r="AF148" i="48"/>
  <c r="AE148" i="48"/>
  <c r="AD148" i="48"/>
  <c r="AC148" i="48"/>
  <c r="AB148" i="48"/>
  <c r="AA148" i="48"/>
  <c r="Z148" i="48"/>
  <c r="Y148" i="48"/>
  <c r="X148" i="48"/>
  <c r="V148" i="48"/>
  <c r="AO147" i="48"/>
  <c r="AN147" i="48"/>
  <c r="AM147" i="48"/>
  <c r="AL147" i="48"/>
  <c r="AK147" i="48"/>
  <c r="AJ147" i="48"/>
  <c r="AI147" i="48"/>
  <c r="AH147" i="48"/>
  <c r="AG147" i="48"/>
  <c r="AF147" i="48"/>
  <c r="AE147" i="48"/>
  <c r="AD147" i="48"/>
  <c r="AC147" i="48"/>
  <c r="AB147" i="48"/>
  <c r="AA147" i="48"/>
  <c r="Z147" i="48"/>
  <c r="Y147" i="48"/>
  <c r="X147" i="48"/>
  <c r="V147" i="48"/>
  <c r="AO146" i="48"/>
  <c r="AN146" i="48"/>
  <c r="AM146" i="48"/>
  <c r="AL146" i="48"/>
  <c r="AK146" i="48"/>
  <c r="AJ146" i="48"/>
  <c r="AI146" i="48"/>
  <c r="AH146" i="48"/>
  <c r="AG146" i="48"/>
  <c r="AF146" i="48"/>
  <c r="AE146" i="48"/>
  <c r="AD146" i="48"/>
  <c r="AC146" i="48"/>
  <c r="AB146" i="48"/>
  <c r="AA146" i="48"/>
  <c r="Z146" i="48"/>
  <c r="Y146" i="48"/>
  <c r="X146" i="48"/>
  <c r="V146" i="48"/>
  <c r="AO145" i="48"/>
  <c r="AN145" i="48"/>
  <c r="AM145" i="48"/>
  <c r="AL145" i="48"/>
  <c r="AK145" i="48"/>
  <c r="AJ145" i="48"/>
  <c r="AI145" i="48"/>
  <c r="AH145" i="48"/>
  <c r="AG145" i="48"/>
  <c r="AF145" i="48"/>
  <c r="AE145" i="48"/>
  <c r="AD145" i="48"/>
  <c r="AC145" i="48"/>
  <c r="AB145" i="48"/>
  <c r="AA145" i="48"/>
  <c r="Z145" i="48"/>
  <c r="Y145" i="48"/>
  <c r="X145" i="48"/>
  <c r="W145" i="48"/>
  <c r="V145" i="48"/>
  <c r="AO144" i="48"/>
  <c r="AN144" i="48"/>
  <c r="AM144" i="48"/>
  <c r="AL144" i="48"/>
  <c r="AK144" i="48"/>
  <c r="AJ144" i="48"/>
  <c r="AI144" i="48"/>
  <c r="AH144" i="48"/>
  <c r="AG144" i="48"/>
  <c r="AF144" i="48"/>
  <c r="AE144" i="48"/>
  <c r="AD144" i="48"/>
  <c r="AC144" i="48"/>
  <c r="AB144" i="48"/>
  <c r="AA144" i="48"/>
  <c r="Z144" i="48"/>
  <c r="Y144" i="48"/>
  <c r="X144" i="48"/>
  <c r="W144" i="48"/>
  <c r="V144" i="48"/>
  <c r="AO143" i="48"/>
  <c r="AN143" i="48"/>
  <c r="AM143" i="48"/>
  <c r="AL143" i="48"/>
  <c r="AK143" i="48"/>
  <c r="AJ143" i="48"/>
  <c r="AI143" i="48"/>
  <c r="AH143" i="48"/>
  <c r="AG143" i="48"/>
  <c r="AF143" i="48"/>
  <c r="AE143" i="48"/>
  <c r="AD143" i="48"/>
  <c r="AC143" i="48"/>
  <c r="AB143" i="48"/>
  <c r="AA143" i="48"/>
  <c r="Z143" i="48"/>
  <c r="Y143" i="48"/>
  <c r="X143" i="48"/>
  <c r="W143" i="48"/>
  <c r="V143" i="48"/>
  <c r="Q143" i="48"/>
  <c r="AO142" i="48"/>
  <c r="AN142" i="48"/>
  <c r="AM142" i="48"/>
  <c r="AL142" i="48"/>
  <c r="AK142" i="48"/>
  <c r="AJ142" i="48"/>
  <c r="AI142" i="48"/>
  <c r="AH142" i="48"/>
  <c r="AG142" i="48"/>
  <c r="AF142" i="48"/>
  <c r="AE142" i="48"/>
  <c r="AD142" i="48"/>
  <c r="AC142" i="48"/>
  <c r="AB142" i="48"/>
  <c r="AA142" i="48"/>
  <c r="Z142" i="48"/>
  <c r="Y142" i="48"/>
  <c r="X142" i="48"/>
  <c r="W142" i="48"/>
  <c r="V142" i="48"/>
  <c r="Q142" i="48"/>
  <c r="AO141" i="48"/>
  <c r="AN141" i="48"/>
  <c r="AM141" i="48"/>
  <c r="AL141" i="48"/>
  <c r="AK141" i="48"/>
  <c r="AJ141" i="48"/>
  <c r="AI141" i="48"/>
  <c r="AH141" i="48"/>
  <c r="AG141" i="48"/>
  <c r="AF141" i="48"/>
  <c r="AE141" i="48"/>
  <c r="AD141" i="48"/>
  <c r="AC141" i="48"/>
  <c r="AB141" i="48"/>
  <c r="AA141" i="48"/>
  <c r="Z141" i="48"/>
  <c r="Y141" i="48"/>
  <c r="X141" i="48"/>
  <c r="W141" i="48"/>
  <c r="V141" i="48"/>
  <c r="Q141" i="48"/>
  <c r="AO140" i="48"/>
  <c r="AN140" i="48"/>
  <c r="AM140" i="48"/>
  <c r="AL140" i="48"/>
  <c r="AK140" i="48"/>
  <c r="AJ140" i="48"/>
  <c r="AI140" i="48"/>
  <c r="AH140" i="48"/>
  <c r="AG140" i="48"/>
  <c r="AF140" i="48"/>
  <c r="AE140" i="48"/>
  <c r="AD140" i="48"/>
  <c r="AC140" i="48"/>
  <c r="AB140" i="48"/>
  <c r="AA140" i="48"/>
  <c r="Z140" i="48"/>
  <c r="Y140" i="48"/>
  <c r="X140" i="48"/>
  <c r="W140" i="48"/>
  <c r="V140" i="48"/>
  <c r="Q140" i="48"/>
  <c r="AO139" i="48"/>
  <c r="AN139" i="48"/>
  <c r="AM139" i="48"/>
  <c r="AL139" i="48"/>
  <c r="AK139" i="48"/>
  <c r="AJ139" i="48"/>
  <c r="AI139" i="48"/>
  <c r="AH139" i="48"/>
  <c r="AG139" i="48"/>
  <c r="AF139" i="48"/>
  <c r="AE139" i="48"/>
  <c r="AD139" i="48"/>
  <c r="AC139" i="48"/>
  <c r="AB139" i="48"/>
  <c r="AA139" i="48"/>
  <c r="Z139" i="48"/>
  <c r="Y139" i="48"/>
  <c r="X139" i="48"/>
  <c r="W139" i="48"/>
  <c r="V139" i="48"/>
  <c r="Q139" i="48"/>
  <c r="AO138" i="48"/>
  <c r="AN138" i="48"/>
  <c r="AM138" i="48"/>
  <c r="AL138" i="48"/>
  <c r="AK138" i="48"/>
  <c r="AJ138" i="48"/>
  <c r="AI138" i="48"/>
  <c r="AH138" i="48"/>
  <c r="AG138" i="48"/>
  <c r="AF138" i="48"/>
  <c r="AE138" i="48"/>
  <c r="AD138" i="48"/>
  <c r="AC138" i="48"/>
  <c r="AB138" i="48"/>
  <c r="AA138" i="48"/>
  <c r="Z138" i="48"/>
  <c r="Y138" i="48"/>
  <c r="X138" i="48"/>
  <c r="W138" i="48"/>
  <c r="V138" i="48"/>
  <c r="Q138" i="48"/>
  <c r="AO137" i="48"/>
  <c r="AN137" i="48"/>
  <c r="AM137" i="48"/>
  <c r="AL137" i="48"/>
  <c r="AK137" i="48"/>
  <c r="AJ137" i="48"/>
  <c r="AI137" i="48"/>
  <c r="AH137" i="48"/>
  <c r="AG137" i="48"/>
  <c r="AF137" i="48"/>
  <c r="AE137" i="48"/>
  <c r="AD137" i="48"/>
  <c r="AC137" i="48"/>
  <c r="AB137" i="48"/>
  <c r="AA137" i="48"/>
  <c r="Z137" i="48"/>
  <c r="Y137" i="48"/>
  <c r="X137" i="48"/>
  <c r="W137" i="48"/>
  <c r="V137" i="48"/>
  <c r="Q137" i="48"/>
  <c r="AO136" i="48"/>
  <c r="AN136" i="48"/>
  <c r="AM136" i="48"/>
  <c r="AL136" i="48"/>
  <c r="AK136" i="48"/>
  <c r="AJ136" i="48"/>
  <c r="AI136" i="48"/>
  <c r="AH136" i="48"/>
  <c r="AG136" i="48"/>
  <c r="AF136" i="48"/>
  <c r="AE136" i="48"/>
  <c r="AD136" i="48"/>
  <c r="AC136" i="48"/>
  <c r="AB136" i="48"/>
  <c r="AA136" i="48"/>
  <c r="Z136" i="48"/>
  <c r="Y136" i="48"/>
  <c r="X136" i="48"/>
  <c r="W136" i="48"/>
  <c r="V136" i="48"/>
  <c r="Q136" i="48"/>
  <c r="AO135" i="48"/>
  <c r="AN135" i="48"/>
  <c r="AM135" i="48"/>
  <c r="AL135" i="48"/>
  <c r="AK135" i="48"/>
  <c r="AJ135" i="48"/>
  <c r="AI135" i="48"/>
  <c r="AH135" i="48"/>
  <c r="AG135" i="48"/>
  <c r="AF135" i="48"/>
  <c r="AE135" i="48"/>
  <c r="AD135" i="48"/>
  <c r="AC135" i="48"/>
  <c r="AB135" i="48"/>
  <c r="AA135" i="48"/>
  <c r="Z135" i="48"/>
  <c r="Y135" i="48"/>
  <c r="X135" i="48"/>
  <c r="W135" i="48"/>
  <c r="V135" i="48"/>
  <c r="Q135" i="48"/>
  <c r="AO134" i="48"/>
  <c r="AN134" i="48"/>
  <c r="AM134" i="48"/>
  <c r="AL134" i="48"/>
  <c r="AK134" i="48"/>
  <c r="AJ134" i="48"/>
  <c r="AI134" i="48"/>
  <c r="AH134" i="48"/>
  <c r="AG134" i="48"/>
  <c r="AF134" i="48"/>
  <c r="AE134" i="48"/>
  <c r="AD134" i="48"/>
  <c r="AC134" i="48"/>
  <c r="AB134" i="48"/>
  <c r="AA134" i="48"/>
  <c r="Z134" i="48"/>
  <c r="Y134" i="48"/>
  <c r="X134" i="48"/>
  <c r="W134" i="48"/>
  <c r="V134" i="48"/>
  <c r="Q134" i="48"/>
  <c r="AO133" i="48"/>
  <c r="AN133" i="48"/>
  <c r="AM133" i="48"/>
  <c r="AL133" i="48"/>
  <c r="AK133" i="48"/>
  <c r="AJ133" i="48"/>
  <c r="AI133" i="48"/>
  <c r="AH133" i="48"/>
  <c r="AG133" i="48"/>
  <c r="AF133" i="48"/>
  <c r="AE133" i="48"/>
  <c r="AD133" i="48"/>
  <c r="AC133" i="48"/>
  <c r="AB133" i="48"/>
  <c r="AA133" i="48"/>
  <c r="Z133" i="48"/>
  <c r="Y133" i="48"/>
  <c r="X133" i="48"/>
  <c r="W133" i="48"/>
  <c r="V133" i="48"/>
  <c r="Q133" i="48"/>
  <c r="AO132" i="48"/>
  <c r="AN132" i="48"/>
  <c r="AM132" i="48"/>
  <c r="AL132" i="48"/>
  <c r="AK132" i="48"/>
  <c r="AJ132" i="48"/>
  <c r="AI132" i="48"/>
  <c r="AH132" i="48"/>
  <c r="AG132" i="48"/>
  <c r="AF132" i="48"/>
  <c r="AE132" i="48"/>
  <c r="AD132" i="48"/>
  <c r="AC132" i="48"/>
  <c r="AB132" i="48"/>
  <c r="AA132" i="48"/>
  <c r="Z132" i="48"/>
  <c r="Y132" i="48"/>
  <c r="X132" i="48"/>
  <c r="W132" i="48"/>
  <c r="V132" i="48"/>
  <c r="Q132" i="48"/>
  <c r="AO131" i="48"/>
  <c r="AN131" i="48"/>
  <c r="AM131" i="48"/>
  <c r="AL131" i="48"/>
  <c r="AK131" i="48"/>
  <c r="AJ131" i="48"/>
  <c r="AI131" i="48"/>
  <c r="AH131" i="48"/>
  <c r="AG131" i="48"/>
  <c r="AF131" i="48"/>
  <c r="AE131" i="48"/>
  <c r="AD131" i="48"/>
  <c r="AC131" i="48"/>
  <c r="AB131" i="48"/>
  <c r="AA131" i="48"/>
  <c r="Z131" i="48"/>
  <c r="Y131" i="48"/>
  <c r="X131" i="48"/>
  <c r="W131" i="48"/>
  <c r="V131" i="48"/>
  <c r="Q131" i="48"/>
  <c r="AO130" i="48"/>
  <c r="AN130" i="48"/>
  <c r="AM130" i="48"/>
  <c r="AL130" i="48"/>
  <c r="AK130" i="48"/>
  <c r="AJ130" i="48"/>
  <c r="AI130" i="48"/>
  <c r="AH130" i="48"/>
  <c r="AG130" i="48"/>
  <c r="AF130" i="48"/>
  <c r="AE130" i="48"/>
  <c r="AD130" i="48"/>
  <c r="AC130" i="48"/>
  <c r="AB130" i="48"/>
  <c r="AA130" i="48"/>
  <c r="Z130" i="48"/>
  <c r="Y130" i="48"/>
  <c r="X130" i="48"/>
  <c r="W130" i="48"/>
  <c r="V130" i="48"/>
  <c r="Q130" i="48"/>
  <c r="AO129" i="48"/>
  <c r="AN129" i="48"/>
  <c r="AM129" i="48"/>
  <c r="AL129" i="48"/>
  <c r="AK129" i="48"/>
  <c r="AJ129" i="48"/>
  <c r="AI129" i="48"/>
  <c r="AH129" i="48"/>
  <c r="AG129" i="48"/>
  <c r="AF129" i="48"/>
  <c r="AE129" i="48"/>
  <c r="AD129" i="48"/>
  <c r="AC129" i="48"/>
  <c r="AB129" i="48"/>
  <c r="AA129" i="48"/>
  <c r="Z129" i="48"/>
  <c r="Y129" i="48"/>
  <c r="X129" i="48"/>
  <c r="W129" i="48"/>
  <c r="V129" i="48"/>
  <c r="Q129" i="48"/>
  <c r="AO128" i="48"/>
  <c r="AN128" i="48"/>
  <c r="AM128" i="48"/>
  <c r="AL128" i="48"/>
  <c r="AK128" i="48"/>
  <c r="AJ128" i="48"/>
  <c r="AI128" i="48"/>
  <c r="AH128" i="48"/>
  <c r="AG128" i="48"/>
  <c r="AF128" i="48"/>
  <c r="AE128" i="48"/>
  <c r="AD128" i="48"/>
  <c r="AC128" i="48"/>
  <c r="AB128" i="48"/>
  <c r="AA128" i="48"/>
  <c r="Z128" i="48"/>
  <c r="Y128" i="48"/>
  <c r="X128" i="48"/>
  <c r="V128" i="48"/>
  <c r="Q128" i="48"/>
  <c r="AO127" i="48"/>
  <c r="AN127" i="48"/>
  <c r="AM127" i="48"/>
  <c r="AL127" i="48"/>
  <c r="AK127" i="48"/>
  <c r="AJ127" i="48"/>
  <c r="AI127" i="48"/>
  <c r="AH127" i="48"/>
  <c r="AG127" i="48"/>
  <c r="AF127" i="48"/>
  <c r="AE127" i="48"/>
  <c r="AD127" i="48"/>
  <c r="AC127" i="48"/>
  <c r="AB127" i="48"/>
  <c r="AA127" i="48"/>
  <c r="Z127" i="48"/>
  <c r="Y127" i="48"/>
  <c r="X127" i="48"/>
  <c r="V127" i="48"/>
  <c r="Q127" i="48"/>
  <c r="AO126" i="48"/>
  <c r="AN126" i="48"/>
  <c r="AM126" i="48"/>
  <c r="AL126" i="48"/>
  <c r="AK126" i="48"/>
  <c r="AJ126" i="48"/>
  <c r="AI126" i="48"/>
  <c r="AH126" i="48"/>
  <c r="AG126" i="48"/>
  <c r="AF126" i="48"/>
  <c r="AE126" i="48"/>
  <c r="AD126" i="48"/>
  <c r="AC126" i="48"/>
  <c r="AB126" i="48"/>
  <c r="AA126" i="48"/>
  <c r="Z126" i="48"/>
  <c r="Y126" i="48"/>
  <c r="X126" i="48"/>
  <c r="V126" i="48"/>
  <c r="Q126" i="48"/>
  <c r="AO125" i="48"/>
  <c r="AN125" i="48"/>
  <c r="AM125" i="48"/>
  <c r="AL125" i="48"/>
  <c r="AK125" i="48"/>
  <c r="AJ125" i="48"/>
  <c r="AI125" i="48"/>
  <c r="AH125" i="48"/>
  <c r="AG125" i="48"/>
  <c r="AF125" i="48"/>
  <c r="AE125" i="48"/>
  <c r="AD125" i="48"/>
  <c r="AC125" i="48"/>
  <c r="AB125" i="48"/>
  <c r="AA125" i="48"/>
  <c r="Z125" i="48"/>
  <c r="Y125" i="48"/>
  <c r="X125" i="48"/>
  <c r="V125" i="48"/>
  <c r="Q125" i="48"/>
  <c r="AO124" i="48"/>
  <c r="AN124" i="48"/>
  <c r="AM124" i="48"/>
  <c r="AL124" i="48"/>
  <c r="AK124" i="48"/>
  <c r="AJ124" i="48"/>
  <c r="AI124" i="48"/>
  <c r="AH124" i="48"/>
  <c r="AG124" i="48"/>
  <c r="AF124" i="48"/>
  <c r="AE124" i="48"/>
  <c r="AD124" i="48"/>
  <c r="AC124" i="48"/>
  <c r="AB124" i="48"/>
  <c r="AA124" i="48"/>
  <c r="Z124" i="48"/>
  <c r="Y124" i="48"/>
  <c r="X124" i="48"/>
  <c r="V124" i="48"/>
  <c r="Q124" i="48"/>
  <c r="AO123" i="48"/>
  <c r="AN123" i="48"/>
  <c r="AM123" i="48"/>
  <c r="AL123" i="48"/>
  <c r="AK123" i="48"/>
  <c r="AJ123" i="48"/>
  <c r="AI123" i="48"/>
  <c r="AH123" i="48"/>
  <c r="AG123" i="48"/>
  <c r="AF123" i="48"/>
  <c r="AE123" i="48"/>
  <c r="AD123" i="48"/>
  <c r="AC123" i="48"/>
  <c r="AB123" i="48"/>
  <c r="AA123" i="48"/>
  <c r="Z123" i="48"/>
  <c r="Y123" i="48"/>
  <c r="X123" i="48"/>
  <c r="W123" i="48"/>
  <c r="V123" i="48"/>
  <c r="Q123" i="48"/>
  <c r="AO122" i="48"/>
  <c r="AN122" i="48"/>
  <c r="AM122" i="48"/>
  <c r="AL122" i="48"/>
  <c r="AK122" i="48"/>
  <c r="AJ122" i="48"/>
  <c r="AI122" i="48"/>
  <c r="AH122" i="48"/>
  <c r="AG122" i="48"/>
  <c r="AF122" i="48"/>
  <c r="AE122" i="48"/>
  <c r="AD122" i="48"/>
  <c r="AC122" i="48"/>
  <c r="AB122" i="48"/>
  <c r="AA122" i="48"/>
  <c r="Z122" i="48"/>
  <c r="Y122" i="48"/>
  <c r="X122" i="48"/>
  <c r="V122" i="48"/>
  <c r="Q122" i="48"/>
  <c r="AO121" i="48"/>
  <c r="AN121" i="48"/>
  <c r="AM121" i="48"/>
  <c r="AL121" i="48"/>
  <c r="AK121" i="48"/>
  <c r="AJ121" i="48"/>
  <c r="AI121" i="48"/>
  <c r="AH121" i="48"/>
  <c r="AG121" i="48"/>
  <c r="AF121" i="48"/>
  <c r="AE121" i="48"/>
  <c r="AD121" i="48"/>
  <c r="AC121" i="48"/>
  <c r="AB121" i="48"/>
  <c r="AA121" i="48"/>
  <c r="Z121" i="48"/>
  <c r="Y121" i="48"/>
  <c r="X121" i="48"/>
  <c r="V121" i="48"/>
  <c r="Q121" i="48"/>
  <c r="AO120" i="48"/>
  <c r="AN120" i="48"/>
  <c r="AM120" i="48"/>
  <c r="AL120" i="48"/>
  <c r="AK120" i="48"/>
  <c r="AJ120" i="48"/>
  <c r="AI120" i="48"/>
  <c r="AH120" i="48"/>
  <c r="AG120" i="48"/>
  <c r="AF120" i="48"/>
  <c r="AE120" i="48"/>
  <c r="AD120" i="48"/>
  <c r="AC120" i="48"/>
  <c r="AB120" i="48"/>
  <c r="AA120" i="48"/>
  <c r="Z120" i="48"/>
  <c r="Y120" i="48"/>
  <c r="X120" i="48"/>
  <c r="W120" i="48"/>
  <c r="V120" i="48"/>
  <c r="Q120" i="48"/>
  <c r="AO119" i="48"/>
  <c r="AN119" i="48"/>
  <c r="AM119" i="48"/>
  <c r="AL119" i="48"/>
  <c r="AK119" i="48"/>
  <c r="AJ119" i="48"/>
  <c r="AI119" i="48"/>
  <c r="AH119" i="48"/>
  <c r="AG119" i="48"/>
  <c r="AF119" i="48"/>
  <c r="AE119" i="48"/>
  <c r="AD119" i="48"/>
  <c r="AC119" i="48"/>
  <c r="AB119" i="48"/>
  <c r="AA119" i="48"/>
  <c r="Z119" i="48"/>
  <c r="Y119" i="48"/>
  <c r="X119" i="48"/>
  <c r="V119" i="48"/>
  <c r="Q119" i="48"/>
  <c r="AO118" i="48"/>
  <c r="AN118" i="48"/>
  <c r="AM118" i="48"/>
  <c r="AL118" i="48"/>
  <c r="AK118" i="48"/>
  <c r="AJ118" i="48"/>
  <c r="AI118" i="48"/>
  <c r="AH118" i="48"/>
  <c r="AG118" i="48"/>
  <c r="AF118" i="48"/>
  <c r="AE118" i="48"/>
  <c r="AD118" i="48"/>
  <c r="AC118" i="48"/>
  <c r="AB118" i="48"/>
  <c r="AA118" i="48"/>
  <c r="Z118" i="48"/>
  <c r="Y118" i="48"/>
  <c r="X118" i="48"/>
  <c r="V118" i="48"/>
  <c r="Q118" i="48"/>
  <c r="AO117" i="48"/>
  <c r="AN117" i="48"/>
  <c r="AM117" i="48"/>
  <c r="AL117" i="48"/>
  <c r="AK117" i="48"/>
  <c r="AJ117" i="48"/>
  <c r="AI117" i="48"/>
  <c r="AH117" i="48"/>
  <c r="AG117" i="48"/>
  <c r="AF117" i="48"/>
  <c r="AE117" i="48"/>
  <c r="AD117" i="48"/>
  <c r="AC117" i="48"/>
  <c r="AB117" i="48"/>
  <c r="AA117" i="48"/>
  <c r="Z117" i="48"/>
  <c r="Y117" i="48"/>
  <c r="X117" i="48"/>
  <c r="V117" i="48"/>
  <c r="Q117" i="48"/>
  <c r="AO116" i="48"/>
  <c r="AN116" i="48"/>
  <c r="AM116" i="48"/>
  <c r="AL116" i="48"/>
  <c r="AK116" i="48"/>
  <c r="AJ116" i="48"/>
  <c r="AI116" i="48"/>
  <c r="AH116" i="48"/>
  <c r="AG116" i="48"/>
  <c r="AF116" i="48"/>
  <c r="AE116" i="48"/>
  <c r="AD116" i="48"/>
  <c r="AC116" i="48"/>
  <c r="AB116" i="48"/>
  <c r="AA116" i="48"/>
  <c r="Z116" i="48"/>
  <c r="Y116" i="48"/>
  <c r="X116" i="48"/>
  <c r="V116" i="48"/>
  <c r="AO115" i="48"/>
  <c r="AN115" i="48"/>
  <c r="AM115" i="48"/>
  <c r="AL115" i="48"/>
  <c r="AK115" i="48"/>
  <c r="AJ115" i="48"/>
  <c r="AI115" i="48"/>
  <c r="AH115" i="48"/>
  <c r="AG115" i="48"/>
  <c r="AF115" i="48"/>
  <c r="AE115" i="48"/>
  <c r="AD115" i="48"/>
  <c r="AC115" i="48"/>
  <c r="AB115" i="48"/>
  <c r="AA115" i="48"/>
  <c r="Z115" i="48"/>
  <c r="Y115" i="48"/>
  <c r="X115" i="48"/>
  <c r="W115" i="48"/>
  <c r="V115" i="48"/>
  <c r="AO114" i="48"/>
  <c r="AN114" i="48"/>
  <c r="AM114" i="48"/>
  <c r="AL114" i="48"/>
  <c r="AK114" i="48"/>
  <c r="AJ114" i="48"/>
  <c r="AI114" i="48"/>
  <c r="AH114" i="48"/>
  <c r="AG114" i="48"/>
  <c r="AF114" i="48"/>
  <c r="AE114" i="48"/>
  <c r="AD114" i="48"/>
  <c r="AC114" i="48"/>
  <c r="AB114" i="48"/>
  <c r="AA114" i="48"/>
  <c r="Z114" i="48"/>
  <c r="Y114" i="48"/>
  <c r="X114" i="48"/>
  <c r="W114" i="48"/>
  <c r="V114" i="48"/>
  <c r="AO113" i="48"/>
  <c r="AN113" i="48"/>
  <c r="AM113" i="48"/>
  <c r="AL113" i="48"/>
  <c r="AK113" i="48"/>
  <c r="AJ113" i="48"/>
  <c r="AI113" i="48"/>
  <c r="AH113" i="48"/>
  <c r="AG113" i="48"/>
  <c r="AF113" i="48"/>
  <c r="AE113" i="48"/>
  <c r="AD113" i="48"/>
  <c r="AC113" i="48"/>
  <c r="AB113" i="48"/>
  <c r="AA113" i="48"/>
  <c r="Z113" i="48"/>
  <c r="Y113" i="48"/>
  <c r="X113" i="48"/>
  <c r="W113" i="48"/>
  <c r="V113" i="48"/>
  <c r="AO112" i="48"/>
  <c r="AN112" i="48"/>
  <c r="AM112" i="48"/>
  <c r="AL112" i="48"/>
  <c r="AK112" i="48"/>
  <c r="AJ112" i="48"/>
  <c r="AI112" i="48"/>
  <c r="AH112" i="48"/>
  <c r="AG112" i="48"/>
  <c r="AF112" i="48"/>
  <c r="AE112" i="48"/>
  <c r="AD112" i="48"/>
  <c r="AC112" i="48"/>
  <c r="AB112" i="48"/>
  <c r="AA112" i="48"/>
  <c r="Z112" i="48"/>
  <c r="Y112" i="48"/>
  <c r="X112" i="48"/>
  <c r="V112" i="48"/>
  <c r="AO111" i="48"/>
  <c r="AN111" i="48"/>
  <c r="AM111" i="48"/>
  <c r="AL111" i="48"/>
  <c r="AK111" i="48"/>
  <c r="AJ111" i="48"/>
  <c r="AI111" i="48"/>
  <c r="AH111" i="48"/>
  <c r="AG111" i="48"/>
  <c r="AF111" i="48"/>
  <c r="AE111" i="48"/>
  <c r="AD111" i="48"/>
  <c r="AC111" i="48"/>
  <c r="AB111" i="48"/>
  <c r="AA111" i="48"/>
  <c r="Z111" i="48"/>
  <c r="Y111" i="48"/>
  <c r="X111" i="48"/>
  <c r="V111" i="48"/>
  <c r="AO110" i="48"/>
  <c r="AN110" i="48"/>
  <c r="AM110" i="48"/>
  <c r="AL110" i="48"/>
  <c r="AK110" i="48"/>
  <c r="AJ110" i="48"/>
  <c r="AI110" i="48"/>
  <c r="AH110" i="48"/>
  <c r="AG110" i="48"/>
  <c r="AF110" i="48"/>
  <c r="AE110" i="48"/>
  <c r="AD110" i="48"/>
  <c r="AC110" i="48"/>
  <c r="AB110" i="48"/>
  <c r="AA110" i="48"/>
  <c r="Z110" i="48"/>
  <c r="Y110" i="48"/>
  <c r="X110" i="48"/>
  <c r="V110" i="48"/>
  <c r="AO109" i="48"/>
  <c r="AN109" i="48"/>
  <c r="AM109" i="48"/>
  <c r="AL109" i="48"/>
  <c r="AK109" i="48"/>
  <c r="AJ109" i="48"/>
  <c r="AI109" i="48"/>
  <c r="AH109" i="48"/>
  <c r="AG109" i="48"/>
  <c r="AF109" i="48"/>
  <c r="AE109" i="48"/>
  <c r="AD109" i="48"/>
  <c r="AC109" i="48"/>
  <c r="AB109" i="48"/>
  <c r="AA109" i="48"/>
  <c r="Z109" i="48"/>
  <c r="Y109" i="48"/>
  <c r="X109" i="48"/>
  <c r="V109" i="48"/>
  <c r="AO108" i="48"/>
  <c r="AN108" i="48"/>
  <c r="AM108" i="48"/>
  <c r="AL108" i="48"/>
  <c r="AK108" i="48"/>
  <c r="AJ108" i="48"/>
  <c r="AI108" i="48"/>
  <c r="AH108" i="48"/>
  <c r="AG108" i="48"/>
  <c r="AF108" i="48"/>
  <c r="AE108" i="48"/>
  <c r="AD108" i="48"/>
  <c r="AC108" i="48"/>
  <c r="AB108" i="48"/>
  <c r="AA108" i="48"/>
  <c r="Z108" i="48"/>
  <c r="Y108" i="48"/>
  <c r="X108" i="48"/>
  <c r="V108" i="48"/>
  <c r="AO107" i="48"/>
  <c r="AN107" i="48"/>
  <c r="AM107" i="48"/>
  <c r="AL107" i="48"/>
  <c r="AK107" i="48"/>
  <c r="AJ107" i="48"/>
  <c r="AI107" i="48"/>
  <c r="AH107" i="48"/>
  <c r="AG107" i="48"/>
  <c r="AF107" i="48"/>
  <c r="AE107" i="48"/>
  <c r="AD107" i="48"/>
  <c r="AC107" i="48"/>
  <c r="AB107" i="48"/>
  <c r="AA107" i="48"/>
  <c r="Z107" i="48"/>
  <c r="Y107" i="48"/>
  <c r="X107" i="48"/>
  <c r="V107" i="48"/>
  <c r="AO106" i="48"/>
  <c r="AN106" i="48"/>
  <c r="AM106" i="48"/>
  <c r="AL106" i="48"/>
  <c r="AK106" i="48"/>
  <c r="AJ106" i="48"/>
  <c r="AI106" i="48"/>
  <c r="AH106" i="48"/>
  <c r="AG106" i="48"/>
  <c r="AF106" i="48"/>
  <c r="AE106" i="48"/>
  <c r="AD106" i="48"/>
  <c r="AC106" i="48"/>
  <c r="AB106" i="48"/>
  <c r="AA106" i="48"/>
  <c r="Z106" i="48"/>
  <c r="Y106" i="48"/>
  <c r="X106" i="48"/>
  <c r="V106" i="48"/>
  <c r="AO105" i="48"/>
  <c r="AN105" i="48"/>
  <c r="AM105" i="48"/>
  <c r="AL105" i="48"/>
  <c r="AK105" i="48"/>
  <c r="AJ105" i="48"/>
  <c r="AI105" i="48"/>
  <c r="AH105" i="48"/>
  <c r="AG105" i="48"/>
  <c r="AF105" i="48"/>
  <c r="AE105" i="48"/>
  <c r="AD105" i="48"/>
  <c r="AC105" i="48"/>
  <c r="AB105" i="48"/>
  <c r="AA105" i="48"/>
  <c r="Z105" i="48"/>
  <c r="Y105" i="48"/>
  <c r="X105" i="48"/>
  <c r="V105" i="48"/>
  <c r="AO104" i="48"/>
  <c r="AN104" i="48"/>
  <c r="AM104" i="48"/>
  <c r="AL104" i="48"/>
  <c r="AK104" i="48"/>
  <c r="AJ104" i="48"/>
  <c r="AI104" i="48"/>
  <c r="AH104" i="48"/>
  <c r="AG104" i="48"/>
  <c r="AF104" i="48"/>
  <c r="AE104" i="48"/>
  <c r="AD104" i="48"/>
  <c r="AC104" i="48"/>
  <c r="AB104" i="48"/>
  <c r="AA104" i="48"/>
  <c r="Z104" i="48"/>
  <c r="Y104" i="48"/>
  <c r="X104" i="48"/>
  <c r="W104" i="48"/>
  <c r="V104" i="48"/>
  <c r="AO103" i="48"/>
  <c r="AN103" i="48"/>
  <c r="AM103" i="48"/>
  <c r="AL103" i="48"/>
  <c r="AK103" i="48"/>
  <c r="AJ103" i="48"/>
  <c r="AI103" i="48"/>
  <c r="AH103" i="48"/>
  <c r="AG103" i="48"/>
  <c r="AF103" i="48"/>
  <c r="AE103" i="48"/>
  <c r="AD103" i="48"/>
  <c r="AC103" i="48"/>
  <c r="AB103" i="48"/>
  <c r="AA103" i="48"/>
  <c r="Z103" i="48"/>
  <c r="Y103" i="48"/>
  <c r="X103" i="48"/>
  <c r="V103" i="48"/>
  <c r="AO102" i="48"/>
  <c r="AN102" i="48"/>
  <c r="AM102" i="48"/>
  <c r="AL102" i="48"/>
  <c r="AK102" i="48"/>
  <c r="AJ102" i="48"/>
  <c r="AI102" i="48"/>
  <c r="AH102" i="48"/>
  <c r="AG102" i="48"/>
  <c r="AF102" i="48"/>
  <c r="AE102" i="48"/>
  <c r="AD102" i="48"/>
  <c r="AC102" i="48"/>
  <c r="AB102" i="48"/>
  <c r="AA102" i="48"/>
  <c r="Z102" i="48"/>
  <c r="Y102" i="48"/>
  <c r="X102" i="48"/>
  <c r="W102" i="48"/>
  <c r="V102" i="48"/>
  <c r="AO101" i="48"/>
  <c r="AN101" i="48"/>
  <c r="AM101" i="48"/>
  <c r="AL101" i="48"/>
  <c r="AK101" i="48"/>
  <c r="AJ101" i="48"/>
  <c r="AI101" i="48"/>
  <c r="AH101" i="48"/>
  <c r="AG101" i="48"/>
  <c r="AF101" i="48"/>
  <c r="AE101" i="48"/>
  <c r="AD101" i="48"/>
  <c r="AC101" i="48"/>
  <c r="AB101" i="48"/>
  <c r="AA101" i="48"/>
  <c r="Z101" i="48"/>
  <c r="Y101" i="48"/>
  <c r="X101" i="48"/>
  <c r="V101" i="48"/>
  <c r="AO100" i="48"/>
  <c r="AN100" i="48"/>
  <c r="AM100" i="48"/>
  <c r="AL100" i="48"/>
  <c r="AK100" i="48"/>
  <c r="AJ100" i="48"/>
  <c r="AI100" i="48"/>
  <c r="AH100" i="48"/>
  <c r="AG100" i="48"/>
  <c r="AF100" i="48"/>
  <c r="AE100" i="48"/>
  <c r="AD100" i="48"/>
  <c r="AC100" i="48"/>
  <c r="AB100" i="48"/>
  <c r="AA100" i="48"/>
  <c r="Z100" i="48"/>
  <c r="Y100" i="48"/>
  <c r="X100" i="48"/>
  <c r="V100" i="48"/>
  <c r="X95" i="48"/>
  <c r="W95" i="48"/>
  <c r="AB94" i="48"/>
  <c r="Z94" i="48"/>
  <c r="AD93" i="48"/>
  <c r="AC92" i="48"/>
  <c r="AA92" i="48"/>
  <c r="Z92" i="48"/>
  <c r="AC91" i="48"/>
  <c r="AB91" i="48"/>
  <c r="AD90" i="48"/>
  <c r="X89" i="48"/>
  <c r="AD88" i="48"/>
  <c r="Z82" i="48"/>
  <c r="Y82" i="48"/>
  <c r="X82" i="48"/>
  <c r="W82" i="48"/>
  <c r="V82" i="48"/>
  <c r="Z81" i="48"/>
  <c r="Y81" i="48"/>
  <c r="X81" i="48"/>
  <c r="W81" i="48"/>
  <c r="V81" i="48"/>
  <c r="Z80" i="48"/>
  <c r="Y80" i="48"/>
  <c r="X80" i="48"/>
  <c r="W80" i="48"/>
  <c r="V80" i="48"/>
  <c r="Z79" i="48"/>
  <c r="Y79" i="48"/>
  <c r="X79" i="48"/>
  <c r="W79" i="48"/>
  <c r="V79" i="48"/>
  <c r="Z78" i="48"/>
  <c r="Y78" i="48"/>
  <c r="X78" i="48"/>
  <c r="W78" i="48"/>
  <c r="V78" i="48"/>
  <c r="Z77" i="48"/>
  <c r="Y77" i="48"/>
  <c r="X77" i="48"/>
  <c r="W77" i="48"/>
  <c r="V77" i="48"/>
  <c r="Z76" i="48"/>
  <c r="Y76" i="48"/>
  <c r="X76" i="48"/>
  <c r="W76" i="48"/>
  <c r="V76" i="48"/>
  <c r="Z75" i="48"/>
  <c r="Y75" i="48"/>
  <c r="X75" i="48"/>
  <c r="V75" i="48"/>
  <c r="Z74" i="48"/>
  <c r="Y74" i="48"/>
  <c r="X74" i="48"/>
  <c r="W74" i="48"/>
  <c r="V74" i="48"/>
  <c r="Z73" i="48"/>
  <c r="Y73" i="48"/>
  <c r="X73" i="48"/>
  <c r="W73" i="48"/>
  <c r="V73" i="48"/>
  <c r="Z68" i="48"/>
  <c r="Y68" i="48"/>
  <c r="X68" i="48"/>
  <c r="W68" i="48"/>
  <c r="V68" i="48"/>
  <c r="Z67" i="48"/>
  <c r="Y67" i="48"/>
  <c r="X67" i="48"/>
  <c r="W67" i="48"/>
  <c r="V67" i="48"/>
  <c r="Z66" i="48"/>
  <c r="Y66" i="48"/>
  <c r="X66" i="48"/>
  <c r="V66" i="48"/>
  <c r="Z65" i="48"/>
  <c r="Y65" i="48"/>
  <c r="X65" i="48"/>
  <c r="W65" i="48"/>
  <c r="V65" i="48"/>
  <c r="Z64" i="48"/>
  <c r="Y64" i="48"/>
  <c r="X64" i="48"/>
  <c r="W64" i="48"/>
  <c r="V64" i="48"/>
  <c r="Z63" i="48"/>
  <c r="Y63" i="48"/>
  <c r="X63" i="48"/>
  <c r="W63" i="48"/>
  <c r="V63" i="48"/>
  <c r="Z62" i="48"/>
  <c r="Y62" i="48"/>
  <c r="X62" i="48"/>
  <c r="W62" i="48"/>
  <c r="V62" i="48"/>
  <c r="Z61" i="48"/>
  <c r="Y61" i="48"/>
  <c r="X61" i="48"/>
  <c r="W61" i="48"/>
  <c r="V61" i="48"/>
  <c r="Z60" i="48"/>
  <c r="Y60" i="48"/>
  <c r="X60" i="48"/>
  <c r="W60" i="48"/>
  <c r="V60" i="48"/>
  <c r="Z59" i="48"/>
  <c r="Y59" i="48"/>
  <c r="X59" i="48"/>
  <c r="W59" i="48"/>
  <c r="V59" i="48"/>
  <c r="Z58" i="48"/>
  <c r="Y58" i="48"/>
  <c r="X58" i="48"/>
  <c r="W58" i="48"/>
  <c r="V58" i="48"/>
  <c r="Z57" i="48"/>
  <c r="Y57" i="48"/>
  <c r="X57" i="48"/>
  <c r="W57" i="48"/>
  <c r="V57" i="48"/>
  <c r="Z56" i="48"/>
  <c r="Y56" i="48"/>
  <c r="X56" i="48"/>
  <c r="W56" i="48"/>
  <c r="V56" i="48"/>
  <c r="AC47" i="48"/>
  <c r="AC46" i="48"/>
  <c r="AE45" i="48"/>
  <c r="AC45" i="48"/>
  <c r="AE46" i="48" s="1"/>
  <c r="J38" i="48" s="1"/>
  <c r="B45" i="48"/>
  <c r="AP44" i="48"/>
  <c r="B94" i="48" s="1"/>
  <c r="AP43" i="48"/>
  <c r="B91" i="48" s="1"/>
  <c r="AP42" i="48"/>
  <c r="B88" i="48" s="1"/>
  <c r="X42" i="48"/>
  <c r="AP41" i="48"/>
  <c r="B85" i="48" s="1"/>
  <c r="X41" i="48"/>
  <c r="AP40" i="48"/>
  <c r="B82" i="48" s="1"/>
  <c r="X40" i="48"/>
  <c r="X39" i="48"/>
  <c r="X38" i="48"/>
  <c r="B38" i="48"/>
  <c r="AK37" i="48"/>
  <c r="AU59" i="48" s="1"/>
  <c r="X37" i="48"/>
  <c r="AL36" i="48"/>
  <c r="AK36" i="48"/>
  <c r="AU58" i="48" s="1"/>
  <c r="X36" i="48"/>
  <c r="AL35" i="48"/>
  <c r="AK35" i="48"/>
  <c r="AU57" i="48" s="1"/>
  <c r="X35" i="48"/>
  <c r="Q35" i="48"/>
  <c r="P35" i="48"/>
  <c r="O35" i="48" s="1"/>
  <c r="E18" i="48" s="1"/>
  <c r="AL34" i="48"/>
  <c r="AK34" i="48"/>
  <c r="AU56" i="48" s="1"/>
  <c r="X34" i="48"/>
  <c r="AQ33" i="48"/>
  <c r="AL33" i="48"/>
  <c r="AK33" i="48"/>
  <c r="AU55" i="48" s="1"/>
  <c r="X33" i="48"/>
  <c r="AL32" i="48"/>
  <c r="AK32" i="48"/>
  <c r="AU54" i="48" s="1"/>
  <c r="X32" i="48"/>
  <c r="AL31" i="48"/>
  <c r="AK31" i="48"/>
  <c r="AU53" i="48" s="1"/>
  <c r="AG31" i="48"/>
  <c r="X31" i="48"/>
  <c r="AL30" i="48"/>
  <c r="AK30" i="48"/>
  <c r="AU52" i="48" s="1"/>
  <c r="X30" i="48"/>
  <c r="B30" i="48"/>
  <c r="AQ27" i="48" s="1"/>
  <c r="AL29" i="48"/>
  <c r="AK29" i="48"/>
  <c r="AU51" i="48" s="1"/>
  <c r="X29" i="48"/>
  <c r="X28" i="48"/>
  <c r="B27" i="48"/>
  <c r="P25" i="48"/>
  <c r="P24" i="48" s="1"/>
  <c r="G20" i="48" s="1"/>
  <c r="G24" i="48"/>
  <c r="E24" i="48"/>
  <c r="C24" i="48"/>
  <c r="AB23" i="48"/>
  <c r="AA23" i="48"/>
  <c r="Z23" i="48"/>
  <c r="AC23" i="48" s="1"/>
  <c r="Y23" i="48"/>
  <c r="I23" i="48"/>
  <c r="G23" i="48"/>
  <c r="E23" i="48"/>
  <c r="C23" i="48"/>
  <c r="AB22" i="48"/>
  <c r="AA22" i="48"/>
  <c r="AC22" i="48" s="1"/>
  <c r="Z22" i="48"/>
  <c r="Y22" i="48"/>
  <c r="I22" i="48"/>
  <c r="G22" i="48"/>
  <c r="E22" i="48"/>
  <c r="C22" i="48"/>
  <c r="I21" i="48"/>
  <c r="G21" i="48"/>
  <c r="E21" i="48"/>
  <c r="C21" i="48"/>
  <c r="AQ20" i="48"/>
  <c r="B72" i="48" s="1"/>
  <c r="AQ36" i="48" s="1"/>
  <c r="AI20" i="48"/>
  <c r="I20" i="48"/>
  <c r="AQ19" i="48"/>
  <c r="B69" i="48" s="1"/>
  <c r="AQ35" i="48" s="1"/>
  <c r="AI19" i="48"/>
  <c r="AQ18" i="48"/>
  <c r="B66" i="48" s="1"/>
  <c r="AQ34" i="48" s="1"/>
  <c r="AI18" i="48"/>
  <c r="AJ18" i="48" s="1"/>
  <c r="AK18" i="48" s="1"/>
  <c r="AV26" i="48" s="1"/>
  <c r="I18" i="48"/>
  <c r="AI17" i="48"/>
  <c r="AI16" i="48"/>
  <c r="AI15" i="48"/>
  <c r="AJ15" i="48" s="1"/>
  <c r="AK15" i="48" s="1"/>
  <c r="AU26" i="48" s="1"/>
  <c r="AQ14" i="48"/>
  <c r="B63" i="48" s="1"/>
  <c r="AI14" i="48"/>
  <c r="I14" i="48"/>
  <c r="AQ13" i="48"/>
  <c r="B60" i="48" s="1"/>
  <c r="AQ32" i="48" s="1"/>
  <c r="AI13" i="48"/>
  <c r="AQ12" i="48"/>
  <c r="B57" i="48" s="1"/>
  <c r="AQ31" i="48" s="1"/>
  <c r="AI12" i="48"/>
  <c r="AJ12" i="48" s="1"/>
  <c r="AK12" i="48" s="1"/>
  <c r="AT26" i="48" s="1"/>
  <c r="AI11" i="48"/>
  <c r="AB11" i="48"/>
  <c r="AA11" i="48"/>
  <c r="Z11" i="48"/>
  <c r="AC11" i="48" s="1"/>
  <c r="Y11" i="48"/>
  <c r="AI10" i="48"/>
  <c r="AB10" i="48"/>
  <c r="AA10" i="48"/>
  <c r="Z10" i="48"/>
  <c r="AC10" i="48" s="1"/>
  <c r="Y10" i="48"/>
  <c r="AJ9" i="48"/>
  <c r="AI9" i="48"/>
  <c r="AB9" i="48"/>
  <c r="AA9" i="48"/>
  <c r="Z9" i="48"/>
  <c r="AC9" i="48" s="1"/>
  <c r="Y9" i="48"/>
  <c r="AQ8" i="48"/>
  <c r="B54" i="48" s="1"/>
  <c r="AQ30" i="48" s="1"/>
  <c r="AC8" i="48"/>
  <c r="AB8" i="48"/>
  <c r="AA8" i="48"/>
  <c r="Z8" i="48"/>
  <c r="Y8" i="48"/>
  <c r="AD8" i="48" s="1"/>
  <c r="AB36" i="48" s="1"/>
  <c r="AQ7" i="48"/>
  <c r="B51" i="48" s="1"/>
  <c r="AQ29" i="48" s="1"/>
  <c r="AQ6" i="48"/>
  <c r="B48" i="48" s="1"/>
  <c r="AQ28" i="48" s="1"/>
  <c r="V46" i="47"/>
  <c r="AC32" i="47"/>
  <c r="AC31" i="47"/>
  <c r="AD31" i="47"/>
  <c r="AD31" i="52" s="1"/>
  <c r="AD32" i="47"/>
  <c r="AD32" i="49" s="1"/>
  <c r="AD30" i="47"/>
  <c r="AD30" i="53" s="1"/>
  <c r="AC30" i="53" s="1"/>
  <c r="AA215" i="47"/>
  <c r="V214" i="47"/>
  <c r="V213" i="47"/>
  <c r="V212" i="47"/>
  <c r="V211" i="47"/>
  <c r="V210" i="47"/>
  <c r="V209" i="47"/>
  <c r="V208" i="47"/>
  <c r="V207" i="47"/>
  <c r="V206" i="47"/>
  <c r="V205" i="47"/>
  <c r="V204" i="47"/>
  <c r="V203" i="47"/>
  <c r="V202" i="47"/>
  <c r="V201" i="47"/>
  <c r="V200" i="47"/>
  <c r="V199" i="47"/>
  <c r="V198" i="47"/>
  <c r="V197" i="47"/>
  <c r="V196" i="47"/>
  <c r="V195" i="47"/>
  <c r="V194" i="47"/>
  <c r="V193" i="47"/>
  <c r="V192" i="47"/>
  <c r="V191" i="47"/>
  <c r="V190" i="47"/>
  <c r="V189" i="47"/>
  <c r="V188" i="47"/>
  <c r="AO179" i="47"/>
  <c r="AN179" i="47"/>
  <c r="AM179" i="47"/>
  <c r="AL179" i="47"/>
  <c r="AK179" i="47"/>
  <c r="AJ179" i="47"/>
  <c r="AI179" i="47"/>
  <c r="AH179" i="47"/>
  <c r="AG179" i="47"/>
  <c r="AF179" i="47"/>
  <c r="AE179" i="47"/>
  <c r="AD179" i="47"/>
  <c r="AC179" i="47"/>
  <c r="AB179" i="47"/>
  <c r="AA179" i="47"/>
  <c r="Z179" i="47"/>
  <c r="Y179" i="47"/>
  <c r="X179" i="47"/>
  <c r="W179" i="47"/>
  <c r="V179" i="47"/>
  <c r="AO178" i="47"/>
  <c r="AN178" i="47"/>
  <c r="AM178" i="47"/>
  <c r="AL178" i="47"/>
  <c r="AK178" i="47"/>
  <c r="AJ178" i="47"/>
  <c r="AI178" i="47"/>
  <c r="AH178" i="47"/>
  <c r="AG178" i="47"/>
  <c r="AF178" i="47"/>
  <c r="AE178" i="47"/>
  <c r="AD178" i="47"/>
  <c r="AC178" i="47"/>
  <c r="AB178" i="47"/>
  <c r="AA178" i="47"/>
  <c r="Z178" i="47"/>
  <c r="Y178" i="47"/>
  <c r="X178" i="47"/>
  <c r="W178" i="47"/>
  <c r="V178" i="47"/>
  <c r="AO177" i="47"/>
  <c r="AN177" i="47"/>
  <c r="AM177" i="47"/>
  <c r="AL177" i="47"/>
  <c r="AK177" i="47"/>
  <c r="AJ177" i="47"/>
  <c r="AI177" i="47"/>
  <c r="AH177" i="47"/>
  <c r="AG177" i="47"/>
  <c r="AF177" i="47"/>
  <c r="AE177" i="47"/>
  <c r="AD177" i="47"/>
  <c r="AC177" i="47"/>
  <c r="AB177" i="47"/>
  <c r="AA177" i="47"/>
  <c r="Z177" i="47"/>
  <c r="Y177" i="47"/>
  <c r="X177" i="47"/>
  <c r="W177" i="47"/>
  <c r="V177" i="47"/>
  <c r="AO176" i="47"/>
  <c r="AN176" i="47"/>
  <c r="AM176" i="47"/>
  <c r="AL176" i="47"/>
  <c r="AK176" i="47"/>
  <c r="AJ176" i="47"/>
  <c r="AI176" i="47"/>
  <c r="AH176" i="47"/>
  <c r="AG176" i="47"/>
  <c r="AF176" i="47"/>
  <c r="AE176" i="47"/>
  <c r="AD176" i="47"/>
  <c r="AC176" i="47"/>
  <c r="AB176" i="47"/>
  <c r="AA176" i="47"/>
  <c r="Z176" i="47"/>
  <c r="Y176" i="47"/>
  <c r="X176" i="47"/>
  <c r="V176" i="47"/>
  <c r="AO175" i="47"/>
  <c r="AN175" i="47"/>
  <c r="AM175" i="47"/>
  <c r="AL175" i="47"/>
  <c r="AK175" i="47"/>
  <c r="AJ175" i="47"/>
  <c r="AI175" i="47"/>
  <c r="AH175" i="47"/>
  <c r="AG175" i="47"/>
  <c r="AF175" i="47"/>
  <c r="AE175" i="47"/>
  <c r="AD175" i="47"/>
  <c r="AC175" i="47"/>
  <c r="AB175" i="47"/>
  <c r="AA175" i="47"/>
  <c r="Z175" i="47"/>
  <c r="Y175" i="47"/>
  <c r="X175" i="47"/>
  <c r="V175" i="47"/>
  <c r="AO174" i="47"/>
  <c r="AN174" i="47"/>
  <c r="AM174" i="47"/>
  <c r="AL174" i="47"/>
  <c r="AK174" i="47"/>
  <c r="AJ174" i="47"/>
  <c r="AI174" i="47"/>
  <c r="AH174" i="47"/>
  <c r="AG174" i="47"/>
  <c r="AF174" i="47"/>
  <c r="AE174" i="47"/>
  <c r="AD174" i="47"/>
  <c r="AC174" i="47"/>
  <c r="AB174" i="47"/>
  <c r="AA174" i="47"/>
  <c r="Z174" i="47"/>
  <c r="Y174" i="47"/>
  <c r="X174" i="47"/>
  <c r="V174" i="47"/>
  <c r="AO173" i="47"/>
  <c r="AN173" i="47"/>
  <c r="AM173" i="47"/>
  <c r="AL173" i="47"/>
  <c r="AK173" i="47"/>
  <c r="AJ173" i="47"/>
  <c r="AI173" i="47"/>
  <c r="AH173" i="47"/>
  <c r="AG173" i="47"/>
  <c r="AF173" i="47"/>
  <c r="AE173" i="47"/>
  <c r="AD173" i="47"/>
  <c r="AC173" i="47"/>
  <c r="AB173" i="47"/>
  <c r="AA173" i="47"/>
  <c r="Z173" i="47"/>
  <c r="Y173" i="47"/>
  <c r="X173" i="47"/>
  <c r="V173" i="47"/>
  <c r="AO172" i="47"/>
  <c r="AN172" i="47"/>
  <c r="AM172" i="47"/>
  <c r="AL172" i="47"/>
  <c r="AK172" i="47"/>
  <c r="AJ172" i="47"/>
  <c r="AI172" i="47"/>
  <c r="AH172" i="47"/>
  <c r="AG172" i="47"/>
  <c r="AF172" i="47"/>
  <c r="AE172" i="47"/>
  <c r="AD172" i="47"/>
  <c r="AC172" i="47"/>
  <c r="AB172" i="47"/>
  <c r="AA172" i="47"/>
  <c r="Z172" i="47"/>
  <c r="Y172" i="47"/>
  <c r="X172" i="47"/>
  <c r="W172" i="47"/>
  <c r="V172" i="47"/>
  <c r="AO171" i="47"/>
  <c r="AN171" i="47"/>
  <c r="AM171" i="47"/>
  <c r="AL171" i="47"/>
  <c r="AK171" i="47"/>
  <c r="AJ171" i="47"/>
  <c r="AI171" i="47"/>
  <c r="AH171" i="47"/>
  <c r="AG171" i="47"/>
  <c r="AF171" i="47"/>
  <c r="AE171" i="47"/>
  <c r="AD171" i="47"/>
  <c r="AC171" i="47"/>
  <c r="AB171" i="47"/>
  <c r="AA171" i="47"/>
  <c r="Z171" i="47"/>
  <c r="Y171" i="47"/>
  <c r="X171" i="47"/>
  <c r="V171" i="47"/>
  <c r="AO170" i="47"/>
  <c r="AN170" i="47"/>
  <c r="AM170" i="47"/>
  <c r="AL170" i="47"/>
  <c r="AK170" i="47"/>
  <c r="AJ170" i="47"/>
  <c r="AI170" i="47"/>
  <c r="AH170" i="47"/>
  <c r="AG170" i="47"/>
  <c r="AF170" i="47"/>
  <c r="AE170" i="47"/>
  <c r="AD170" i="47"/>
  <c r="AC170" i="47"/>
  <c r="AB170" i="47"/>
  <c r="AA170" i="47"/>
  <c r="Z170" i="47"/>
  <c r="Y170" i="47"/>
  <c r="X170" i="47"/>
  <c r="V170" i="47"/>
  <c r="AO169" i="47"/>
  <c r="AN169" i="47"/>
  <c r="AM169" i="47"/>
  <c r="AL169" i="47"/>
  <c r="AK169" i="47"/>
  <c r="AJ169" i="47"/>
  <c r="AI169" i="47"/>
  <c r="AH169" i="47"/>
  <c r="AG169" i="47"/>
  <c r="AF169" i="47"/>
  <c r="AE169" i="47"/>
  <c r="AD169" i="47"/>
  <c r="AC169" i="47"/>
  <c r="AB169" i="47"/>
  <c r="AA169" i="47"/>
  <c r="Z169" i="47"/>
  <c r="Y169" i="47"/>
  <c r="X169" i="47"/>
  <c r="W169" i="47"/>
  <c r="V169" i="47"/>
  <c r="AO168" i="47"/>
  <c r="AN168" i="47"/>
  <c r="AM168" i="47"/>
  <c r="AL168" i="47"/>
  <c r="X95" i="47" s="1"/>
  <c r="AK168" i="47"/>
  <c r="AJ168" i="47"/>
  <c r="AI168" i="47"/>
  <c r="AH168" i="47"/>
  <c r="AG168" i="47"/>
  <c r="AF168" i="47"/>
  <c r="AE168" i="47"/>
  <c r="AD168" i="47"/>
  <c r="AD95" i="47" s="1"/>
  <c r="AC168" i="47"/>
  <c r="AC95" i="47" s="1"/>
  <c r="AB168" i="47"/>
  <c r="AB95" i="47" s="1"/>
  <c r="AA168" i="47"/>
  <c r="AA95" i="47" s="1"/>
  <c r="Z168" i="47"/>
  <c r="Y168" i="47"/>
  <c r="Y95" i="47" s="1"/>
  <c r="X168" i="47"/>
  <c r="W168" i="47"/>
  <c r="V168" i="47"/>
  <c r="V95" i="47" s="1"/>
  <c r="AO167" i="47"/>
  <c r="AN167" i="47"/>
  <c r="AM167" i="47"/>
  <c r="AL167" i="47"/>
  <c r="X94" i="47" s="1"/>
  <c r="AK167" i="47"/>
  <c r="AJ167" i="47"/>
  <c r="AI167" i="47"/>
  <c r="AH167" i="47"/>
  <c r="AG167" i="47"/>
  <c r="AF167" i="47"/>
  <c r="AE167" i="47"/>
  <c r="AD167" i="47"/>
  <c r="AD94" i="47" s="1"/>
  <c r="AC167" i="47"/>
  <c r="AB167" i="47"/>
  <c r="AB94" i="47" s="1"/>
  <c r="AA167" i="47"/>
  <c r="AA94" i="47" s="1"/>
  <c r="Z167" i="47"/>
  <c r="Z94" i="47" s="1"/>
  <c r="Y167" i="47"/>
  <c r="X167" i="47"/>
  <c r="W167" i="47"/>
  <c r="W94" i="47" s="1"/>
  <c r="V167" i="47"/>
  <c r="AO166" i="47"/>
  <c r="AN166" i="47"/>
  <c r="AM166" i="47"/>
  <c r="AL166" i="47"/>
  <c r="X93" i="47" s="1"/>
  <c r="AK166" i="47"/>
  <c r="AJ166" i="47"/>
  <c r="AI166" i="47"/>
  <c r="AH166" i="47"/>
  <c r="AG166" i="47"/>
  <c r="AF166" i="47"/>
  <c r="AE166" i="47"/>
  <c r="AD166" i="47"/>
  <c r="AC166" i="47"/>
  <c r="AC93" i="47" s="1"/>
  <c r="AB166" i="47"/>
  <c r="AB93" i="47" s="1"/>
  <c r="AA166" i="47"/>
  <c r="Z166" i="47"/>
  <c r="Z93" i="47" s="1"/>
  <c r="Y166" i="47"/>
  <c r="X166" i="47"/>
  <c r="W166" i="47"/>
  <c r="V166" i="47"/>
  <c r="V93" i="47" s="1"/>
  <c r="AO165" i="47"/>
  <c r="AN165" i="47"/>
  <c r="AM165" i="47"/>
  <c r="AL165" i="47"/>
  <c r="AK165" i="47"/>
  <c r="AJ165" i="47"/>
  <c r="AI165" i="47"/>
  <c r="AH165" i="47"/>
  <c r="AG165" i="47"/>
  <c r="AF165" i="47"/>
  <c r="AE165" i="47"/>
  <c r="AD165" i="47"/>
  <c r="AD92" i="47" s="1"/>
  <c r="AC165" i="47"/>
  <c r="AB165" i="47"/>
  <c r="AB92" i="47" s="1"/>
  <c r="AA165" i="47"/>
  <c r="AA92" i="47" s="1"/>
  <c r="Z165" i="47"/>
  <c r="Z92" i="47" s="1"/>
  <c r="Y165" i="47"/>
  <c r="Y92" i="47" s="1"/>
  <c r="X165" i="47"/>
  <c r="W165" i="47"/>
  <c r="W92" i="47" s="1"/>
  <c r="V165" i="47"/>
  <c r="V92" i="47" s="1"/>
  <c r="AO164" i="47"/>
  <c r="AN164" i="47"/>
  <c r="AM164" i="47"/>
  <c r="AL164" i="47"/>
  <c r="X91" i="47" s="1"/>
  <c r="AK164" i="47"/>
  <c r="AJ164" i="47"/>
  <c r="AI164" i="47"/>
  <c r="AH164" i="47"/>
  <c r="AG164" i="47"/>
  <c r="AF164" i="47"/>
  <c r="AE164" i="47"/>
  <c r="AD164" i="47"/>
  <c r="AD91" i="47" s="1"/>
  <c r="AC164" i="47"/>
  <c r="AC91" i="47" s="1"/>
  <c r="AB164" i="47"/>
  <c r="AB91" i="47" s="1"/>
  <c r="AA164" i="47"/>
  <c r="AA91" i="47" s="1"/>
  <c r="Z164" i="47"/>
  <c r="Z91" i="47" s="1"/>
  <c r="Y164" i="47"/>
  <c r="X164" i="47"/>
  <c r="W164" i="47"/>
  <c r="W91" i="47" s="1"/>
  <c r="V164" i="47"/>
  <c r="AO163" i="47"/>
  <c r="AN163" i="47"/>
  <c r="AM163" i="47"/>
  <c r="AL163" i="47"/>
  <c r="X90" i="47" s="1"/>
  <c r="AK163" i="47"/>
  <c r="AJ163" i="47"/>
  <c r="AI163" i="47"/>
  <c r="AH163" i="47"/>
  <c r="AG163" i="47"/>
  <c r="AF163" i="47"/>
  <c r="AE163" i="47"/>
  <c r="AD163" i="47"/>
  <c r="AD90" i="47" s="1"/>
  <c r="AC163" i="47"/>
  <c r="AC90" i="47" s="1"/>
  <c r="AB163" i="47"/>
  <c r="AB90" i="47" s="1"/>
  <c r="AA163" i="47"/>
  <c r="Z163" i="47"/>
  <c r="Z90" i="47" s="1"/>
  <c r="Y163" i="47"/>
  <c r="Y90" i="47" s="1"/>
  <c r="X163" i="47"/>
  <c r="W163" i="47"/>
  <c r="W90" i="47" s="1"/>
  <c r="V163" i="47"/>
  <c r="V90" i="47" s="1"/>
  <c r="AO162" i="47"/>
  <c r="AN162" i="47"/>
  <c r="AM162" i="47"/>
  <c r="AL162" i="47"/>
  <c r="X89" i="47" s="1"/>
  <c r="AK162" i="47"/>
  <c r="AJ162" i="47"/>
  <c r="AI162" i="47"/>
  <c r="AH162" i="47"/>
  <c r="AG162" i="47"/>
  <c r="AF162" i="47"/>
  <c r="AE162" i="47"/>
  <c r="AD162" i="47"/>
  <c r="AD89" i="47" s="1"/>
  <c r="AC162" i="47"/>
  <c r="AC89" i="47" s="1"/>
  <c r="AB162" i="47"/>
  <c r="AB89" i="47" s="1"/>
  <c r="AA162" i="47"/>
  <c r="AA89" i="47" s="1"/>
  <c r="Z162" i="47"/>
  <c r="Y162" i="47"/>
  <c r="X162" i="47"/>
  <c r="W162" i="47"/>
  <c r="V162" i="47"/>
  <c r="V89" i="47" s="1"/>
  <c r="AO161" i="47"/>
  <c r="AN161" i="47"/>
  <c r="AM161" i="47"/>
  <c r="AL161" i="47"/>
  <c r="X88" i="47" s="1"/>
  <c r="AK161" i="47"/>
  <c r="AJ161" i="47"/>
  <c r="AI161" i="47"/>
  <c r="AH161" i="47"/>
  <c r="AG161" i="47"/>
  <c r="AF161" i="47"/>
  <c r="AE161" i="47"/>
  <c r="AD161" i="47"/>
  <c r="AD88" i="47" s="1"/>
  <c r="AC161" i="47"/>
  <c r="AC88" i="47" s="1"/>
  <c r="AB161" i="47"/>
  <c r="AA161" i="47"/>
  <c r="Z161" i="47"/>
  <c r="Z88" i="47" s="1"/>
  <c r="Y161" i="47"/>
  <c r="Y88" i="47" s="1"/>
  <c r="X161" i="47"/>
  <c r="W161" i="47"/>
  <c r="W88" i="47" s="1"/>
  <c r="V161" i="47"/>
  <c r="V88" i="47" s="1"/>
  <c r="AO160" i="47"/>
  <c r="AN160" i="47"/>
  <c r="AM160" i="47"/>
  <c r="AL160" i="47"/>
  <c r="X87" i="47" s="1"/>
  <c r="AK160" i="47"/>
  <c r="AJ160" i="47"/>
  <c r="AI160" i="47"/>
  <c r="AH160" i="47"/>
  <c r="AG160" i="47"/>
  <c r="AF160" i="47"/>
  <c r="AE160" i="47"/>
  <c r="AD160" i="47"/>
  <c r="AD87" i="47" s="1"/>
  <c r="AC160" i="47"/>
  <c r="AC87" i="47" s="1"/>
  <c r="AB160" i="47"/>
  <c r="AB87" i="47" s="1"/>
  <c r="AA160" i="47"/>
  <c r="AA87" i="47" s="1"/>
  <c r="Z160" i="47"/>
  <c r="Z87" i="47" s="1"/>
  <c r="Y160" i="47"/>
  <c r="Y87" i="47" s="1"/>
  <c r="X160" i="47"/>
  <c r="V160" i="47"/>
  <c r="V87" i="47" s="1"/>
  <c r="AO159" i="47"/>
  <c r="AN159" i="47"/>
  <c r="AM159" i="47"/>
  <c r="AL159" i="47"/>
  <c r="AK159" i="47"/>
  <c r="AJ159" i="47"/>
  <c r="AI159" i="47"/>
  <c r="AH159" i="47"/>
  <c r="AG159" i="47"/>
  <c r="AF159" i="47"/>
  <c r="AE159" i="47"/>
  <c r="AD159" i="47"/>
  <c r="AC159" i="47"/>
  <c r="AB159" i="47"/>
  <c r="AA159" i="47"/>
  <c r="Z159" i="47"/>
  <c r="Y159" i="47"/>
  <c r="X159" i="47"/>
  <c r="W159" i="47"/>
  <c r="V159" i="47"/>
  <c r="AO158" i="47"/>
  <c r="AN158" i="47"/>
  <c r="AM158" i="47"/>
  <c r="AL158" i="47"/>
  <c r="AK158" i="47"/>
  <c r="AJ158" i="47"/>
  <c r="AI158" i="47"/>
  <c r="AH158" i="47"/>
  <c r="AG158" i="47"/>
  <c r="AF158" i="47"/>
  <c r="AE158" i="47"/>
  <c r="AD158" i="47"/>
  <c r="AC158" i="47"/>
  <c r="AB158" i="47"/>
  <c r="AA158" i="47"/>
  <c r="Z158" i="47"/>
  <c r="Y158" i="47"/>
  <c r="X158" i="47"/>
  <c r="W158" i="47"/>
  <c r="V158" i="47"/>
  <c r="AO157" i="47"/>
  <c r="AN157" i="47"/>
  <c r="AM157" i="47"/>
  <c r="AL157" i="47"/>
  <c r="AK157" i="47"/>
  <c r="AJ157" i="47"/>
  <c r="AI157" i="47"/>
  <c r="AH157" i="47"/>
  <c r="AG157" i="47"/>
  <c r="AF157" i="47"/>
  <c r="AE157" i="47"/>
  <c r="AD157" i="47"/>
  <c r="AC157" i="47"/>
  <c r="AB157" i="47"/>
  <c r="AA157" i="47"/>
  <c r="Z157" i="47"/>
  <c r="Y157" i="47"/>
  <c r="X157" i="47"/>
  <c r="W157" i="47"/>
  <c r="V157" i="47"/>
  <c r="AO156" i="47"/>
  <c r="AN156" i="47"/>
  <c r="AM156" i="47"/>
  <c r="AL156" i="47"/>
  <c r="AK156" i="47"/>
  <c r="AJ156" i="47"/>
  <c r="AI156" i="47"/>
  <c r="AH156" i="47"/>
  <c r="AG156" i="47"/>
  <c r="AF156" i="47"/>
  <c r="AE156" i="47"/>
  <c r="AD156" i="47"/>
  <c r="AC156" i="47"/>
  <c r="AB156" i="47"/>
  <c r="AA156" i="47"/>
  <c r="Z156" i="47"/>
  <c r="Y156" i="47"/>
  <c r="X156" i="47"/>
  <c r="W156" i="47"/>
  <c r="V156" i="47"/>
  <c r="AO155" i="47"/>
  <c r="AN155" i="47"/>
  <c r="AM155" i="47"/>
  <c r="AL155" i="47"/>
  <c r="AK155" i="47"/>
  <c r="AJ155" i="47"/>
  <c r="AI155" i="47"/>
  <c r="AH155" i="47"/>
  <c r="AG155" i="47"/>
  <c r="AF155" i="47"/>
  <c r="AE155" i="47"/>
  <c r="AD155" i="47"/>
  <c r="AC155" i="47"/>
  <c r="AB155" i="47"/>
  <c r="AA155" i="47"/>
  <c r="Z155" i="47"/>
  <c r="Y155" i="47"/>
  <c r="X155" i="47"/>
  <c r="W155" i="47"/>
  <c r="V155" i="47"/>
  <c r="AO154" i="47"/>
  <c r="AN154" i="47"/>
  <c r="AM154" i="47"/>
  <c r="AL154" i="47"/>
  <c r="AK154" i="47"/>
  <c r="AJ154" i="47"/>
  <c r="AI154" i="47"/>
  <c r="AH154" i="47"/>
  <c r="AG154" i="47"/>
  <c r="AF154" i="47"/>
  <c r="AE154" i="47"/>
  <c r="AD154" i="47"/>
  <c r="AC154" i="47"/>
  <c r="AB154" i="47"/>
  <c r="AA154" i="47"/>
  <c r="Z154" i="47"/>
  <c r="Y154" i="47"/>
  <c r="X154" i="47"/>
  <c r="W154" i="47"/>
  <c r="V154" i="47"/>
  <c r="AO153" i="47"/>
  <c r="AN153" i="47"/>
  <c r="AM153" i="47"/>
  <c r="AL153" i="47"/>
  <c r="AK153" i="47"/>
  <c r="AJ153" i="47"/>
  <c r="AI153" i="47"/>
  <c r="AH153" i="47"/>
  <c r="AG153" i="47"/>
  <c r="AF153" i="47"/>
  <c r="AE153" i="47"/>
  <c r="AD153" i="47"/>
  <c r="AC153" i="47"/>
  <c r="AB153" i="47"/>
  <c r="AA153" i="47"/>
  <c r="Z153" i="47"/>
  <c r="Y153" i="47"/>
  <c r="X153" i="47"/>
  <c r="W153" i="47"/>
  <c r="V153" i="47"/>
  <c r="AO152" i="47"/>
  <c r="AN152" i="47"/>
  <c r="AM152" i="47"/>
  <c r="AL152" i="47"/>
  <c r="AK152" i="47"/>
  <c r="AJ152" i="47"/>
  <c r="AI152" i="47"/>
  <c r="AH152" i="47"/>
  <c r="AG152" i="47"/>
  <c r="AF152" i="47"/>
  <c r="AE152" i="47"/>
  <c r="AD152" i="47"/>
  <c r="AC152" i="47"/>
  <c r="AB152" i="47"/>
  <c r="AA152" i="47"/>
  <c r="Z152" i="47"/>
  <c r="Y152" i="47"/>
  <c r="X152" i="47"/>
  <c r="W152" i="47"/>
  <c r="V152" i="47"/>
  <c r="AO151" i="47"/>
  <c r="AN151" i="47"/>
  <c r="AM151" i="47"/>
  <c r="AL151" i="47"/>
  <c r="AK151" i="47"/>
  <c r="AJ151" i="47"/>
  <c r="AI151" i="47"/>
  <c r="AH151" i="47"/>
  <c r="AG151" i="47"/>
  <c r="AF151" i="47"/>
  <c r="AE151" i="47"/>
  <c r="AD151" i="47"/>
  <c r="AC151" i="47"/>
  <c r="AB151" i="47"/>
  <c r="AA151" i="47"/>
  <c r="Z151" i="47"/>
  <c r="Y151" i="47"/>
  <c r="X151" i="47"/>
  <c r="W151" i="47"/>
  <c r="V151" i="47"/>
  <c r="AO150" i="47"/>
  <c r="AN150" i="47"/>
  <c r="AM150" i="47"/>
  <c r="AL150" i="47"/>
  <c r="AK150" i="47"/>
  <c r="AJ150" i="47"/>
  <c r="AI150" i="47"/>
  <c r="AH150" i="47"/>
  <c r="AG150" i="47"/>
  <c r="AF150" i="47"/>
  <c r="AE150" i="47"/>
  <c r="AD150" i="47"/>
  <c r="AC150" i="47"/>
  <c r="AB150" i="47"/>
  <c r="AA150" i="47"/>
  <c r="Z150" i="47"/>
  <c r="Y150" i="47"/>
  <c r="X150" i="47"/>
  <c r="W150" i="47"/>
  <c r="V150" i="47"/>
  <c r="AO149" i="47"/>
  <c r="AN149" i="47"/>
  <c r="AM149" i="47"/>
  <c r="AL149" i="47"/>
  <c r="AK149" i="47"/>
  <c r="AJ149" i="47"/>
  <c r="AI149" i="47"/>
  <c r="AH149" i="47"/>
  <c r="AG149" i="47"/>
  <c r="AF149" i="47"/>
  <c r="AE149" i="47"/>
  <c r="AD149" i="47"/>
  <c r="AC149" i="47"/>
  <c r="AB149" i="47"/>
  <c r="AA149" i="47"/>
  <c r="Z149" i="47"/>
  <c r="Y149" i="47"/>
  <c r="X149" i="47"/>
  <c r="V149" i="47"/>
  <c r="AO148" i="47"/>
  <c r="AN148" i="47"/>
  <c r="AM148" i="47"/>
  <c r="AL148" i="47"/>
  <c r="AK148" i="47"/>
  <c r="AJ148" i="47"/>
  <c r="AI148" i="47"/>
  <c r="AH148" i="47"/>
  <c r="AG148" i="47"/>
  <c r="AF148" i="47"/>
  <c r="AE148" i="47"/>
  <c r="AD148" i="47"/>
  <c r="AC148" i="47"/>
  <c r="AB148" i="47"/>
  <c r="AA148" i="47"/>
  <c r="Z148" i="47"/>
  <c r="Y148" i="47"/>
  <c r="X148" i="47"/>
  <c r="V148" i="47"/>
  <c r="AO147" i="47"/>
  <c r="AN147" i="47"/>
  <c r="AM147" i="47"/>
  <c r="AL147" i="47"/>
  <c r="AK147" i="47"/>
  <c r="AJ147" i="47"/>
  <c r="AI147" i="47"/>
  <c r="AH147" i="47"/>
  <c r="AG147" i="47"/>
  <c r="AF147" i="47"/>
  <c r="AE147" i="47"/>
  <c r="AD147" i="47"/>
  <c r="AC147" i="47"/>
  <c r="AB147" i="47"/>
  <c r="AA147" i="47"/>
  <c r="Z147" i="47"/>
  <c r="Y147" i="47"/>
  <c r="X147" i="47"/>
  <c r="V147" i="47"/>
  <c r="AO146" i="47"/>
  <c r="AN146" i="47"/>
  <c r="AM146" i="47"/>
  <c r="AL146" i="47"/>
  <c r="AK146" i="47"/>
  <c r="AJ146" i="47"/>
  <c r="AI146" i="47"/>
  <c r="AH146" i="47"/>
  <c r="AG146" i="47"/>
  <c r="AF146" i="47"/>
  <c r="AE146" i="47"/>
  <c r="AD146" i="47"/>
  <c r="AC146" i="47"/>
  <c r="AB146" i="47"/>
  <c r="AA146" i="47"/>
  <c r="Z146" i="47"/>
  <c r="Y146" i="47"/>
  <c r="X146" i="47"/>
  <c r="V146" i="47"/>
  <c r="AO145" i="47"/>
  <c r="AN145" i="47"/>
  <c r="AM145" i="47"/>
  <c r="AL145" i="47"/>
  <c r="AK145" i="47"/>
  <c r="AJ145" i="47"/>
  <c r="AI145" i="47"/>
  <c r="AH145" i="47"/>
  <c r="AG145" i="47"/>
  <c r="AF145" i="47"/>
  <c r="AE145" i="47"/>
  <c r="AD145" i="47"/>
  <c r="AC145" i="47"/>
  <c r="AB145" i="47"/>
  <c r="AA145" i="47"/>
  <c r="Z145" i="47"/>
  <c r="Y145" i="47"/>
  <c r="X145" i="47"/>
  <c r="W145" i="47"/>
  <c r="V145" i="47"/>
  <c r="AO144" i="47"/>
  <c r="AN144" i="47"/>
  <c r="AM144" i="47"/>
  <c r="AL144" i="47"/>
  <c r="AK144" i="47"/>
  <c r="AJ144" i="47"/>
  <c r="AI144" i="47"/>
  <c r="AH144" i="47"/>
  <c r="AG144" i="47"/>
  <c r="AF144" i="47"/>
  <c r="AE144" i="47"/>
  <c r="AD144" i="47"/>
  <c r="AC144" i="47"/>
  <c r="AB144" i="47"/>
  <c r="AA144" i="47"/>
  <c r="Z144" i="47"/>
  <c r="Y144" i="47"/>
  <c r="X144" i="47"/>
  <c r="W144" i="47"/>
  <c r="V144" i="47"/>
  <c r="AO143" i="47"/>
  <c r="AN143" i="47"/>
  <c r="AM143" i="47"/>
  <c r="AL143" i="47"/>
  <c r="AK143" i="47"/>
  <c r="AJ143" i="47"/>
  <c r="AI143" i="47"/>
  <c r="AH143" i="47"/>
  <c r="AG143" i="47"/>
  <c r="AF143" i="47"/>
  <c r="AE143" i="47"/>
  <c r="AD143" i="47"/>
  <c r="AC143" i="47"/>
  <c r="AB143" i="47"/>
  <c r="AA143" i="47"/>
  <c r="Z143" i="47"/>
  <c r="Y143" i="47"/>
  <c r="X143" i="47"/>
  <c r="W143" i="47"/>
  <c r="V143" i="47"/>
  <c r="Q143" i="47"/>
  <c r="AO142" i="47"/>
  <c r="AN142" i="47"/>
  <c r="AM142" i="47"/>
  <c r="AL142" i="47"/>
  <c r="AK142" i="47"/>
  <c r="AJ142" i="47"/>
  <c r="AI142" i="47"/>
  <c r="AH142" i="47"/>
  <c r="AG142" i="47"/>
  <c r="AF142" i="47"/>
  <c r="AE142" i="47"/>
  <c r="AD142" i="47"/>
  <c r="AC142" i="47"/>
  <c r="AB142" i="47"/>
  <c r="AA142" i="47"/>
  <c r="Z142" i="47"/>
  <c r="Y142" i="47"/>
  <c r="X142" i="47"/>
  <c r="W142" i="47"/>
  <c r="V142" i="47"/>
  <c r="Q142" i="47"/>
  <c r="AO141" i="47"/>
  <c r="AN141" i="47"/>
  <c r="AM141" i="47"/>
  <c r="AL141" i="47"/>
  <c r="AK141" i="47"/>
  <c r="AJ141" i="47"/>
  <c r="AI141" i="47"/>
  <c r="AH141" i="47"/>
  <c r="AG141" i="47"/>
  <c r="AF141" i="47"/>
  <c r="AE141" i="47"/>
  <c r="AD141" i="47"/>
  <c r="AC141" i="47"/>
  <c r="AB141" i="47"/>
  <c r="AA141" i="47"/>
  <c r="Z141" i="47"/>
  <c r="Y141" i="47"/>
  <c r="X141" i="47"/>
  <c r="W141" i="47"/>
  <c r="V141" i="47"/>
  <c r="Q141" i="47"/>
  <c r="AO140" i="47"/>
  <c r="AN140" i="47"/>
  <c r="AM140" i="47"/>
  <c r="AL140" i="47"/>
  <c r="AK140" i="47"/>
  <c r="AJ140" i="47"/>
  <c r="AI140" i="47"/>
  <c r="AH140" i="47"/>
  <c r="AG140" i="47"/>
  <c r="AF140" i="47"/>
  <c r="AE140" i="47"/>
  <c r="AD140" i="47"/>
  <c r="AC140" i="47"/>
  <c r="AB140" i="47"/>
  <c r="AA140" i="47"/>
  <c r="Z140" i="47"/>
  <c r="Y140" i="47"/>
  <c r="X140" i="47"/>
  <c r="W140" i="47"/>
  <c r="V140" i="47"/>
  <c r="Q140" i="47"/>
  <c r="AO139" i="47"/>
  <c r="AN139" i="47"/>
  <c r="AM139" i="47"/>
  <c r="AL139" i="47"/>
  <c r="AK139" i="47"/>
  <c r="AJ139" i="47"/>
  <c r="AI139" i="47"/>
  <c r="AH139" i="47"/>
  <c r="AG139" i="47"/>
  <c r="AF139" i="47"/>
  <c r="AE139" i="47"/>
  <c r="AD139" i="47"/>
  <c r="AC139" i="47"/>
  <c r="AB139" i="47"/>
  <c r="AA139" i="47"/>
  <c r="Z139" i="47"/>
  <c r="Y139" i="47"/>
  <c r="X139" i="47"/>
  <c r="W139" i="47"/>
  <c r="V139" i="47"/>
  <c r="Q139" i="47"/>
  <c r="AO138" i="47"/>
  <c r="AN138" i="47"/>
  <c r="AM138" i="47"/>
  <c r="AL138" i="47"/>
  <c r="AK138" i="47"/>
  <c r="AJ138" i="47"/>
  <c r="AI138" i="47"/>
  <c r="AH138" i="47"/>
  <c r="AG138" i="47"/>
  <c r="AF138" i="47"/>
  <c r="AE138" i="47"/>
  <c r="AD138" i="47"/>
  <c r="AC138" i="47"/>
  <c r="AB138" i="47"/>
  <c r="AA138" i="47"/>
  <c r="Z138" i="47"/>
  <c r="Y138" i="47"/>
  <c r="X138" i="47"/>
  <c r="W138" i="47"/>
  <c r="V138" i="47"/>
  <c r="Q138" i="47"/>
  <c r="AO137" i="47"/>
  <c r="AN137" i="47"/>
  <c r="AM137" i="47"/>
  <c r="AL137" i="47"/>
  <c r="AK137" i="47"/>
  <c r="AJ137" i="47"/>
  <c r="AI137" i="47"/>
  <c r="AH137" i="47"/>
  <c r="AG137" i="47"/>
  <c r="AF137" i="47"/>
  <c r="AE137" i="47"/>
  <c r="AD137" i="47"/>
  <c r="AC137" i="47"/>
  <c r="AB137" i="47"/>
  <c r="AA137" i="47"/>
  <c r="Z137" i="47"/>
  <c r="Y137" i="47"/>
  <c r="X137" i="47"/>
  <c r="W137" i="47"/>
  <c r="V137" i="47"/>
  <c r="Q137" i="47"/>
  <c r="AO136" i="47"/>
  <c r="AN136" i="47"/>
  <c r="AM136" i="47"/>
  <c r="AL136" i="47"/>
  <c r="AK136" i="47"/>
  <c r="AJ136" i="47"/>
  <c r="AI136" i="47"/>
  <c r="AH136" i="47"/>
  <c r="AG136" i="47"/>
  <c r="AF136" i="47"/>
  <c r="AE136" i="47"/>
  <c r="AD136" i="47"/>
  <c r="AC136" i="47"/>
  <c r="AB136" i="47"/>
  <c r="AA136" i="47"/>
  <c r="Z136" i="47"/>
  <c r="Y136" i="47"/>
  <c r="X136" i="47"/>
  <c r="W136" i="47"/>
  <c r="V136" i="47"/>
  <c r="Q136" i="47"/>
  <c r="AO135" i="47"/>
  <c r="AN135" i="47"/>
  <c r="AM135" i="47"/>
  <c r="AL135" i="47"/>
  <c r="AK135" i="47"/>
  <c r="AJ135" i="47"/>
  <c r="AI135" i="47"/>
  <c r="AH135" i="47"/>
  <c r="AG135" i="47"/>
  <c r="AF135" i="47"/>
  <c r="AE135" i="47"/>
  <c r="AD135" i="47"/>
  <c r="AC135" i="47"/>
  <c r="AB135" i="47"/>
  <c r="AA135" i="47"/>
  <c r="Z135" i="47"/>
  <c r="Y135" i="47"/>
  <c r="X135" i="47"/>
  <c r="W135" i="47"/>
  <c r="V135" i="47"/>
  <c r="Q135" i="47"/>
  <c r="AO134" i="47"/>
  <c r="AN134" i="47"/>
  <c r="AM134" i="47"/>
  <c r="AL134" i="47"/>
  <c r="AK134" i="47"/>
  <c r="AJ134" i="47"/>
  <c r="AI134" i="47"/>
  <c r="AH134" i="47"/>
  <c r="AG134" i="47"/>
  <c r="AF134" i="47"/>
  <c r="AE134" i="47"/>
  <c r="AD134" i="47"/>
  <c r="AC134" i="47"/>
  <c r="AB134" i="47"/>
  <c r="AA134" i="47"/>
  <c r="Z134" i="47"/>
  <c r="Y134" i="47"/>
  <c r="X134" i="47"/>
  <c r="W134" i="47"/>
  <c r="V134" i="47"/>
  <c r="Q134" i="47"/>
  <c r="AO133" i="47"/>
  <c r="AN133" i="47"/>
  <c r="AM133" i="47"/>
  <c r="AL133" i="47"/>
  <c r="AK133" i="47"/>
  <c r="AJ133" i="47"/>
  <c r="AI133" i="47"/>
  <c r="AH133" i="47"/>
  <c r="AG133" i="47"/>
  <c r="AF133" i="47"/>
  <c r="AE133" i="47"/>
  <c r="AD133" i="47"/>
  <c r="AC133" i="47"/>
  <c r="AB133" i="47"/>
  <c r="AA133" i="47"/>
  <c r="Z133" i="47"/>
  <c r="Y133" i="47"/>
  <c r="X133" i="47"/>
  <c r="W133" i="47"/>
  <c r="V133" i="47"/>
  <c r="Q133" i="47"/>
  <c r="AO132" i="47"/>
  <c r="AN132" i="47"/>
  <c r="AM132" i="47"/>
  <c r="AL132" i="47"/>
  <c r="AK132" i="47"/>
  <c r="AJ132" i="47"/>
  <c r="AI132" i="47"/>
  <c r="AH132" i="47"/>
  <c r="AG132" i="47"/>
  <c r="AF132" i="47"/>
  <c r="AE132" i="47"/>
  <c r="AD132" i="47"/>
  <c r="AC132" i="47"/>
  <c r="AB132" i="47"/>
  <c r="AA132" i="47"/>
  <c r="Z132" i="47"/>
  <c r="Y132" i="47"/>
  <c r="X132" i="47"/>
  <c r="W132" i="47"/>
  <c r="V132" i="47"/>
  <c r="Q132" i="47"/>
  <c r="AO131" i="47"/>
  <c r="AN131" i="47"/>
  <c r="AM131" i="47"/>
  <c r="AL131" i="47"/>
  <c r="AK131" i="47"/>
  <c r="AJ131" i="47"/>
  <c r="AI131" i="47"/>
  <c r="AH131" i="47"/>
  <c r="AG131" i="47"/>
  <c r="AF131" i="47"/>
  <c r="AE131" i="47"/>
  <c r="AD131" i="47"/>
  <c r="AC131" i="47"/>
  <c r="AB131" i="47"/>
  <c r="AA131" i="47"/>
  <c r="Z131" i="47"/>
  <c r="Y131" i="47"/>
  <c r="X131" i="47"/>
  <c r="W131" i="47"/>
  <c r="V131" i="47"/>
  <c r="Q131" i="47"/>
  <c r="AO130" i="47"/>
  <c r="AN130" i="47"/>
  <c r="AM130" i="47"/>
  <c r="AL130" i="47"/>
  <c r="AK130" i="47"/>
  <c r="AJ130" i="47"/>
  <c r="AI130" i="47"/>
  <c r="AH130" i="47"/>
  <c r="AG130" i="47"/>
  <c r="AF130" i="47"/>
  <c r="AE130" i="47"/>
  <c r="AD130" i="47"/>
  <c r="AC130" i="47"/>
  <c r="AB130" i="47"/>
  <c r="AA130" i="47"/>
  <c r="Z130" i="47"/>
  <c r="Y130" i="47"/>
  <c r="X130" i="47"/>
  <c r="W130" i="47"/>
  <c r="V130" i="47"/>
  <c r="Q130" i="47"/>
  <c r="AO129" i="47"/>
  <c r="AN129" i="47"/>
  <c r="AM129" i="47"/>
  <c r="AL129" i="47"/>
  <c r="AK129" i="47"/>
  <c r="AJ129" i="47"/>
  <c r="AI129" i="47"/>
  <c r="AH129" i="47"/>
  <c r="AG129" i="47"/>
  <c r="AF129" i="47"/>
  <c r="AE129" i="47"/>
  <c r="AD129" i="47"/>
  <c r="AC129" i="47"/>
  <c r="AB129" i="47"/>
  <c r="AA129" i="47"/>
  <c r="Z129" i="47"/>
  <c r="Y129" i="47"/>
  <c r="X129" i="47"/>
  <c r="W129" i="47"/>
  <c r="V129" i="47"/>
  <c r="Q129" i="47"/>
  <c r="AO128" i="47"/>
  <c r="AN128" i="47"/>
  <c r="AM128" i="47"/>
  <c r="AL128" i="47"/>
  <c r="AK128" i="47"/>
  <c r="AJ128" i="47"/>
  <c r="AI128" i="47"/>
  <c r="AH128" i="47"/>
  <c r="AG128" i="47"/>
  <c r="AF128" i="47"/>
  <c r="AE128" i="47"/>
  <c r="AD128" i="47"/>
  <c r="AC128" i="47"/>
  <c r="AB128" i="47"/>
  <c r="AA128" i="47"/>
  <c r="Z128" i="47"/>
  <c r="Y128" i="47"/>
  <c r="X128" i="47"/>
  <c r="V128" i="47"/>
  <c r="Q128" i="47"/>
  <c r="AO127" i="47"/>
  <c r="AN127" i="47"/>
  <c r="AM127" i="47"/>
  <c r="AL127" i="47"/>
  <c r="AK127" i="47"/>
  <c r="AJ127" i="47"/>
  <c r="AI127" i="47"/>
  <c r="AH127" i="47"/>
  <c r="AG127" i="47"/>
  <c r="AF127" i="47"/>
  <c r="AE127" i="47"/>
  <c r="AD127" i="47"/>
  <c r="AC127" i="47"/>
  <c r="AB127" i="47"/>
  <c r="AA127" i="47"/>
  <c r="Z127" i="47"/>
  <c r="Y127" i="47"/>
  <c r="X127" i="47"/>
  <c r="V127" i="47"/>
  <c r="Q127" i="47"/>
  <c r="AO126" i="47"/>
  <c r="AN126" i="47"/>
  <c r="AM126" i="47"/>
  <c r="AL126" i="47"/>
  <c r="AK126" i="47"/>
  <c r="AJ126" i="47"/>
  <c r="AI126" i="47"/>
  <c r="AH126" i="47"/>
  <c r="AG126" i="47"/>
  <c r="AF126" i="47"/>
  <c r="AE126" i="47"/>
  <c r="AD126" i="47"/>
  <c r="AC126" i="47"/>
  <c r="AB126" i="47"/>
  <c r="AA126" i="47"/>
  <c r="Z126" i="47"/>
  <c r="Y126" i="47"/>
  <c r="X126" i="47"/>
  <c r="V126" i="47"/>
  <c r="Q126" i="47"/>
  <c r="AO125" i="47"/>
  <c r="AN125" i="47"/>
  <c r="AM125" i="47"/>
  <c r="AL125" i="47"/>
  <c r="AK125" i="47"/>
  <c r="AJ125" i="47"/>
  <c r="AI125" i="47"/>
  <c r="AH125" i="47"/>
  <c r="AG125" i="47"/>
  <c r="AF125" i="47"/>
  <c r="AE125" i="47"/>
  <c r="AD125" i="47"/>
  <c r="AC125" i="47"/>
  <c r="AB125" i="47"/>
  <c r="AA125" i="47"/>
  <c r="Z125" i="47"/>
  <c r="Y125" i="47"/>
  <c r="X125" i="47"/>
  <c r="V125" i="47"/>
  <c r="Q125" i="47"/>
  <c r="AO124" i="47"/>
  <c r="AN124" i="47"/>
  <c r="AM124" i="47"/>
  <c r="AL124" i="47"/>
  <c r="AK124" i="47"/>
  <c r="AJ124" i="47"/>
  <c r="AI124" i="47"/>
  <c r="AH124" i="47"/>
  <c r="AG124" i="47"/>
  <c r="AF124" i="47"/>
  <c r="AE124" i="47"/>
  <c r="AD124" i="47"/>
  <c r="AC124" i="47"/>
  <c r="AB124" i="47"/>
  <c r="AA124" i="47"/>
  <c r="Z124" i="47"/>
  <c r="Y124" i="47"/>
  <c r="X124" i="47"/>
  <c r="V124" i="47"/>
  <c r="Q124" i="47"/>
  <c r="AO123" i="47"/>
  <c r="AN123" i="47"/>
  <c r="AM123" i="47"/>
  <c r="AL123" i="47"/>
  <c r="AK123" i="47"/>
  <c r="AJ123" i="47"/>
  <c r="AI123" i="47"/>
  <c r="AH123" i="47"/>
  <c r="AG123" i="47"/>
  <c r="AF123" i="47"/>
  <c r="AE123" i="47"/>
  <c r="AD123" i="47"/>
  <c r="AC123" i="47"/>
  <c r="AB123" i="47"/>
  <c r="AA123" i="47"/>
  <c r="Z123" i="47"/>
  <c r="Y123" i="47"/>
  <c r="X123" i="47"/>
  <c r="W123" i="47"/>
  <c r="V123" i="47"/>
  <c r="Q123" i="47"/>
  <c r="AO122" i="47"/>
  <c r="AN122" i="47"/>
  <c r="AM122" i="47"/>
  <c r="AL122" i="47"/>
  <c r="AK122" i="47"/>
  <c r="AJ122" i="47"/>
  <c r="AI122" i="47"/>
  <c r="AH122" i="47"/>
  <c r="AG122" i="47"/>
  <c r="AF122" i="47"/>
  <c r="AE122" i="47"/>
  <c r="AD122" i="47"/>
  <c r="AC122" i="47"/>
  <c r="AB122" i="47"/>
  <c r="AA122" i="47"/>
  <c r="Z122" i="47"/>
  <c r="Y122" i="47"/>
  <c r="X122" i="47"/>
  <c r="V122" i="47"/>
  <c r="Q122" i="47"/>
  <c r="AO121" i="47"/>
  <c r="AN121" i="47"/>
  <c r="AM121" i="47"/>
  <c r="AL121" i="47"/>
  <c r="AK121" i="47"/>
  <c r="AJ121" i="47"/>
  <c r="AI121" i="47"/>
  <c r="AH121" i="47"/>
  <c r="AG121" i="47"/>
  <c r="AF121" i="47"/>
  <c r="AE121" i="47"/>
  <c r="AD121" i="47"/>
  <c r="AC121" i="47"/>
  <c r="AB121" i="47"/>
  <c r="AA121" i="47"/>
  <c r="Z121" i="47"/>
  <c r="Y121" i="47"/>
  <c r="X121" i="47"/>
  <c r="V121" i="47"/>
  <c r="Q121" i="47"/>
  <c r="AO120" i="47"/>
  <c r="AN120" i="47"/>
  <c r="AM120" i="47"/>
  <c r="AL120" i="47"/>
  <c r="AK120" i="47"/>
  <c r="AJ120" i="47"/>
  <c r="AI120" i="47"/>
  <c r="AH120" i="47"/>
  <c r="AG120" i="47"/>
  <c r="AF120" i="47"/>
  <c r="AE120" i="47"/>
  <c r="AD120" i="47"/>
  <c r="AC120" i="47"/>
  <c r="AB120" i="47"/>
  <c r="AA120" i="47"/>
  <c r="Z120" i="47"/>
  <c r="Y120" i="47"/>
  <c r="X120" i="47"/>
  <c r="W120" i="47"/>
  <c r="V120" i="47"/>
  <c r="Q120" i="47"/>
  <c r="AO119" i="47"/>
  <c r="AN119" i="47"/>
  <c r="AM119" i="47"/>
  <c r="AL119" i="47"/>
  <c r="AK119" i="47"/>
  <c r="AJ119" i="47"/>
  <c r="AI119" i="47"/>
  <c r="AH119" i="47"/>
  <c r="AG119" i="47"/>
  <c r="AF119" i="47"/>
  <c r="AE119" i="47"/>
  <c r="AD119" i="47"/>
  <c r="AC119" i="47"/>
  <c r="AB119" i="47"/>
  <c r="AA119" i="47"/>
  <c r="Z119" i="47"/>
  <c r="Y119" i="47"/>
  <c r="X119" i="47"/>
  <c r="V119" i="47"/>
  <c r="Q119" i="47"/>
  <c r="AO118" i="47"/>
  <c r="AN118" i="47"/>
  <c r="AM118" i="47"/>
  <c r="AL118" i="47"/>
  <c r="AK118" i="47"/>
  <c r="AJ118" i="47"/>
  <c r="AI118" i="47"/>
  <c r="AH118" i="47"/>
  <c r="AG118" i="47"/>
  <c r="AF118" i="47"/>
  <c r="AE118" i="47"/>
  <c r="AD118" i="47"/>
  <c r="AC118" i="47"/>
  <c r="AB118" i="47"/>
  <c r="AA118" i="47"/>
  <c r="Z118" i="47"/>
  <c r="Y118" i="47"/>
  <c r="X118" i="47"/>
  <c r="V118" i="47"/>
  <c r="Q118" i="47"/>
  <c r="AO117" i="47"/>
  <c r="AN117" i="47"/>
  <c r="AM117" i="47"/>
  <c r="AL117" i="47"/>
  <c r="AK117" i="47"/>
  <c r="AJ117" i="47"/>
  <c r="AI117" i="47"/>
  <c r="AH117" i="47"/>
  <c r="AG117" i="47"/>
  <c r="AF117" i="47"/>
  <c r="AE117" i="47"/>
  <c r="AD117" i="47"/>
  <c r="AC117" i="47"/>
  <c r="AB117" i="47"/>
  <c r="AA117" i="47"/>
  <c r="Z117" i="47"/>
  <c r="Y117" i="47"/>
  <c r="X117" i="47"/>
  <c r="V117" i="47"/>
  <c r="Q117" i="47"/>
  <c r="AO116" i="47"/>
  <c r="AN116" i="47"/>
  <c r="AM116" i="47"/>
  <c r="AL116" i="47"/>
  <c r="AK116" i="47"/>
  <c r="AJ116" i="47"/>
  <c r="AI116" i="47"/>
  <c r="AH116" i="47"/>
  <c r="AG116" i="47"/>
  <c r="AF116" i="47"/>
  <c r="AE116" i="47"/>
  <c r="AD116" i="47"/>
  <c r="AC116" i="47"/>
  <c r="AB116" i="47"/>
  <c r="AA116" i="47"/>
  <c r="Z116" i="47"/>
  <c r="Y116" i="47"/>
  <c r="X116" i="47"/>
  <c r="V116" i="47"/>
  <c r="AO115" i="47"/>
  <c r="AN115" i="47"/>
  <c r="AM115" i="47"/>
  <c r="AL115" i="47"/>
  <c r="AK115" i="47"/>
  <c r="AJ115" i="47"/>
  <c r="AI115" i="47"/>
  <c r="AH115" i="47"/>
  <c r="AG115" i="47"/>
  <c r="AF115" i="47"/>
  <c r="AE115" i="47"/>
  <c r="AD115" i="47"/>
  <c r="AC115" i="47"/>
  <c r="AB115" i="47"/>
  <c r="AA115" i="47"/>
  <c r="Z115" i="47"/>
  <c r="Y115" i="47"/>
  <c r="X115" i="47"/>
  <c r="W115" i="47"/>
  <c r="V115" i="47"/>
  <c r="AO114" i="47"/>
  <c r="AN114" i="47"/>
  <c r="AM114" i="47"/>
  <c r="AL114" i="47"/>
  <c r="AK114" i="47"/>
  <c r="AJ114" i="47"/>
  <c r="AI114" i="47"/>
  <c r="AH114" i="47"/>
  <c r="AG114" i="47"/>
  <c r="AF114" i="47"/>
  <c r="AE114" i="47"/>
  <c r="AD114" i="47"/>
  <c r="AC114" i="47"/>
  <c r="AB114" i="47"/>
  <c r="AA114" i="47"/>
  <c r="Z114" i="47"/>
  <c r="Y114" i="47"/>
  <c r="X114" i="47"/>
  <c r="W114" i="47"/>
  <c r="V114" i="47"/>
  <c r="AO113" i="47"/>
  <c r="AN113" i="47"/>
  <c r="AM113" i="47"/>
  <c r="AL113" i="47"/>
  <c r="AK113" i="47"/>
  <c r="AJ113" i="47"/>
  <c r="AI113" i="47"/>
  <c r="AH113" i="47"/>
  <c r="AG113" i="47"/>
  <c r="AF113" i="47"/>
  <c r="AE113" i="47"/>
  <c r="AD113" i="47"/>
  <c r="AC113" i="47"/>
  <c r="AB113" i="47"/>
  <c r="AA113" i="47"/>
  <c r="Z113" i="47"/>
  <c r="Y113" i="47"/>
  <c r="X113" i="47"/>
  <c r="W113" i="47"/>
  <c r="V113" i="47"/>
  <c r="AO112" i="47"/>
  <c r="AN112" i="47"/>
  <c r="AM112" i="47"/>
  <c r="AL112" i="47"/>
  <c r="AK112" i="47"/>
  <c r="AJ112" i="47"/>
  <c r="AI112" i="47"/>
  <c r="AH112" i="47"/>
  <c r="AG112" i="47"/>
  <c r="AF112" i="47"/>
  <c r="AE112" i="47"/>
  <c r="AD112" i="47"/>
  <c r="AC112" i="47"/>
  <c r="AB112" i="47"/>
  <c r="AA112" i="47"/>
  <c r="Z112" i="47"/>
  <c r="Y112" i="47"/>
  <c r="X112" i="47"/>
  <c r="V112" i="47"/>
  <c r="AO111" i="47"/>
  <c r="AN111" i="47"/>
  <c r="AM111" i="47"/>
  <c r="AL111" i="47"/>
  <c r="AK111" i="47"/>
  <c r="AJ111" i="47"/>
  <c r="AI111" i="47"/>
  <c r="AH111" i="47"/>
  <c r="AG111" i="47"/>
  <c r="AF111" i="47"/>
  <c r="AE111" i="47"/>
  <c r="AD111" i="47"/>
  <c r="AC111" i="47"/>
  <c r="AB111" i="47"/>
  <c r="AA111" i="47"/>
  <c r="Z111" i="47"/>
  <c r="Y111" i="47"/>
  <c r="X111" i="47"/>
  <c r="V111" i="47"/>
  <c r="AO110" i="47"/>
  <c r="AN110" i="47"/>
  <c r="AM110" i="47"/>
  <c r="AL110" i="47"/>
  <c r="AK110" i="47"/>
  <c r="AJ110" i="47"/>
  <c r="AI110" i="47"/>
  <c r="AH110" i="47"/>
  <c r="AG110" i="47"/>
  <c r="AF110" i="47"/>
  <c r="AE110" i="47"/>
  <c r="AD110" i="47"/>
  <c r="AC110" i="47"/>
  <c r="AB110" i="47"/>
  <c r="AA110" i="47"/>
  <c r="Z110" i="47"/>
  <c r="Y110" i="47"/>
  <c r="X110" i="47"/>
  <c r="V110" i="47"/>
  <c r="AO109" i="47"/>
  <c r="AN109" i="47"/>
  <c r="AM109" i="47"/>
  <c r="AL109" i="47"/>
  <c r="AK109" i="47"/>
  <c r="AJ109" i="47"/>
  <c r="AI109" i="47"/>
  <c r="AH109" i="47"/>
  <c r="AG109" i="47"/>
  <c r="AF109" i="47"/>
  <c r="AE109" i="47"/>
  <c r="AD109" i="47"/>
  <c r="AC109" i="47"/>
  <c r="AB109" i="47"/>
  <c r="AA109" i="47"/>
  <c r="Z109" i="47"/>
  <c r="Y109" i="47"/>
  <c r="X109" i="47"/>
  <c r="V109" i="47"/>
  <c r="AO108" i="47"/>
  <c r="AN108" i="47"/>
  <c r="AM108" i="47"/>
  <c r="AL108" i="47"/>
  <c r="AK108" i="47"/>
  <c r="AJ108" i="47"/>
  <c r="AI108" i="47"/>
  <c r="AH108" i="47"/>
  <c r="AG108" i="47"/>
  <c r="AF108" i="47"/>
  <c r="AE108" i="47"/>
  <c r="AD108" i="47"/>
  <c r="AC108" i="47"/>
  <c r="AB108" i="47"/>
  <c r="AA108" i="47"/>
  <c r="Z108" i="47"/>
  <c r="Y108" i="47"/>
  <c r="X108" i="47"/>
  <c r="V108" i="47"/>
  <c r="AO107" i="47"/>
  <c r="AN107" i="47"/>
  <c r="AM107" i="47"/>
  <c r="AL107" i="47"/>
  <c r="AK107" i="47"/>
  <c r="AJ107" i="47"/>
  <c r="AI107" i="47"/>
  <c r="AH107" i="47"/>
  <c r="AG107" i="47"/>
  <c r="AF107" i="47"/>
  <c r="AE107" i="47"/>
  <c r="AD107" i="47"/>
  <c r="AC107" i="47"/>
  <c r="AB107" i="47"/>
  <c r="AA107" i="47"/>
  <c r="Z107" i="47"/>
  <c r="Y107" i="47"/>
  <c r="X107" i="47"/>
  <c r="V107" i="47"/>
  <c r="AO106" i="47"/>
  <c r="AN106" i="47"/>
  <c r="AM106" i="47"/>
  <c r="AL106" i="47"/>
  <c r="AK106" i="47"/>
  <c r="AJ106" i="47"/>
  <c r="AI106" i="47"/>
  <c r="AH106" i="47"/>
  <c r="AG106" i="47"/>
  <c r="AF106" i="47"/>
  <c r="AE106" i="47"/>
  <c r="AD106" i="47"/>
  <c r="AC106" i="47"/>
  <c r="AB106" i="47"/>
  <c r="AA106" i="47"/>
  <c r="Z106" i="47"/>
  <c r="Y106" i="47"/>
  <c r="X106" i="47"/>
  <c r="V106" i="47"/>
  <c r="AO105" i="47"/>
  <c r="AN105" i="47"/>
  <c r="AM105" i="47"/>
  <c r="AL105" i="47"/>
  <c r="AK105" i="47"/>
  <c r="AJ105" i="47"/>
  <c r="AI105" i="47"/>
  <c r="AH105" i="47"/>
  <c r="AG105" i="47"/>
  <c r="AF105" i="47"/>
  <c r="AE105" i="47"/>
  <c r="AD105" i="47"/>
  <c r="AC105" i="47"/>
  <c r="AB105" i="47"/>
  <c r="AA105" i="47"/>
  <c r="Z105" i="47"/>
  <c r="Y105" i="47"/>
  <c r="X105" i="47"/>
  <c r="V105" i="47"/>
  <c r="AO104" i="47"/>
  <c r="AN104" i="47"/>
  <c r="AM104" i="47"/>
  <c r="AL104" i="47"/>
  <c r="AK104" i="47"/>
  <c r="AJ104" i="47"/>
  <c r="AI104" i="47"/>
  <c r="AH104" i="47"/>
  <c r="AG104" i="47"/>
  <c r="AF104" i="47"/>
  <c r="AE104" i="47"/>
  <c r="AD104" i="47"/>
  <c r="AC104" i="47"/>
  <c r="AB104" i="47"/>
  <c r="AA104" i="47"/>
  <c r="Z104" i="47"/>
  <c r="Y104" i="47"/>
  <c r="X104" i="47"/>
  <c r="W104" i="47"/>
  <c r="V104" i="47"/>
  <c r="AO103" i="47"/>
  <c r="AN103" i="47"/>
  <c r="AM103" i="47"/>
  <c r="AL103" i="47"/>
  <c r="AK103" i="47"/>
  <c r="AJ103" i="47"/>
  <c r="AI103" i="47"/>
  <c r="AH103" i="47"/>
  <c r="AG103" i="47"/>
  <c r="AF103" i="47"/>
  <c r="AE103" i="47"/>
  <c r="AD103" i="47"/>
  <c r="AC103" i="47"/>
  <c r="AB103" i="47"/>
  <c r="AA103" i="47"/>
  <c r="Z103" i="47"/>
  <c r="Y103" i="47"/>
  <c r="X103" i="47"/>
  <c r="V103" i="47"/>
  <c r="AO102" i="47"/>
  <c r="AN102" i="47"/>
  <c r="AM102" i="47"/>
  <c r="AL102" i="47"/>
  <c r="AK102" i="47"/>
  <c r="AJ102" i="47"/>
  <c r="AI102" i="47"/>
  <c r="AH102" i="47"/>
  <c r="AG102" i="47"/>
  <c r="AF102" i="47"/>
  <c r="AE102" i="47"/>
  <c r="AD102" i="47"/>
  <c r="AC102" i="47"/>
  <c r="AB102" i="47"/>
  <c r="AA102" i="47"/>
  <c r="Z102" i="47"/>
  <c r="Y102" i="47"/>
  <c r="X102" i="47"/>
  <c r="W102" i="47"/>
  <c r="V102" i="47"/>
  <c r="AO101" i="47"/>
  <c r="AN101" i="47"/>
  <c r="AM101" i="47"/>
  <c r="AL101" i="47"/>
  <c r="AK101" i="47"/>
  <c r="AJ101" i="47"/>
  <c r="AI101" i="47"/>
  <c r="AH101" i="47"/>
  <c r="AG101" i="47"/>
  <c r="AF101" i="47"/>
  <c r="AE101" i="47"/>
  <c r="AD101" i="47"/>
  <c r="AC101" i="47"/>
  <c r="AB101" i="47"/>
  <c r="AA101" i="47"/>
  <c r="Z101" i="47"/>
  <c r="Y101" i="47"/>
  <c r="X101" i="47"/>
  <c r="V101" i="47"/>
  <c r="AO100" i="47"/>
  <c r="AN100" i="47"/>
  <c r="AM100" i="47"/>
  <c r="AL100" i="47"/>
  <c r="AK100" i="47"/>
  <c r="AJ100" i="47"/>
  <c r="AI100" i="47"/>
  <c r="AH100" i="47"/>
  <c r="AG100" i="47"/>
  <c r="AF100" i="47"/>
  <c r="AE100" i="47"/>
  <c r="AD100" i="47"/>
  <c r="AC100" i="47"/>
  <c r="AB100" i="47"/>
  <c r="AA100" i="47"/>
  <c r="Z100" i="47"/>
  <c r="Y100" i="47"/>
  <c r="X100" i="47"/>
  <c r="V100" i="47"/>
  <c r="Z95" i="47"/>
  <c r="W95" i="47"/>
  <c r="AC94" i="47"/>
  <c r="Y94" i="47"/>
  <c r="V94" i="47"/>
  <c r="AD93" i="47"/>
  <c r="AA93" i="47"/>
  <c r="Y93" i="47"/>
  <c r="W93" i="47"/>
  <c r="AC92" i="47"/>
  <c r="X92" i="47"/>
  <c r="Y91" i="47"/>
  <c r="V91" i="47"/>
  <c r="B91" i="47"/>
  <c r="AA90" i="47"/>
  <c r="Z89" i="47"/>
  <c r="Y89" i="47"/>
  <c r="W89" i="47"/>
  <c r="AB88" i="47"/>
  <c r="AA88" i="47"/>
  <c r="B85" i="47"/>
  <c r="Z82" i="47"/>
  <c r="Y82" i="47"/>
  <c r="X82" i="47"/>
  <c r="W82" i="47"/>
  <c r="V82" i="47"/>
  <c r="B82" i="47"/>
  <c r="Z81" i="47"/>
  <c r="Y81" i="47"/>
  <c r="X81" i="47"/>
  <c r="W81" i="47"/>
  <c r="V81" i="47"/>
  <c r="Z80" i="47"/>
  <c r="Y80" i="47"/>
  <c r="X80" i="47"/>
  <c r="W80" i="47"/>
  <c r="V80" i="47"/>
  <c r="Z79" i="47"/>
  <c r="Y79" i="47"/>
  <c r="X79" i="47"/>
  <c r="W79" i="47"/>
  <c r="V79" i="47"/>
  <c r="Z78" i="47"/>
  <c r="Y78" i="47"/>
  <c r="X78" i="47"/>
  <c r="W78" i="47"/>
  <c r="V78" i="47"/>
  <c r="Z77" i="47"/>
  <c r="Y77" i="47"/>
  <c r="X77" i="47"/>
  <c r="W77" i="47"/>
  <c r="V77" i="47"/>
  <c r="Z76" i="47"/>
  <c r="Y76" i="47"/>
  <c r="X76" i="47"/>
  <c r="W76" i="47"/>
  <c r="V76" i="47"/>
  <c r="Z75" i="47"/>
  <c r="Y75" i="47"/>
  <c r="X75" i="47"/>
  <c r="V75" i="47"/>
  <c r="Z74" i="47"/>
  <c r="Y74" i="47"/>
  <c r="X74" i="47"/>
  <c r="W74" i="47"/>
  <c r="V74" i="47"/>
  <c r="Z73" i="47"/>
  <c r="Y73" i="47"/>
  <c r="X73" i="47"/>
  <c r="W73" i="47"/>
  <c r="V73" i="47"/>
  <c r="Z68" i="47"/>
  <c r="Y68" i="47"/>
  <c r="X68" i="47"/>
  <c r="W68" i="47"/>
  <c r="V68" i="47"/>
  <c r="Z67" i="47"/>
  <c r="Y67" i="47"/>
  <c r="X67" i="47"/>
  <c r="W67" i="47"/>
  <c r="V67" i="47"/>
  <c r="Z66" i="47"/>
  <c r="Y66" i="47"/>
  <c r="X66" i="47"/>
  <c r="V66" i="47"/>
  <c r="Z65" i="47"/>
  <c r="Y65" i="47"/>
  <c r="X65" i="47"/>
  <c r="W65" i="47"/>
  <c r="V65" i="47"/>
  <c r="Z64" i="47"/>
  <c r="Y64" i="47"/>
  <c r="X64" i="47"/>
  <c r="W64" i="47"/>
  <c r="V64" i="47"/>
  <c r="Z63" i="47"/>
  <c r="Y63" i="47"/>
  <c r="X63" i="47"/>
  <c r="W63" i="47"/>
  <c r="V63" i="47"/>
  <c r="Z62" i="47"/>
  <c r="Y62" i="47"/>
  <c r="X62" i="47"/>
  <c r="W62" i="47"/>
  <c r="V62" i="47"/>
  <c r="Z61" i="47"/>
  <c r="Y61" i="47"/>
  <c r="X61" i="47"/>
  <c r="W61" i="47"/>
  <c r="V61" i="47"/>
  <c r="Z60" i="47"/>
  <c r="Y60" i="47"/>
  <c r="X60" i="47"/>
  <c r="W60" i="47"/>
  <c r="V60" i="47"/>
  <c r="Z59" i="47"/>
  <c r="Y59" i="47"/>
  <c r="X59" i="47"/>
  <c r="W59" i="47"/>
  <c r="V59" i="47"/>
  <c r="Z58" i="47"/>
  <c r="Y58" i="47"/>
  <c r="X58" i="47"/>
  <c r="W58" i="47"/>
  <c r="V58" i="47"/>
  <c r="Z57" i="47"/>
  <c r="Y57" i="47"/>
  <c r="X57" i="47"/>
  <c r="W57" i="47"/>
  <c r="V57" i="47"/>
  <c r="Z56" i="47"/>
  <c r="Y56" i="47"/>
  <c r="X56" i="47"/>
  <c r="W56" i="47"/>
  <c r="V56" i="47"/>
  <c r="AC47" i="47"/>
  <c r="AC46" i="47"/>
  <c r="AE45" i="47"/>
  <c r="AC45" i="47"/>
  <c r="AE46" i="47" s="1"/>
  <c r="B45" i="47"/>
  <c r="AP44" i="47"/>
  <c r="B94" i="47" s="1"/>
  <c r="AP43" i="47"/>
  <c r="AP42" i="47"/>
  <c r="B88" i="47" s="1"/>
  <c r="X42" i="47"/>
  <c r="AP41" i="47"/>
  <c r="X41" i="47"/>
  <c r="AP40" i="47"/>
  <c r="X40" i="47"/>
  <c r="X39" i="47"/>
  <c r="X38" i="47"/>
  <c r="J38" i="47"/>
  <c r="E38" i="47" s="1"/>
  <c r="B38" i="47"/>
  <c r="AK37" i="47"/>
  <c r="AU59" i="47" s="1"/>
  <c r="X37" i="47"/>
  <c r="AL36" i="47"/>
  <c r="AK36" i="47"/>
  <c r="AU58" i="47" s="1"/>
  <c r="X36" i="47"/>
  <c r="AL35" i="47"/>
  <c r="AK35" i="47"/>
  <c r="AU57" i="47" s="1"/>
  <c r="X35" i="47"/>
  <c r="Q35" i="47"/>
  <c r="P35" i="47"/>
  <c r="O35" i="47" s="1"/>
  <c r="AL34" i="47"/>
  <c r="AK34" i="47"/>
  <c r="AU56" i="47" s="1"/>
  <c r="X34" i="47"/>
  <c r="AL33" i="47"/>
  <c r="AK33" i="47"/>
  <c r="AU55" i="47" s="1"/>
  <c r="X33" i="47"/>
  <c r="AL32" i="47"/>
  <c r="AK32" i="47"/>
  <c r="AU54" i="47" s="1"/>
  <c r="X32" i="47"/>
  <c r="AL31" i="47"/>
  <c r="AK31" i="47"/>
  <c r="AU53" i="47" s="1"/>
  <c r="AG31" i="47"/>
  <c r="X31" i="47"/>
  <c r="AL30" i="47"/>
  <c r="AK30" i="47"/>
  <c r="AU52" i="47" s="1"/>
  <c r="X30" i="47"/>
  <c r="B30" i="47"/>
  <c r="AL29" i="47"/>
  <c r="AK29" i="47"/>
  <c r="AU51" i="47" s="1"/>
  <c r="X29" i="47"/>
  <c r="X28" i="47"/>
  <c r="AQ27" i="47"/>
  <c r="B27" i="47"/>
  <c r="P25" i="47"/>
  <c r="I24" i="47" s="1"/>
  <c r="G24" i="47"/>
  <c r="E24" i="47"/>
  <c r="C24" i="47"/>
  <c r="AB23" i="47"/>
  <c r="AA23" i="47"/>
  <c r="AC23" i="47" s="1"/>
  <c r="Z23" i="47"/>
  <c r="Y23" i="47"/>
  <c r="I23" i="47"/>
  <c r="G23" i="47"/>
  <c r="E23" i="47"/>
  <c r="C23" i="47"/>
  <c r="AC22" i="47"/>
  <c r="AB22" i="47"/>
  <c r="AA22" i="47"/>
  <c r="Z22" i="47"/>
  <c r="Y22" i="47"/>
  <c r="AD22" i="47" s="1"/>
  <c r="AB39" i="47" s="1"/>
  <c r="I22" i="47"/>
  <c r="G22" i="47"/>
  <c r="E22" i="47"/>
  <c r="C22" i="47"/>
  <c r="I21" i="47"/>
  <c r="G21" i="47"/>
  <c r="E21" i="47"/>
  <c r="C21" i="47"/>
  <c r="AQ20" i="47"/>
  <c r="B72" i="47" s="1"/>
  <c r="AQ36" i="47" s="1"/>
  <c r="AI20" i="47"/>
  <c r="I20" i="47"/>
  <c r="AQ19" i="47"/>
  <c r="B69" i="47" s="1"/>
  <c r="AQ35" i="47" s="1"/>
  <c r="AI19" i="47"/>
  <c r="AQ18" i="47"/>
  <c r="AI18" i="47"/>
  <c r="AJ18" i="47" s="1"/>
  <c r="AK18" i="47" s="1"/>
  <c r="AV26" i="47" s="1"/>
  <c r="I18" i="47"/>
  <c r="E18" i="47"/>
  <c r="AL18" i="47" s="1"/>
  <c r="AI17" i="47"/>
  <c r="AI16" i="47"/>
  <c r="AI15" i="47"/>
  <c r="AJ15" i="47" s="1"/>
  <c r="AK15" i="47" s="1"/>
  <c r="AU26" i="47" s="1"/>
  <c r="AQ14" i="47"/>
  <c r="B63" i="47" s="1"/>
  <c r="AQ33" i="47" s="1"/>
  <c r="AI14" i="47"/>
  <c r="I14" i="47"/>
  <c r="AQ13" i="47"/>
  <c r="B60" i="47" s="1"/>
  <c r="AQ32" i="47" s="1"/>
  <c r="AI13" i="47"/>
  <c r="AQ12" i="47"/>
  <c r="B57" i="47" s="1"/>
  <c r="AQ31" i="47" s="1"/>
  <c r="AI12" i="47"/>
  <c r="AJ12" i="47" s="1"/>
  <c r="AK12" i="47" s="1"/>
  <c r="AT26" i="47" s="1"/>
  <c r="AI11" i="47"/>
  <c r="AB11" i="47"/>
  <c r="AA11" i="47"/>
  <c r="Z11" i="47"/>
  <c r="AC11" i="47" s="1"/>
  <c r="Y11" i="47"/>
  <c r="AI10" i="47"/>
  <c r="AB10" i="47"/>
  <c r="AA10" i="47"/>
  <c r="Z10" i="47"/>
  <c r="AC10" i="47" s="1"/>
  <c r="Y10" i="47"/>
  <c r="AI9" i="47"/>
  <c r="AJ9" i="47" s="1"/>
  <c r="AB9" i="47"/>
  <c r="AA9" i="47"/>
  <c r="Z9" i="47"/>
  <c r="AC9" i="47" s="1"/>
  <c r="Y9" i="47"/>
  <c r="AQ8" i="47"/>
  <c r="B54" i="47" s="1"/>
  <c r="AQ30" i="47" s="1"/>
  <c r="AC8" i="47"/>
  <c r="AB8" i="47"/>
  <c r="AA8" i="47"/>
  <c r="Z8" i="47"/>
  <c r="Y8" i="47"/>
  <c r="AD8" i="47" s="1"/>
  <c r="AB36" i="47" s="1"/>
  <c r="AQ7" i="47"/>
  <c r="B51" i="47" s="1"/>
  <c r="AQ29" i="47" s="1"/>
  <c r="AQ6" i="47"/>
  <c r="B48" i="47" s="1"/>
  <c r="AQ28" i="47" s="1"/>
  <c r="P96" i="54" l="1"/>
  <c r="AU5" i="54"/>
  <c r="AS5" i="54"/>
  <c r="AT5" i="54"/>
  <c r="O111" i="54"/>
  <c r="P111" i="54"/>
  <c r="Q111" i="54"/>
  <c r="J39" i="54"/>
  <c r="E38" i="54"/>
  <c r="D38" i="54"/>
  <c r="I38" i="54" s="1"/>
  <c r="I39" i="54" s="1"/>
  <c r="N111" i="54"/>
  <c r="AQ58" i="54"/>
  <c r="W192" i="54"/>
  <c r="AB192" i="54" s="1"/>
  <c r="X194" i="54"/>
  <c r="AC194" i="54" s="1"/>
  <c r="W204" i="54"/>
  <c r="AB204" i="54" s="1"/>
  <c r="X206" i="54"/>
  <c r="AC206" i="54" s="1"/>
  <c r="W190" i="54"/>
  <c r="AB190" i="54" s="1"/>
  <c r="X192" i="54"/>
  <c r="AC192" i="54" s="1"/>
  <c r="W202" i="54"/>
  <c r="AB202" i="54" s="1"/>
  <c r="X204" i="54"/>
  <c r="AC204" i="54" s="1"/>
  <c r="Y214" i="54"/>
  <c r="AD214" i="54" s="1"/>
  <c r="AL12" i="54"/>
  <c r="B60" i="54"/>
  <c r="AQ32" i="54" s="1"/>
  <c r="B63" i="54"/>
  <c r="AQ33" i="54" s="1"/>
  <c r="AL15" i="54"/>
  <c r="W188" i="54"/>
  <c r="AB188" i="54" s="1"/>
  <c r="X190" i="54"/>
  <c r="AC190" i="54" s="1"/>
  <c r="W200" i="54"/>
  <c r="AB200" i="54" s="1"/>
  <c r="X202" i="54"/>
  <c r="AC202" i="54" s="1"/>
  <c r="Y212" i="54"/>
  <c r="AD212" i="54" s="1"/>
  <c r="X214" i="54"/>
  <c r="AC214" i="54" s="1"/>
  <c r="B66" i="54"/>
  <c r="AQ34" i="54" s="1"/>
  <c r="V49" i="54"/>
  <c r="V47" i="54" s="1"/>
  <c r="V48" i="54" s="1"/>
  <c r="V51" i="54" s="1"/>
  <c r="J27" i="54" s="1"/>
  <c r="V50" i="54"/>
  <c r="B57" i="54"/>
  <c r="AQ31" i="54" s="1"/>
  <c r="X188" i="54"/>
  <c r="AC188" i="54" s="1"/>
  <c r="W198" i="54"/>
  <c r="AB198" i="54" s="1"/>
  <c r="X200" i="54"/>
  <c r="AC200" i="54" s="1"/>
  <c r="Y210" i="54"/>
  <c r="AD210" i="54" s="1"/>
  <c r="X212" i="54"/>
  <c r="AC212" i="54" s="1"/>
  <c r="B69" i="54"/>
  <c r="AQ35" i="54" s="1"/>
  <c r="W214" i="54"/>
  <c r="AB214" i="54" s="1"/>
  <c r="Z46" i="54"/>
  <c r="AE87" i="54"/>
  <c r="AE90" i="54"/>
  <c r="W196" i="54"/>
  <c r="AB196" i="54" s="1"/>
  <c r="X198" i="54"/>
  <c r="AC198" i="54" s="1"/>
  <c r="Y208" i="54"/>
  <c r="AD208" i="54" s="1"/>
  <c r="Y188" i="54"/>
  <c r="AD188" i="54" s="1"/>
  <c r="Y190" i="54"/>
  <c r="AD190" i="54" s="1"/>
  <c r="Y192" i="54"/>
  <c r="AD192" i="54" s="1"/>
  <c r="Y194" i="54"/>
  <c r="AD194" i="54" s="1"/>
  <c r="Y196" i="54"/>
  <c r="AD196" i="54" s="1"/>
  <c r="Y198" i="54"/>
  <c r="AD198" i="54" s="1"/>
  <c r="Y200" i="54"/>
  <c r="AD200" i="54" s="1"/>
  <c r="Y202" i="54"/>
  <c r="AD202" i="54" s="1"/>
  <c r="Y204" i="54"/>
  <c r="AD204" i="54" s="1"/>
  <c r="Z188" i="54"/>
  <c r="AE188" i="54" s="1"/>
  <c r="W189" i="54"/>
  <c r="AB189" i="54" s="1"/>
  <c r="Z190" i="54"/>
  <c r="AE190" i="54" s="1"/>
  <c r="W191" i="54"/>
  <c r="AB191" i="54" s="1"/>
  <c r="Z192" i="54"/>
  <c r="AE192" i="54" s="1"/>
  <c r="W193" i="54"/>
  <c r="AB193" i="54" s="1"/>
  <c r="Z194" i="54"/>
  <c r="AE194" i="54" s="1"/>
  <c r="W195" i="54"/>
  <c r="AB195" i="54" s="1"/>
  <c r="Z196" i="54"/>
  <c r="AE196" i="54" s="1"/>
  <c r="W197" i="54"/>
  <c r="AB197" i="54" s="1"/>
  <c r="Z198" i="54"/>
  <c r="AE198" i="54" s="1"/>
  <c r="W199" i="54"/>
  <c r="AB199" i="54" s="1"/>
  <c r="Z200" i="54"/>
  <c r="AE200" i="54" s="1"/>
  <c r="W201" i="54"/>
  <c r="AB201" i="54" s="1"/>
  <c r="Z202" i="54"/>
  <c r="AE202" i="54" s="1"/>
  <c r="W203" i="54"/>
  <c r="AB203" i="54" s="1"/>
  <c r="Z204" i="54"/>
  <c r="AE204" i="54" s="1"/>
  <c r="W205" i="54"/>
  <c r="AB205" i="54" s="1"/>
  <c r="Z206" i="54"/>
  <c r="AE206" i="54" s="1"/>
  <c r="W207" i="54"/>
  <c r="AB207" i="54" s="1"/>
  <c r="Z208" i="54"/>
  <c r="AE208" i="54" s="1"/>
  <c r="W209" i="54"/>
  <c r="AB209" i="54" s="1"/>
  <c r="Z210" i="54"/>
  <c r="AE210" i="54" s="1"/>
  <c r="W211" i="54"/>
  <c r="AB211" i="54" s="1"/>
  <c r="Z212" i="54"/>
  <c r="AE212" i="54" s="1"/>
  <c r="W213" i="54"/>
  <c r="AB213" i="54" s="1"/>
  <c r="Z214" i="54"/>
  <c r="AE214" i="54" s="1"/>
  <c r="X189" i="54"/>
  <c r="AC189" i="54" s="1"/>
  <c r="X191" i="54"/>
  <c r="AC191" i="54" s="1"/>
  <c r="X193" i="54"/>
  <c r="AC193" i="54" s="1"/>
  <c r="X195" i="54"/>
  <c r="AC195" i="54" s="1"/>
  <c r="X197" i="54"/>
  <c r="AC197" i="54" s="1"/>
  <c r="X199" i="54"/>
  <c r="AC199" i="54" s="1"/>
  <c r="X201" i="54"/>
  <c r="AC201" i="54" s="1"/>
  <c r="X203" i="54"/>
  <c r="AC203" i="54" s="1"/>
  <c r="X205" i="54"/>
  <c r="AC205" i="54" s="1"/>
  <c r="X207" i="54"/>
  <c r="AC207" i="54" s="1"/>
  <c r="X209" i="54"/>
  <c r="AC209" i="54" s="1"/>
  <c r="X211" i="54"/>
  <c r="AC211" i="54" s="1"/>
  <c r="X213" i="54"/>
  <c r="AC213" i="54" s="1"/>
  <c r="Y189" i="54"/>
  <c r="AD189" i="54" s="1"/>
  <c r="Y191" i="54"/>
  <c r="AD191" i="54" s="1"/>
  <c r="Y193" i="54"/>
  <c r="AD193" i="54" s="1"/>
  <c r="Y195" i="54"/>
  <c r="AD195" i="54" s="1"/>
  <c r="Y197" i="54"/>
  <c r="AD197" i="54" s="1"/>
  <c r="Y199" i="54"/>
  <c r="AD199" i="54" s="1"/>
  <c r="Y201" i="54"/>
  <c r="AD201" i="54" s="1"/>
  <c r="Y203" i="54"/>
  <c r="AD203" i="54" s="1"/>
  <c r="Y205" i="54"/>
  <c r="AD205" i="54" s="1"/>
  <c r="Y207" i="54"/>
  <c r="AD207" i="54" s="1"/>
  <c r="Y209" i="54"/>
  <c r="AD209" i="54" s="1"/>
  <c r="Y211" i="54"/>
  <c r="AD211" i="54" s="1"/>
  <c r="Y213" i="54"/>
  <c r="AD213" i="54" s="1"/>
  <c r="Z189" i="54"/>
  <c r="AE189" i="54" s="1"/>
  <c r="Z191" i="54"/>
  <c r="AE191" i="54" s="1"/>
  <c r="Z193" i="54"/>
  <c r="AE193" i="54" s="1"/>
  <c r="Z195" i="54"/>
  <c r="AE195" i="54" s="1"/>
  <c r="Z197" i="54"/>
  <c r="AE197" i="54" s="1"/>
  <c r="Z199" i="54"/>
  <c r="AE199" i="54" s="1"/>
  <c r="Z201" i="54"/>
  <c r="AE201" i="54" s="1"/>
  <c r="Z203" i="54"/>
  <c r="AE203" i="54" s="1"/>
  <c r="Z205" i="54"/>
  <c r="AE205" i="54" s="1"/>
  <c r="W206" i="54"/>
  <c r="AB206" i="54" s="1"/>
  <c r="Z207" i="54"/>
  <c r="AE207" i="54" s="1"/>
  <c r="W208" i="54"/>
  <c r="AB208" i="54" s="1"/>
  <c r="Z209" i="54"/>
  <c r="AE209" i="54" s="1"/>
  <c r="W210" i="54"/>
  <c r="AB210" i="54" s="1"/>
  <c r="Z211" i="54"/>
  <c r="AE211" i="54" s="1"/>
  <c r="W212" i="54"/>
  <c r="AB212" i="54" s="1"/>
  <c r="Z213" i="54"/>
  <c r="AE213" i="54" s="1"/>
  <c r="AD32" i="48"/>
  <c r="AC31" i="51"/>
  <c r="AD31" i="53"/>
  <c r="AD31" i="51"/>
  <c r="AD31" i="48"/>
  <c r="AD32" i="50"/>
  <c r="AD31" i="50"/>
  <c r="AD32" i="52"/>
  <c r="AD30" i="51"/>
  <c r="AC30" i="51" s="1"/>
  <c r="AC30" i="47"/>
  <c r="AD30" i="50"/>
  <c r="AC30" i="50" s="1"/>
  <c r="O96" i="50" s="1"/>
  <c r="AD30" i="52"/>
  <c r="AC30" i="52" s="1"/>
  <c r="O96" i="52" s="1"/>
  <c r="AD30" i="48"/>
  <c r="AC30" i="48" s="1"/>
  <c r="O96" i="48" s="1"/>
  <c r="AD30" i="49"/>
  <c r="AC30" i="49" s="1"/>
  <c r="O96" i="49" s="1"/>
  <c r="AE94" i="48"/>
  <c r="X208" i="48"/>
  <c r="AC208" i="48" s="1"/>
  <c r="AE91" i="48"/>
  <c r="X208" i="52"/>
  <c r="AC208" i="52" s="1"/>
  <c r="X208" i="53"/>
  <c r="AC208" i="53" s="1"/>
  <c r="AE88" i="52"/>
  <c r="AE93" i="52"/>
  <c r="AE90" i="50"/>
  <c r="AE94" i="49"/>
  <c r="AE95" i="48"/>
  <c r="AE88" i="48"/>
  <c r="AE89" i="49"/>
  <c r="Z46" i="49" s="1"/>
  <c r="AE95" i="49"/>
  <c r="X208" i="50"/>
  <c r="AC208" i="50" s="1"/>
  <c r="AE91" i="52"/>
  <c r="AE94" i="52"/>
  <c r="W190" i="47"/>
  <c r="AB190" i="47" s="1"/>
  <c r="W196" i="47"/>
  <c r="AB196" i="47" s="1"/>
  <c r="W194" i="50"/>
  <c r="AB194" i="50" s="1"/>
  <c r="AE89" i="51"/>
  <c r="W194" i="53"/>
  <c r="AB194" i="53" s="1"/>
  <c r="AS31" i="47"/>
  <c r="AE89" i="50"/>
  <c r="AE88" i="51"/>
  <c r="AE93" i="51"/>
  <c r="X210" i="52"/>
  <c r="AC210" i="52" s="1"/>
  <c r="AE89" i="53"/>
  <c r="Z46" i="53" s="1"/>
  <c r="AE88" i="47"/>
  <c r="AE91" i="47"/>
  <c r="AE90" i="49"/>
  <c r="AE87" i="50"/>
  <c r="AE95" i="52"/>
  <c r="AE92" i="49"/>
  <c r="AE92" i="50"/>
  <c r="AE95" i="50"/>
  <c r="AE90" i="52"/>
  <c r="AE92" i="53"/>
  <c r="AE95" i="53"/>
  <c r="AE87" i="47"/>
  <c r="AE90" i="47"/>
  <c r="Y201" i="52"/>
  <c r="AD201" i="52" s="1"/>
  <c r="AE91" i="53"/>
  <c r="W206" i="53"/>
  <c r="AB206" i="53" s="1"/>
  <c r="X210" i="51"/>
  <c r="AC210" i="51" s="1"/>
  <c r="X196" i="51"/>
  <c r="AC196" i="51" s="1"/>
  <c r="AE87" i="53"/>
  <c r="AE94" i="47"/>
  <c r="AE93" i="47"/>
  <c r="X210" i="48"/>
  <c r="AC210" i="48" s="1"/>
  <c r="AE95" i="47"/>
  <c r="Y213" i="52"/>
  <c r="AD213" i="52" s="1"/>
  <c r="Z193" i="47"/>
  <c r="AE193" i="47" s="1"/>
  <c r="Z199" i="47"/>
  <c r="AE199" i="47" s="1"/>
  <c r="Z205" i="47"/>
  <c r="AE205" i="47" s="1"/>
  <c r="Z211" i="47"/>
  <c r="AE211" i="47" s="1"/>
  <c r="W194" i="48"/>
  <c r="AB194" i="48" s="1"/>
  <c r="AE91" i="49"/>
  <c r="AE93" i="49"/>
  <c r="AQ58" i="50"/>
  <c r="E46" i="50" s="1"/>
  <c r="X210" i="50"/>
  <c r="AC210" i="50" s="1"/>
  <c r="X196" i="50"/>
  <c r="AC196" i="50" s="1"/>
  <c r="V49" i="52"/>
  <c r="V47" i="52" s="1"/>
  <c r="V48" i="52" s="1"/>
  <c r="V51" i="52" s="1"/>
  <c r="J27" i="52" s="1"/>
  <c r="X210" i="53"/>
  <c r="AC210" i="53" s="1"/>
  <c r="X196" i="53"/>
  <c r="AC196" i="53" s="1"/>
  <c r="W208" i="47"/>
  <c r="AB208" i="47" s="1"/>
  <c r="X213" i="48"/>
  <c r="AC213" i="48" s="1"/>
  <c r="W206" i="50"/>
  <c r="AB206" i="50" s="1"/>
  <c r="AE92" i="51"/>
  <c r="AE87" i="51"/>
  <c r="X196" i="52"/>
  <c r="AC196" i="52" s="1"/>
  <c r="Z213" i="48"/>
  <c r="AE213" i="48" s="1"/>
  <c r="AE88" i="49"/>
  <c r="Y213" i="49"/>
  <c r="AD213" i="49" s="1"/>
  <c r="Z46" i="50"/>
  <c r="AE92" i="47"/>
  <c r="X189" i="48"/>
  <c r="AC189" i="48" s="1"/>
  <c r="W206" i="48"/>
  <c r="AB206" i="48" s="1"/>
  <c r="X210" i="49"/>
  <c r="AC210" i="49" s="1"/>
  <c r="X208" i="49"/>
  <c r="AC208" i="49" s="1"/>
  <c r="X196" i="49"/>
  <c r="AC196" i="49" s="1"/>
  <c r="AE94" i="51"/>
  <c r="Z213" i="51"/>
  <c r="AE213" i="51" s="1"/>
  <c r="AE92" i="52"/>
  <c r="AE93" i="53"/>
  <c r="W214" i="47"/>
  <c r="AB214" i="47" s="1"/>
  <c r="X196" i="48"/>
  <c r="AC196" i="48" s="1"/>
  <c r="AQ58" i="51"/>
  <c r="E45" i="51" s="1"/>
  <c r="W206" i="51"/>
  <c r="AB206" i="51" s="1"/>
  <c r="AE88" i="53"/>
  <c r="X212" i="47"/>
  <c r="AC212" i="47" s="1"/>
  <c r="AE89" i="48"/>
  <c r="Z46" i="48" s="1"/>
  <c r="AE93" i="48"/>
  <c r="AE92" i="48"/>
  <c r="X201" i="48"/>
  <c r="AC201" i="48" s="1"/>
  <c r="AE91" i="50"/>
  <c r="AE94" i="50"/>
  <c r="AE91" i="51"/>
  <c r="W194" i="51"/>
  <c r="AB194" i="51" s="1"/>
  <c r="Y189" i="52"/>
  <c r="AD189" i="52" s="1"/>
  <c r="AE94" i="53"/>
  <c r="Z213" i="53"/>
  <c r="AE213" i="53" s="1"/>
  <c r="AC31" i="52"/>
  <c r="Q111" i="53"/>
  <c r="AQ28" i="53"/>
  <c r="O111" i="53"/>
  <c r="AV34" i="53"/>
  <c r="AU34" i="53"/>
  <c r="AT34" i="53"/>
  <c r="AS34" i="53"/>
  <c r="AS31" i="53"/>
  <c r="AT31" i="53"/>
  <c r="AV31" i="53"/>
  <c r="AU31" i="53"/>
  <c r="P111" i="53"/>
  <c r="AD8" i="53"/>
  <c r="AB36" i="53" s="1"/>
  <c r="AC31" i="53" s="1"/>
  <c r="AD22" i="53"/>
  <c r="AB39" i="53" s="1"/>
  <c r="AC32" i="53" s="1"/>
  <c r="O96" i="53"/>
  <c r="AS5" i="53"/>
  <c r="E38" i="53"/>
  <c r="J39" i="53"/>
  <c r="D38" i="53"/>
  <c r="AL18" i="53"/>
  <c r="AL12" i="53"/>
  <c r="AL15" i="53"/>
  <c r="AL9" i="53"/>
  <c r="AK9" i="53" s="1"/>
  <c r="AS26" i="53" s="1"/>
  <c r="P24" i="53"/>
  <c r="G20" i="53" s="1"/>
  <c r="V49" i="53"/>
  <c r="V47" i="53" s="1"/>
  <c r="V48" i="53" s="1"/>
  <c r="V51" i="53" s="1"/>
  <c r="J27" i="53" s="1"/>
  <c r="W192" i="53"/>
  <c r="AB192" i="53" s="1"/>
  <c r="X194" i="53"/>
  <c r="AC194" i="53" s="1"/>
  <c r="X206" i="53"/>
  <c r="AC206" i="53" s="1"/>
  <c r="AQ58" i="53"/>
  <c r="W190" i="53"/>
  <c r="AB190" i="53" s="1"/>
  <c r="X192" i="53"/>
  <c r="AC192" i="53" s="1"/>
  <c r="X204" i="53"/>
  <c r="AC204" i="53" s="1"/>
  <c r="W214" i="53"/>
  <c r="AB214" i="53" s="1"/>
  <c r="W188" i="53"/>
  <c r="AB188" i="53" s="1"/>
  <c r="X190" i="53"/>
  <c r="AC190" i="53" s="1"/>
  <c r="W200" i="53"/>
  <c r="AB200" i="53" s="1"/>
  <c r="X202" i="53"/>
  <c r="AC202" i="53" s="1"/>
  <c r="W212" i="53"/>
  <c r="AB212" i="53" s="1"/>
  <c r="X214" i="53"/>
  <c r="AC214" i="53" s="1"/>
  <c r="X188" i="53"/>
  <c r="AC188" i="53" s="1"/>
  <c r="W198" i="53"/>
  <c r="AB198" i="53" s="1"/>
  <c r="X200" i="53"/>
  <c r="AC200" i="53" s="1"/>
  <c r="W210" i="53"/>
  <c r="AB210" i="53" s="1"/>
  <c r="X212" i="53"/>
  <c r="AC212" i="53" s="1"/>
  <c r="AE90" i="53"/>
  <c r="W196" i="53"/>
  <c r="AB196" i="53" s="1"/>
  <c r="X198" i="53"/>
  <c r="AC198" i="53" s="1"/>
  <c r="W208" i="53"/>
  <c r="AB208" i="53" s="1"/>
  <c r="Y188" i="53"/>
  <c r="AD188" i="53" s="1"/>
  <c r="Y190" i="53"/>
  <c r="AD190" i="53" s="1"/>
  <c r="Y192" i="53"/>
  <c r="AD192" i="53" s="1"/>
  <c r="Y194" i="53"/>
  <c r="AD194" i="53" s="1"/>
  <c r="Y196" i="53"/>
  <c r="AD196" i="53" s="1"/>
  <c r="Y198" i="53"/>
  <c r="AD198" i="53" s="1"/>
  <c r="Y200" i="53"/>
  <c r="AD200" i="53" s="1"/>
  <c r="Y202" i="53"/>
  <c r="AD202" i="53" s="1"/>
  <c r="Y204" i="53"/>
  <c r="AD204" i="53" s="1"/>
  <c r="Y206" i="53"/>
  <c r="AD206" i="53" s="1"/>
  <c r="Y208" i="53"/>
  <c r="AD208" i="53" s="1"/>
  <c r="Y210" i="53"/>
  <c r="AD210" i="53" s="1"/>
  <c r="Y212" i="53"/>
  <c r="AD212" i="53" s="1"/>
  <c r="Y214" i="53"/>
  <c r="AD214" i="53" s="1"/>
  <c r="Z188" i="53"/>
  <c r="AE188" i="53" s="1"/>
  <c r="W189" i="53"/>
  <c r="AB189" i="53" s="1"/>
  <c r="Z190" i="53"/>
  <c r="AE190" i="53" s="1"/>
  <c r="W191" i="53"/>
  <c r="AB191" i="53" s="1"/>
  <c r="Z192" i="53"/>
  <c r="AE192" i="53" s="1"/>
  <c r="W193" i="53"/>
  <c r="AB193" i="53" s="1"/>
  <c r="Z194" i="53"/>
  <c r="AE194" i="53" s="1"/>
  <c r="W195" i="53"/>
  <c r="AB195" i="53" s="1"/>
  <c r="Z196" i="53"/>
  <c r="AE196" i="53" s="1"/>
  <c r="W197" i="53"/>
  <c r="AB197" i="53" s="1"/>
  <c r="Z198" i="53"/>
  <c r="AE198" i="53" s="1"/>
  <c r="W199" i="53"/>
  <c r="AB199" i="53" s="1"/>
  <c r="Z200" i="53"/>
  <c r="AE200" i="53" s="1"/>
  <c r="Z202" i="53"/>
  <c r="AE202" i="53" s="1"/>
  <c r="Z204" i="53"/>
  <c r="AE204" i="53" s="1"/>
  <c r="W205" i="53"/>
  <c r="AB205" i="53" s="1"/>
  <c r="Z206" i="53"/>
  <c r="AE206" i="53" s="1"/>
  <c r="W207" i="53"/>
  <c r="AB207" i="53" s="1"/>
  <c r="Z208" i="53"/>
  <c r="AE208" i="53" s="1"/>
  <c r="W209" i="53"/>
  <c r="AB209" i="53" s="1"/>
  <c r="Z210" i="53"/>
  <c r="AE210" i="53" s="1"/>
  <c r="W211" i="53"/>
  <c r="AB211" i="53" s="1"/>
  <c r="Z212" i="53"/>
  <c r="AE212" i="53" s="1"/>
  <c r="W213" i="53"/>
  <c r="AB213" i="53" s="1"/>
  <c r="Z214" i="53"/>
  <c r="AE214" i="53" s="1"/>
  <c r="X189" i="53"/>
  <c r="AC189" i="53" s="1"/>
  <c r="X191" i="53"/>
  <c r="AC191" i="53" s="1"/>
  <c r="X193" i="53"/>
  <c r="AC193" i="53" s="1"/>
  <c r="X195" i="53"/>
  <c r="AC195" i="53" s="1"/>
  <c r="X197" i="53"/>
  <c r="AC197" i="53" s="1"/>
  <c r="X199" i="53"/>
  <c r="AC199" i="53" s="1"/>
  <c r="X201" i="53"/>
  <c r="AC201" i="53" s="1"/>
  <c r="X203" i="53"/>
  <c r="AC203" i="53" s="1"/>
  <c r="X205" i="53"/>
  <c r="AC205" i="53" s="1"/>
  <c r="X207" i="53"/>
  <c r="AC207" i="53" s="1"/>
  <c r="X209" i="53"/>
  <c r="AC209" i="53" s="1"/>
  <c r="X211" i="53"/>
  <c r="AC211" i="53" s="1"/>
  <c r="X213" i="53"/>
  <c r="AC213" i="53" s="1"/>
  <c r="Y189" i="53"/>
  <c r="AD189" i="53" s="1"/>
  <c r="Y191" i="53"/>
  <c r="AD191" i="53" s="1"/>
  <c r="Y193" i="53"/>
  <c r="AD193" i="53" s="1"/>
  <c r="Y195" i="53"/>
  <c r="AD195" i="53" s="1"/>
  <c r="Y197" i="53"/>
  <c r="AD197" i="53" s="1"/>
  <c r="Y199" i="53"/>
  <c r="AD199" i="53" s="1"/>
  <c r="Y201" i="53"/>
  <c r="AD201" i="53" s="1"/>
  <c r="Y203" i="53"/>
  <c r="AD203" i="53" s="1"/>
  <c r="Y205" i="53"/>
  <c r="AD205" i="53" s="1"/>
  <c r="Y207" i="53"/>
  <c r="AD207" i="53" s="1"/>
  <c r="Y209" i="53"/>
  <c r="AD209" i="53" s="1"/>
  <c r="Y211" i="53"/>
  <c r="AD211" i="53" s="1"/>
  <c r="Y213" i="53"/>
  <c r="AD213" i="53" s="1"/>
  <c r="Z189" i="53"/>
  <c r="AE189" i="53" s="1"/>
  <c r="Z191" i="53"/>
  <c r="AE191" i="53" s="1"/>
  <c r="Z193" i="53"/>
  <c r="AE193" i="53" s="1"/>
  <c r="Z195" i="53"/>
  <c r="AE195" i="53" s="1"/>
  <c r="Z197" i="53"/>
  <c r="AE197" i="53" s="1"/>
  <c r="Z199" i="53"/>
  <c r="AE199" i="53" s="1"/>
  <c r="Z201" i="53"/>
  <c r="AE201" i="53" s="1"/>
  <c r="Z203" i="53"/>
  <c r="AE203" i="53" s="1"/>
  <c r="Z205" i="53"/>
  <c r="AE205" i="53" s="1"/>
  <c r="Z207" i="53"/>
  <c r="AE207" i="53" s="1"/>
  <c r="Z209" i="53"/>
  <c r="AE209" i="53" s="1"/>
  <c r="Z211" i="53"/>
  <c r="AE211" i="53" s="1"/>
  <c r="AT5" i="52"/>
  <c r="P96" i="52"/>
  <c r="O111" i="52"/>
  <c r="AT34" i="52"/>
  <c r="AS34" i="52"/>
  <c r="AU34" i="52"/>
  <c r="AV34" i="52"/>
  <c r="AS31" i="52"/>
  <c r="AT31" i="52"/>
  <c r="AU31" i="52"/>
  <c r="AV31" i="52"/>
  <c r="P111" i="52"/>
  <c r="AD22" i="52"/>
  <c r="AB39" i="52" s="1"/>
  <c r="AC32" i="52" s="1"/>
  <c r="AS5" i="52"/>
  <c r="AL18" i="52"/>
  <c r="AL12" i="52"/>
  <c r="AL15" i="52"/>
  <c r="AL9" i="52"/>
  <c r="AK9" i="52"/>
  <c r="AS26" i="52" s="1"/>
  <c r="Q111" i="52"/>
  <c r="AQ58" i="52"/>
  <c r="B63" i="52"/>
  <c r="AQ33" i="52" s="1"/>
  <c r="X194" i="52"/>
  <c r="AC194" i="52" s="1"/>
  <c r="Y199" i="52"/>
  <c r="AD199" i="52" s="1"/>
  <c r="X206" i="52"/>
  <c r="AC206" i="52" s="1"/>
  <c r="Y211" i="52"/>
  <c r="AD211" i="52" s="1"/>
  <c r="X192" i="52"/>
  <c r="AC192" i="52" s="1"/>
  <c r="Y197" i="52"/>
  <c r="AD197" i="52" s="1"/>
  <c r="X204" i="52"/>
  <c r="AC204" i="52" s="1"/>
  <c r="Y209" i="52"/>
  <c r="AD209" i="52" s="1"/>
  <c r="X190" i="52"/>
  <c r="AC190" i="52" s="1"/>
  <c r="Y195" i="52"/>
  <c r="AD195" i="52" s="1"/>
  <c r="X202" i="52"/>
  <c r="AC202" i="52" s="1"/>
  <c r="Y207" i="52"/>
  <c r="AD207" i="52" s="1"/>
  <c r="X214" i="52"/>
  <c r="AC214" i="52" s="1"/>
  <c r="G20" i="52"/>
  <c r="AE46" i="52"/>
  <c r="J38" i="52" s="1"/>
  <c r="W214" i="52"/>
  <c r="AB214" i="52" s="1"/>
  <c r="X188" i="52"/>
  <c r="AC188" i="52" s="1"/>
  <c r="Y193" i="52"/>
  <c r="AD193" i="52" s="1"/>
  <c r="X200" i="52"/>
  <c r="AC200" i="52" s="1"/>
  <c r="Y205" i="52"/>
  <c r="AD205" i="52" s="1"/>
  <c r="X212" i="52"/>
  <c r="AC212" i="52" s="1"/>
  <c r="AE89" i="52"/>
  <c r="Z46" i="52" s="1"/>
  <c r="AE87" i="52"/>
  <c r="Y191" i="52"/>
  <c r="AD191" i="52" s="1"/>
  <c r="X198" i="52"/>
  <c r="AC198" i="52" s="1"/>
  <c r="Y203" i="52"/>
  <c r="AD203" i="52" s="1"/>
  <c r="Y188" i="52"/>
  <c r="AD188" i="52" s="1"/>
  <c r="Y190" i="52"/>
  <c r="AD190" i="52" s="1"/>
  <c r="Y192" i="52"/>
  <c r="AD192" i="52" s="1"/>
  <c r="Y194" i="52"/>
  <c r="AD194" i="52" s="1"/>
  <c r="Y196" i="52"/>
  <c r="AD196" i="52" s="1"/>
  <c r="Y198" i="52"/>
  <c r="AD198" i="52" s="1"/>
  <c r="Y200" i="52"/>
  <c r="AD200" i="52" s="1"/>
  <c r="Y202" i="52"/>
  <c r="AD202" i="52" s="1"/>
  <c r="Y204" i="52"/>
  <c r="AD204" i="52" s="1"/>
  <c r="Y206" i="52"/>
  <c r="AD206" i="52" s="1"/>
  <c r="Y208" i="52"/>
  <c r="AD208" i="52" s="1"/>
  <c r="Y210" i="52"/>
  <c r="AD210" i="52" s="1"/>
  <c r="Y212" i="52"/>
  <c r="AD212" i="52" s="1"/>
  <c r="Y214" i="52"/>
  <c r="AD214" i="52" s="1"/>
  <c r="Z188" i="52"/>
  <c r="AE188" i="52" s="1"/>
  <c r="W189" i="52"/>
  <c r="AB189" i="52" s="1"/>
  <c r="Z190" i="52"/>
  <c r="AE190" i="52" s="1"/>
  <c r="W191" i="52"/>
  <c r="AB191" i="52" s="1"/>
  <c r="Z192" i="52"/>
  <c r="AE192" i="52" s="1"/>
  <c r="W193" i="52"/>
  <c r="AB193" i="52" s="1"/>
  <c r="Z194" i="52"/>
  <c r="AE194" i="52" s="1"/>
  <c r="W195" i="52"/>
  <c r="AB195" i="52" s="1"/>
  <c r="Z196" i="52"/>
  <c r="AE196" i="52" s="1"/>
  <c r="W197" i="52"/>
  <c r="AB197" i="52" s="1"/>
  <c r="Z198" i="52"/>
  <c r="AE198" i="52" s="1"/>
  <c r="W199" i="52"/>
  <c r="AB199" i="52" s="1"/>
  <c r="Z200" i="52"/>
  <c r="AE200" i="52" s="1"/>
  <c r="Z202" i="52"/>
  <c r="AE202" i="52" s="1"/>
  <c r="Z204" i="52"/>
  <c r="AE204" i="52" s="1"/>
  <c r="W205" i="52"/>
  <c r="AB205" i="52" s="1"/>
  <c r="Z206" i="52"/>
  <c r="AE206" i="52" s="1"/>
  <c r="W207" i="52"/>
  <c r="AB207" i="52" s="1"/>
  <c r="Z208" i="52"/>
  <c r="AE208" i="52" s="1"/>
  <c r="W209" i="52"/>
  <c r="AB209" i="52" s="1"/>
  <c r="Z210" i="52"/>
  <c r="AE210" i="52" s="1"/>
  <c r="W211" i="52"/>
  <c r="AB211" i="52" s="1"/>
  <c r="Z212" i="52"/>
  <c r="AE212" i="52" s="1"/>
  <c r="W213" i="52"/>
  <c r="AB213" i="52" s="1"/>
  <c r="Z214" i="52"/>
  <c r="AE214" i="52" s="1"/>
  <c r="X189" i="52"/>
  <c r="AC189" i="52" s="1"/>
  <c r="X191" i="52"/>
  <c r="AC191" i="52" s="1"/>
  <c r="X193" i="52"/>
  <c r="AC193" i="52" s="1"/>
  <c r="X195" i="52"/>
  <c r="AC195" i="52" s="1"/>
  <c r="X197" i="52"/>
  <c r="AC197" i="52" s="1"/>
  <c r="X199" i="52"/>
  <c r="AC199" i="52" s="1"/>
  <c r="X201" i="52"/>
  <c r="AC201" i="52" s="1"/>
  <c r="X203" i="52"/>
  <c r="AC203" i="52" s="1"/>
  <c r="X205" i="52"/>
  <c r="AC205" i="52" s="1"/>
  <c r="X207" i="52"/>
  <c r="AC207" i="52" s="1"/>
  <c r="X209" i="52"/>
  <c r="AC209" i="52" s="1"/>
  <c r="X211" i="52"/>
  <c r="AC211" i="52" s="1"/>
  <c r="X213" i="52"/>
  <c r="AC213" i="52" s="1"/>
  <c r="W188" i="52"/>
  <c r="AB188" i="52" s="1"/>
  <c r="Z189" i="52"/>
  <c r="AE189" i="52" s="1"/>
  <c r="W190" i="52"/>
  <c r="AB190" i="52" s="1"/>
  <c r="Z191" i="52"/>
  <c r="AE191" i="52" s="1"/>
  <c r="W192" i="52"/>
  <c r="AB192" i="52" s="1"/>
  <c r="Z193" i="52"/>
  <c r="AE193" i="52" s="1"/>
  <c r="W194" i="52"/>
  <c r="AB194" i="52" s="1"/>
  <c r="Z195" i="52"/>
  <c r="AE195" i="52" s="1"/>
  <c r="W196" i="52"/>
  <c r="AB196" i="52" s="1"/>
  <c r="Z197" i="52"/>
  <c r="AE197" i="52" s="1"/>
  <c r="W198" i="52"/>
  <c r="AB198" i="52" s="1"/>
  <c r="Z199" i="52"/>
  <c r="AE199" i="52" s="1"/>
  <c r="W200" i="52"/>
  <c r="AB200" i="52" s="1"/>
  <c r="Z201" i="52"/>
  <c r="AE201" i="52" s="1"/>
  <c r="Z203" i="52"/>
  <c r="AE203" i="52" s="1"/>
  <c r="Z205" i="52"/>
  <c r="AE205" i="52" s="1"/>
  <c r="W206" i="52"/>
  <c r="AB206" i="52" s="1"/>
  <c r="Z207" i="52"/>
  <c r="AE207" i="52" s="1"/>
  <c r="W208" i="52"/>
  <c r="AB208" i="52" s="1"/>
  <c r="Z209" i="52"/>
  <c r="AE209" i="52" s="1"/>
  <c r="W210" i="52"/>
  <c r="AB210" i="52" s="1"/>
  <c r="Z211" i="52"/>
  <c r="AE211" i="52" s="1"/>
  <c r="W212" i="52"/>
  <c r="AB212" i="52" s="1"/>
  <c r="Z213" i="52"/>
  <c r="AE213" i="52" s="1"/>
  <c r="O111" i="51"/>
  <c r="P111" i="51"/>
  <c r="O96" i="51"/>
  <c r="AS5" i="51"/>
  <c r="AL15" i="51"/>
  <c r="AL9" i="51"/>
  <c r="AL18" i="51"/>
  <c r="AL12" i="51"/>
  <c r="P96" i="51"/>
  <c r="AT5" i="51"/>
  <c r="AK9" i="51"/>
  <c r="AS26" i="51" s="1"/>
  <c r="AS31" i="51"/>
  <c r="AV31" i="51"/>
  <c r="AU31" i="51"/>
  <c r="AT31" i="51"/>
  <c r="Q111" i="51"/>
  <c r="B69" i="51"/>
  <c r="AQ35" i="51" s="1"/>
  <c r="B66" i="51"/>
  <c r="AQ34" i="51" s="1"/>
  <c r="W192" i="51"/>
  <c r="AB192" i="51" s="1"/>
  <c r="X194" i="51"/>
  <c r="AC194" i="51" s="1"/>
  <c r="X206" i="51"/>
  <c r="AC206" i="51" s="1"/>
  <c r="W190" i="51"/>
  <c r="AB190" i="51" s="1"/>
  <c r="X192" i="51"/>
  <c r="AC192" i="51" s="1"/>
  <c r="X204" i="51"/>
  <c r="AC204" i="51" s="1"/>
  <c r="W214" i="51"/>
  <c r="AB214" i="51" s="1"/>
  <c r="V49" i="51"/>
  <c r="V47" i="51" s="1"/>
  <c r="V48" i="51" s="1"/>
  <c r="V51" i="51" s="1"/>
  <c r="J27" i="51" s="1"/>
  <c r="W188" i="51"/>
  <c r="AB188" i="51" s="1"/>
  <c r="X190" i="51"/>
  <c r="AC190" i="51" s="1"/>
  <c r="W200" i="51"/>
  <c r="AB200" i="51" s="1"/>
  <c r="X202" i="51"/>
  <c r="AC202" i="51" s="1"/>
  <c r="W212" i="51"/>
  <c r="AB212" i="51" s="1"/>
  <c r="X214" i="51"/>
  <c r="AC214" i="51" s="1"/>
  <c r="AC23" i="51"/>
  <c r="AD22" i="51" s="1"/>
  <c r="AB39" i="51" s="1"/>
  <c r="AC32" i="51" s="1"/>
  <c r="X188" i="51"/>
  <c r="AC188" i="51" s="1"/>
  <c r="W198" i="51"/>
  <c r="AB198" i="51" s="1"/>
  <c r="X200" i="51"/>
  <c r="AC200" i="51" s="1"/>
  <c r="W210" i="51"/>
  <c r="AB210" i="51" s="1"/>
  <c r="X212" i="51"/>
  <c r="AC212" i="51" s="1"/>
  <c r="J39" i="51"/>
  <c r="E38" i="51"/>
  <c r="D38" i="51"/>
  <c r="Z46" i="51"/>
  <c r="AE90" i="51"/>
  <c r="W196" i="51"/>
  <c r="AB196" i="51" s="1"/>
  <c r="X198" i="51"/>
  <c r="AC198" i="51" s="1"/>
  <c r="W208" i="51"/>
  <c r="AB208" i="51" s="1"/>
  <c r="Y188" i="51"/>
  <c r="AD188" i="51" s="1"/>
  <c r="Y190" i="51"/>
  <c r="AD190" i="51" s="1"/>
  <c r="Y192" i="51"/>
  <c r="AD192" i="51" s="1"/>
  <c r="Y194" i="51"/>
  <c r="AD194" i="51" s="1"/>
  <c r="Y196" i="51"/>
  <c r="AD196" i="51" s="1"/>
  <c r="Y198" i="51"/>
  <c r="AD198" i="51" s="1"/>
  <c r="Y200" i="51"/>
  <c r="AD200" i="51" s="1"/>
  <c r="Y202" i="51"/>
  <c r="AD202" i="51" s="1"/>
  <c r="Y204" i="51"/>
  <c r="AD204" i="51" s="1"/>
  <c r="Y206" i="51"/>
  <c r="AD206" i="51" s="1"/>
  <c r="Y208" i="51"/>
  <c r="AD208" i="51" s="1"/>
  <c r="Y210" i="51"/>
  <c r="AD210" i="51" s="1"/>
  <c r="Y212" i="51"/>
  <c r="AD212" i="51" s="1"/>
  <c r="Y214" i="51"/>
  <c r="AD214" i="51" s="1"/>
  <c r="Z188" i="51"/>
  <c r="AE188" i="51" s="1"/>
  <c r="W189" i="51"/>
  <c r="AB189" i="51" s="1"/>
  <c r="Z190" i="51"/>
  <c r="AE190" i="51" s="1"/>
  <c r="W191" i="51"/>
  <c r="AB191" i="51" s="1"/>
  <c r="Z192" i="51"/>
  <c r="AE192" i="51" s="1"/>
  <c r="W193" i="51"/>
  <c r="AB193" i="51" s="1"/>
  <c r="Z194" i="51"/>
  <c r="AE194" i="51" s="1"/>
  <c r="W195" i="51"/>
  <c r="AB195" i="51" s="1"/>
  <c r="Z196" i="51"/>
  <c r="AE196" i="51" s="1"/>
  <c r="W197" i="51"/>
  <c r="AB197" i="51" s="1"/>
  <c r="Z198" i="51"/>
  <c r="AE198" i="51" s="1"/>
  <c r="W199" i="51"/>
  <c r="AB199" i="51" s="1"/>
  <c r="Z200" i="51"/>
  <c r="AE200" i="51" s="1"/>
  <c r="Z202" i="51"/>
  <c r="AE202" i="51" s="1"/>
  <c r="Z204" i="51"/>
  <c r="AE204" i="51" s="1"/>
  <c r="W205" i="51"/>
  <c r="AB205" i="51" s="1"/>
  <c r="Z206" i="51"/>
  <c r="AE206" i="51" s="1"/>
  <c r="W207" i="51"/>
  <c r="AB207" i="51" s="1"/>
  <c r="Z208" i="51"/>
  <c r="AE208" i="51" s="1"/>
  <c r="W209" i="51"/>
  <c r="AB209" i="51" s="1"/>
  <c r="Z210" i="51"/>
  <c r="AE210" i="51" s="1"/>
  <c r="W211" i="51"/>
  <c r="AB211" i="51" s="1"/>
  <c r="Z212" i="51"/>
  <c r="AE212" i="51" s="1"/>
  <c r="W213" i="51"/>
  <c r="AB213" i="51" s="1"/>
  <c r="Z214" i="51"/>
  <c r="AE214" i="51" s="1"/>
  <c r="X189" i="51"/>
  <c r="AC189" i="51" s="1"/>
  <c r="X191" i="51"/>
  <c r="AC191" i="51" s="1"/>
  <c r="X193" i="51"/>
  <c r="AC193" i="51" s="1"/>
  <c r="X195" i="51"/>
  <c r="AC195" i="51" s="1"/>
  <c r="X197" i="51"/>
  <c r="AC197" i="51" s="1"/>
  <c r="X199" i="51"/>
  <c r="AC199" i="51" s="1"/>
  <c r="X201" i="51"/>
  <c r="AC201" i="51" s="1"/>
  <c r="X203" i="51"/>
  <c r="AC203" i="51" s="1"/>
  <c r="X205" i="51"/>
  <c r="AC205" i="51" s="1"/>
  <c r="X207" i="51"/>
  <c r="AC207" i="51" s="1"/>
  <c r="X209" i="51"/>
  <c r="AC209" i="51" s="1"/>
  <c r="X211" i="51"/>
  <c r="AC211" i="51" s="1"/>
  <c r="X213" i="51"/>
  <c r="AC213" i="51" s="1"/>
  <c r="Y189" i="51"/>
  <c r="AD189" i="51" s="1"/>
  <c r="Y191" i="51"/>
  <c r="AD191" i="51" s="1"/>
  <c r="Y193" i="51"/>
  <c r="AD193" i="51" s="1"/>
  <c r="Y195" i="51"/>
  <c r="AD195" i="51" s="1"/>
  <c r="Y197" i="51"/>
  <c r="AD197" i="51" s="1"/>
  <c r="Y199" i="51"/>
  <c r="AD199" i="51" s="1"/>
  <c r="Y201" i="51"/>
  <c r="AD201" i="51" s="1"/>
  <c r="Y203" i="51"/>
  <c r="AD203" i="51" s="1"/>
  <c r="Y205" i="51"/>
  <c r="AD205" i="51" s="1"/>
  <c r="Y207" i="51"/>
  <c r="AD207" i="51" s="1"/>
  <c r="Y209" i="51"/>
  <c r="AD209" i="51" s="1"/>
  <c r="Y211" i="51"/>
  <c r="AD211" i="51" s="1"/>
  <c r="Y213" i="51"/>
  <c r="AD213" i="51" s="1"/>
  <c r="Z189" i="51"/>
  <c r="AE189" i="51" s="1"/>
  <c r="Z191" i="51"/>
  <c r="AE191" i="51" s="1"/>
  <c r="Z193" i="51"/>
  <c r="AE193" i="51" s="1"/>
  <c r="Z195" i="51"/>
  <c r="AE195" i="51" s="1"/>
  <c r="Z197" i="51"/>
  <c r="AE197" i="51" s="1"/>
  <c r="Z199" i="51"/>
  <c r="AE199" i="51" s="1"/>
  <c r="Z201" i="51"/>
  <c r="AE201" i="51" s="1"/>
  <c r="Z203" i="51"/>
  <c r="AE203" i="51" s="1"/>
  <c r="Z205" i="51"/>
  <c r="AE205" i="51" s="1"/>
  <c r="Z207" i="51"/>
  <c r="AE207" i="51" s="1"/>
  <c r="Z209" i="51"/>
  <c r="AE209" i="51" s="1"/>
  <c r="Z211" i="51"/>
  <c r="AE211" i="51" s="1"/>
  <c r="AC31" i="50"/>
  <c r="AT5" i="50" s="1"/>
  <c r="AC32" i="49"/>
  <c r="AU5" i="49" s="1"/>
  <c r="AC31" i="49"/>
  <c r="AT5" i="49" s="1"/>
  <c r="O35" i="49"/>
  <c r="E18" i="49" s="1"/>
  <c r="O111" i="50"/>
  <c r="P111" i="50"/>
  <c r="Q111" i="50"/>
  <c r="AD22" i="50"/>
  <c r="AB39" i="50" s="1"/>
  <c r="AC32" i="50" s="1"/>
  <c r="AL9" i="50"/>
  <c r="AK9" i="50" s="1"/>
  <c r="AS26" i="50" s="1"/>
  <c r="P24" i="50"/>
  <c r="AE46" i="50"/>
  <c r="J38" i="50" s="1"/>
  <c r="V49" i="50"/>
  <c r="W192" i="50"/>
  <c r="AB192" i="50" s="1"/>
  <c r="X194" i="50"/>
  <c r="AC194" i="50" s="1"/>
  <c r="X206" i="50"/>
  <c r="AC206" i="50" s="1"/>
  <c r="B69" i="50"/>
  <c r="AQ35" i="50" s="1"/>
  <c r="AE88" i="50"/>
  <c r="W190" i="50"/>
  <c r="AB190" i="50" s="1"/>
  <c r="X192" i="50"/>
  <c r="AC192" i="50" s="1"/>
  <c r="X204" i="50"/>
  <c r="AC204" i="50" s="1"/>
  <c r="W214" i="50"/>
  <c r="AB214" i="50" s="1"/>
  <c r="AL15" i="50"/>
  <c r="B48" i="50"/>
  <c r="AQ28" i="50" s="1"/>
  <c r="W188" i="50"/>
  <c r="AB188" i="50" s="1"/>
  <c r="X190" i="50"/>
  <c r="AC190" i="50" s="1"/>
  <c r="W200" i="50"/>
  <c r="AB200" i="50" s="1"/>
  <c r="X202" i="50"/>
  <c r="AC202" i="50" s="1"/>
  <c r="W212" i="50"/>
  <c r="AB212" i="50" s="1"/>
  <c r="X214" i="50"/>
  <c r="AC214" i="50" s="1"/>
  <c r="AQ27" i="50"/>
  <c r="AE93" i="50"/>
  <c r="X188" i="50"/>
  <c r="AC188" i="50" s="1"/>
  <c r="W198" i="50"/>
  <c r="AB198" i="50" s="1"/>
  <c r="X200" i="50"/>
  <c r="AC200" i="50" s="1"/>
  <c r="W210" i="50"/>
  <c r="AB210" i="50" s="1"/>
  <c r="X212" i="50"/>
  <c r="AC212" i="50" s="1"/>
  <c r="AS5" i="50"/>
  <c r="AL12" i="50"/>
  <c r="Z213" i="50"/>
  <c r="AE213" i="50" s="1"/>
  <c r="W196" i="50"/>
  <c r="AB196" i="50" s="1"/>
  <c r="X198" i="50"/>
  <c r="AC198" i="50" s="1"/>
  <c r="W208" i="50"/>
  <c r="AB208" i="50" s="1"/>
  <c r="Y188" i="50"/>
  <c r="AD188" i="50" s="1"/>
  <c r="Y190" i="50"/>
  <c r="AD190" i="50" s="1"/>
  <c r="Y192" i="50"/>
  <c r="AD192" i="50" s="1"/>
  <c r="Y194" i="50"/>
  <c r="AD194" i="50" s="1"/>
  <c r="Y196" i="50"/>
  <c r="AD196" i="50" s="1"/>
  <c r="Y198" i="50"/>
  <c r="AD198" i="50" s="1"/>
  <c r="Y200" i="50"/>
  <c r="AD200" i="50" s="1"/>
  <c r="Y202" i="50"/>
  <c r="AD202" i="50" s="1"/>
  <c r="Y204" i="50"/>
  <c r="AD204" i="50" s="1"/>
  <c r="Y206" i="50"/>
  <c r="AD206" i="50" s="1"/>
  <c r="Y208" i="50"/>
  <c r="AD208" i="50" s="1"/>
  <c r="Y210" i="50"/>
  <c r="AD210" i="50" s="1"/>
  <c r="Y212" i="50"/>
  <c r="AD212" i="50" s="1"/>
  <c r="Y214" i="50"/>
  <c r="AD214" i="50" s="1"/>
  <c r="Z188" i="50"/>
  <c r="AE188" i="50" s="1"/>
  <c r="W189" i="50"/>
  <c r="AB189" i="50" s="1"/>
  <c r="Z190" i="50"/>
  <c r="AE190" i="50" s="1"/>
  <c r="W191" i="50"/>
  <c r="AB191" i="50" s="1"/>
  <c r="Z192" i="50"/>
  <c r="AE192" i="50" s="1"/>
  <c r="W193" i="50"/>
  <c r="AB193" i="50" s="1"/>
  <c r="Z194" i="50"/>
  <c r="AE194" i="50" s="1"/>
  <c r="W195" i="50"/>
  <c r="AB195" i="50" s="1"/>
  <c r="Z196" i="50"/>
  <c r="AE196" i="50" s="1"/>
  <c r="W197" i="50"/>
  <c r="AB197" i="50" s="1"/>
  <c r="Z198" i="50"/>
  <c r="AE198" i="50" s="1"/>
  <c r="W199" i="50"/>
  <c r="AB199" i="50" s="1"/>
  <c r="Z200" i="50"/>
  <c r="AE200" i="50" s="1"/>
  <c r="Z202" i="50"/>
  <c r="AE202" i="50" s="1"/>
  <c r="Z204" i="50"/>
  <c r="AE204" i="50" s="1"/>
  <c r="W205" i="50"/>
  <c r="AB205" i="50" s="1"/>
  <c r="Z206" i="50"/>
  <c r="AE206" i="50" s="1"/>
  <c r="W207" i="50"/>
  <c r="AB207" i="50" s="1"/>
  <c r="Z208" i="50"/>
  <c r="AE208" i="50" s="1"/>
  <c r="W209" i="50"/>
  <c r="AB209" i="50" s="1"/>
  <c r="Z210" i="50"/>
  <c r="AE210" i="50" s="1"/>
  <c r="W211" i="50"/>
  <c r="AB211" i="50" s="1"/>
  <c r="Z212" i="50"/>
  <c r="AE212" i="50" s="1"/>
  <c r="W213" i="50"/>
  <c r="AB213" i="50" s="1"/>
  <c r="Z214" i="50"/>
  <c r="AE214" i="50" s="1"/>
  <c r="X189" i="50"/>
  <c r="AC189" i="50" s="1"/>
  <c r="X191" i="50"/>
  <c r="AC191" i="50" s="1"/>
  <c r="X193" i="50"/>
  <c r="AC193" i="50" s="1"/>
  <c r="X195" i="50"/>
  <c r="AC195" i="50" s="1"/>
  <c r="X197" i="50"/>
  <c r="AC197" i="50" s="1"/>
  <c r="X199" i="50"/>
  <c r="AC199" i="50" s="1"/>
  <c r="X201" i="50"/>
  <c r="AC201" i="50" s="1"/>
  <c r="X203" i="50"/>
  <c r="AC203" i="50" s="1"/>
  <c r="X205" i="50"/>
  <c r="AC205" i="50" s="1"/>
  <c r="X207" i="50"/>
  <c r="AC207" i="50" s="1"/>
  <c r="X209" i="50"/>
  <c r="AC209" i="50" s="1"/>
  <c r="X211" i="50"/>
  <c r="AC211" i="50" s="1"/>
  <c r="X213" i="50"/>
  <c r="AC213" i="50" s="1"/>
  <c r="Y189" i="50"/>
  <c r="AD189" i="50" s="1"/>
  <c r="Y191" i="50"/>
  <c r="AD191" i="50" s="1"/>
  <c r="Y193" i="50"/>
  <c r="AD193" i="50" s="1"/>
  <c r="Y195" i="50"/>
  <c r="AD195" i="50" s="1"/>
  <c r="Y197" i="50"/>
  <c r="AD197" i="50" s="1"/>
  <c r="Y199" i="50"/>
  <c r="AD199" i="50" s="1"/>
  <c r="Y201" i="50"/>
  <c r="AD201" i="50" s="1"/>
  <c r="Y203" i="50"/>
  <c r="AD203" i="50" s="1"/>
  <c r="Y205" i="50"/>
  <c r="AD205" i="50" s="1"/>
  <c r="Y207" i="50"/>
  <c r="AD207" i="50" s="1"/>
  <c r="Y209" i="50"/>
  <c r="AD209" i="50" s="1"/>
  <c r="Y211" i="50"/>
  <c r="AD211" i="50" s="1"/>
  <c r="Y213" i="50"/>
  <c r="AD213" i="50" s="1"/>
  <c r="Z189" i="50"/>
  <c r="AE189" i="50" s="1"/>
  <c r="Z191" i="50"/>
  <c r="AE191" i="50" s="1"/>
  <c r="Z193" i="50"/>
  <c r="AE193" i="50" s="1"/>
  <c r="Z195" i="50"/>
  <c r="AE195" i="50" s="1"/>
  <c r="Z197" i="50"/>
  <c r="AE197" i="50" s="1"/>
  <c r="Z199" i="50"/>
  <c r="AE199" i="50" s="1"/>
  <c r="Z201" i="50"/>
  <c r="AE201" i="50" s="1"/>
  <c r="Z203" i="50"/>
  <c r="AE203" i="50" s="1"/>
  <c r="Z205" i="50"/>
  <c r="AE205" i="50" s="1"/>
  <c r="Z207" i="50"/>
  <c r="AE207" i="50" s="1"/>
  <c r="Z209" i="50"/>
  <c r="AE209" i="50" s="1"/>
  <c r="Z211" i="50"/>
  <c r="AE211" i="50" s="1"/>
  <c r="Q96" i="49"/>
  <c r="O111" i="49"/>
  <c r="AV34" i="49"/>
  <c r="AU34" i="49"/>
  <c r="AT34" i="49"/>
  <c r="AS34" i="49"/>
  <c r="Q111" i="49"/>
  <c r="AV31" i="49"/>
  <c r="AS31" i="49"/>
  <c r="AU31" i="49"/>
  <c r="AT31" i="49"/>
  <c r="P111" i="49"/>
  <c r="AL12" i="49"/>
  <c r="AL15" i="49"/>
  <c r="AL9" i="49"/>
  <c r="AK9" i="49" s="1"/>
  <c r="AS26" i="49" s="1"/>
  <c r="AL18" i="49"/>
  <c r="I24" i="49"/>
  <c r="X192" i="49"/>
  <c r="AC192" i="49" s="1"/>
  <c r="Y197" i="49"/>
  <c r="AD197" i="49" s="1"/>
  <c r="X204" i="49"/>
  <c r="AC204" i="49" s="1"/>
  <c r="Y209" i="49"/>
  <c r="AD209" i="49" s="1"/>
  <c r="X206" i="49"/>
  <c r="AC206" i="49" s="1"/>
  <c r="AQ58" i="49"/>
  <c r="V49" i="49"/>
  <c r="V47" i="49" s="1"/>
  <c r="V48" i="49" s="1"/>
  <c r="V51" i="49" s="1"/>
  <c r="J27" i="49" s="1"/>
  <c r="W214" i="49"/>
  <c r="AB214" i="49" s="1"/>
  <c r="X190" i="49"/>
  <c r="AC190" i="49" s="1"/>
  <c r="Y195" i="49"/>
  <c r="AD195" i="49" s="1"/>
  <c r="X202" i="49"/>
  <c r="AC202" i="49" s="1"/>
  <c r="Y207" i="49"/>
  <c r="AD207" i="49" s="1"/>
  <c r="X214" i="49"/>
  <c r="AC214" i="49" s="1"/>
  <c r="Y189" i="49"/>
  <c r="AD189" i="49" s="1"/>
  <c r="Y201" i="49"/>
  <c r="AD201" i="49" s="1"/>
  <c r="X194" i="49"/>
  <c r="AC194" i="49" s="1"/>
  <c r="Y211" i="49"/>
  <c r="AD211" i="49" s="1"/>
  <c r="AE46" i="49"/>
  <c r="J38" i="49" s="1"/>
  <c r="X188" i="49"/>
  <c r="AC188" i="49" s="1"/>
  <c r="Y193" i="49"/>
  <c r="AD193" i="49" s="1"/>
  <c r="X200" i="49"/>
  <c r="AC200" i="49" s="1"/>
  <c r="Y205" i="49"/>
  <c r="AD205" i="49" s="1"/>
  <c r="X212" i="49"/>
  <c r="AC212" i="49" s="1"/>
  <c r="Y199" i="49"/>
  <c r="AD199" i="49" s="1"/>
  <c r="AE87" i="49"/>
  <c r="Y191" i="49"/>
  <c r="AD191" i="49" s="1"/>
  <c r="X198" i="49"/>
  <c r="AC198" i="49" s="1"/>
  <c r="Y203" i="49"/>
  <c r="AD203" i="49" s="1"/>
  <c r="Y188" i="49"/>
  <c r="AD188" i="49" s="1"/>
  <c r="Y190" i="49"/>
  <c r="AD190" i="49" s="1"/>
  <c r="Y192" i="49"/>
  <c r="AD192" i="49" s="1"/>
  <c r="Y194" i="49"/>
  <c r="AD194" i="49" s="1"/>
  <c r="Y196" i="49"/>
  <c r="AD196" i="49" s="1"/>
  <c r="Y198" i="49"/>
  <c r="AD198" i="49" s="1"/>
  <c r="Y200" i="49"/>
  <c r="AD200" i="49" s="1"/>
  <c r="Y202" i="49"/>
  <c r="AD202" i="49" s="1"/>
  <c r="Y204" i="49"/>
  <c r="AD204" i="49" s="1"/>
  <c r="Y206" i="49"/>
  <c r="AD206" i="49" s="1"/>
  <c r="Y208" i="49"/>
  <c r="AD208" i="49" s="1"/>
  <c r="Y210" i="49"/>
  <c r="AD210" i="49" s="1"/>
  <c r="Y212" i="49"/>
  <c r="AD212" i="49" s="1"/>
  <c r="Y214" i="49"/>
  <c r="AD214" i="49" s="1"/>
  <c r="Z188" i="49"/>
  <c r="AE188" i="49" s="1"/>
  <c r="W189" i="49"/>
  <c r="AB189" i="49" s="1"/>
  <c r="Z190" i="49"/>
  <c r="AE190" i="49" s="1"/>
  <c r="W191" i="49"/>
  <c r="AB191" i="49" s="1"/>
  <c r="Z192" i="49"/>
  <c r="AE192" i="49" s="1"/>
  <c r="W193" i="49"/>
  <c r="AB193" i="49" s="1"/>
  <c r="Z194" i="49"/>
  <c r="AE194" i="49" s="1"/>
  <c r="W195" i="49"/>
  <c r="AB195" i="49" s="1"/>
  <c r="Z196" i="49"/>
  <c r="AE196" i="49" s="1"/>
  <c r="W197" i="49"/>
  <c r="AB197" i="49" s="1"/>
  <c r="Z198" i="49"/>
  <c r="AE198" i="49" s="1"/>
  <c r="W199" i="49"/>
  <c r="AB199" i="49" s="1"/>
  <c r="Z200" i="49"/>
  <c r="AE200" i="49" s="1"/>
  <c r="Z202" i="49"/>
  <c r="AE202" i="49" s="1"/>
  <c r="Z204" i="49"/>
  <c r="AE204" i="49" s="1"/>
  <c r="W205" i="49"/>
  <c r="AB205" i="49" s="1"/>
  <c r="Z206" i="49"/>
  <c r="AE206" i="49" s="1"/>
  <c r="W207" i="49"/>
  <c r="AB207" i="49" s="1"/>
  <c r="Z208" i="49"/>
  <c r="AE208" i="49" s="1"/>
  <c r="W209" i="49"/>
  <c r="AB209" i="49" s="1"/>
  <c r="Z210" i="49"/>
  <c r="AE210" i="49" s="1"/>
  <c r="W211" i="49"/>
  <c r="AB211" i="49" s="1"/>
  <c r="Z212" i="49"/>
  <c r="AE212" i="49" s="1"/>
  <c r="W213" i="49"/>
  <c r="AB213" i="49" s="1"/>
  <c r="Z214" i="49"/>
  <c r="AE214" i="49" s="1"/>
  <c r="X189" i="49"/>
  <c r="AC189" i="49" s="1"/>
  <c r="X191" i="49"/>
  <c r="AC191" i="49" s="1"/>
  <c r="X193" i="49"/>
  <c r="AC193" i="49" s="1"/>
  <c r="X195" i="49"/>
  <c r="AC195" i="49" s="1"/>
  <c r="X197" i="49"/>
  <c r="AC197" i="49" s="1"/>
  <c r="X199" i="49"/>
  <c r="AC199" i="49" s="1"/>
  <c r="X201" i="49"/>
  <c r="AC201" i="49" s="1"/>
  <c r="X203" i="49"/>
  <c r="AC203" i="49" s="1"/>
  <c r="X205" i="49"/>
  <c r="AC205" i="49" s="1"/>
  <c r="X207" i="49"/>
  <c r="AC207" i="49" s="1"/>
  <c r="X209" i="49"/>
  <c r="AC209" i="49" s="1"/>
  <c r="X211" i="49"/>
  <c r="AC211" i="49" s="1"/>
  <c r="X213" i="49"/>
  <c r="AC213" i="49" s="1"/>
  <c r="W188" i="49"/>
  <c r="AB188" i="49" s="1"/>
  <c r="Z189" i="49"/>
  <c r="AE189" i="49" s="1"/>
  <c r="W190" i="49"/>
  <c r="AB190" i="49" s="1"/>
  <c r="Z191" i="49"/>
  <c r="AE191" i="49" s="1"/>
  <c r="W192" i="49"/>
  <c r="AB192" i="49" s="1"/>
  <c r="Z193" i="49"/>
  <c r="AE193" i="49" s="1"/>
  <c r="W194" i="49"/>
  <c r="AB194" i="49" s="1"/>
  <c r="Z195" i="49"/>
  <c r="AE195" i="49" s="1"/>
  <c r="W196" i="49"/>
  <c r="AB196" i="49" s="1"/>
  <c r="Z197" i="49"/>
  <c r="AE197" i="49" s="1"/>
  <c r="W198" i="49"/>
  <c r="AB198" i="49" s="1"/>
  <c r="Z199" i="49"/>
  <c r="AE199" i="49" s="1"/>
  <c r="W200" i="49"/>
  <c r="AB200" i="49" s="1"/>
  <c r="Z201" i="49"/>
  <c r="AE201" i="49" s="1"/>
  <c r="Z203" i="49"/>
  <c r="AE203" i="49" s="1"/>
  <c r="Z205" i="49"/>
  <c r="AE205" i="49" s="1"/>
  <c r="W206" i="49"/>
  <c r="AB206" i="49" s="1"/>
  <c r="Z207" i="49"/>
  <c r="AE207" i="49" s="1"/>
  <c r="W208" i="49"/>
  <c r="AB208" i="49" s="1"/>
  <c r="Z209" i="49"/>
  <c r="AE209" i="49" s="1"/>
  <c r="W210" i="49"/>
  <c r="AB210" i="49" s="1"/>
  <c r="Z211" i="49"/>
  <c r="AE211" i="49" s="1"/>
  <c r="W212" i="49"/>
  <c r="AB212" i="49" s="1"/>
  <c r="Z213" i="49"/>
  <c r="AE213" i="49" s="1"/>
  <c r="AS5" i="48"/>
  <c r="AC31" i="48"/>
  <c r="P96" i="48" s="1"/>
  <c r="O111" i="48"/>
  <c r="AV34" i="48"/>
  <c r="AU34" i="48"/>
  <c r="AT34" i="48"/>
  <c r="AS34" i="48"/>
  <c r="Q111" i="48"/>
  <c r="AS31" i="48"/>
  <c r="AT31" i="48"/>
  <c r="AV31" i="48"/>
  <c r="AU31" i="48"/>
  <c r="P111" i="48"/>
  <c r="AT5" i="48"/>
  <c r="AD22" i="48"/>
  <c r="AB39" i="48" s="1"/>
  <c r="AC32" i="48" s="1"/>
  <c r="J39" i="48"/>
  <c r="E38" i="48"/>
  <c r="D38" i="48"/>
  <c r="AL18" i="48"/>
  <c r="AL12" i="48"/>
  <c r="AL15" i="48"/>
  <c r="AL9" i="48"/>
  <c r="AK9" i="48" s="1"/>
  <c r="AS26" i="48" s="1"/>
  <c r="I24" i="48"/>
  <c r="W192" i="48"/>
  <c r="AB192" i="48" s="1"/>
  <c r="X194" i="48"/>
  <c r="AC194" i="48" s="1"/>
  <c r="X199" i="48"/>
  <c r="AC199" i="48" s="1"/>
  <c r="X206" i="48"/>
  <c r="AC206" i="48" s="1"/>
  <c r="X211" i="48"/>
  <c r="AC211" i="48" s="1"/>
  <c r="AQ58" i="48"/>
  <c r="W190" i="48"/>
  <c r="AB190" i="48" s="1"/>
  <c r="X192" i="48"/>
  <c r="AC192" i="48" s="1"/>
  <c r="X197" i="48"/>
  <c r="AC197" i="48" s="1"/>
  <c r="X204" i="48"/>
  <c r="AC204" i="48" s="1"/>
  <c r="X209" i="48"/>
  <c r="AC209" i="48" s="1"/>
  <c r="W214" i="48"/>
  <c r="AB214" i="48" s="1"/>
  <c r="V49" i="48"/>
  <c r="V47" i="48" s="1"/>
  <c r="V48" i="48" s="1"/>
  <c r="V51" i="48" s="1"/>
  <c r="J27" i="48" s="1"/>
  <c r="W188" i="48"/>
  <c r="AB188" i="48" s="1"/>
  <c r="X190" i="48"/>
  <c r="AC190" i="48" s="1"/>
  <c r="X195" i="48"/>
  <c r="AC195" i="48" s="1"/>
  <c r="W200" i="48"/>
  <c r="AB200" i="48" s="1"/>
  <c r="X202" i="48"/>
  <c r="AC202" i="48" s="1"/>
  <c r="X207" i="48"/>
  <c r="AC207" i="48" s="1"/>
  <c r="W212" i="48"/>
  <c r="AB212" i="48" s="1"/>
  <c r="X214" i="48"/>
  <c r="AC214" i="48" s="1"/>
  <c r="X188" i="48"/>
  <c r="AC188" i="48" s="1"/>
  <c r="X193" i="48"/>
  <c r="AC193" i="48" s="1"/>
  <c r="W198" i="48"/>
  <c r="AB198" i="48" s="1"/>
  <c r="X200" i="48"/>
  <c r="AC200" i="48" s="1"/>
  <c r="X205" i="48"/>
  <c r="AC205" i="48" s="1"/>
  <c r="W210" i="48"/>
  <c r="AB210" i="48" s="1"/>
  <c r="X212" i="48"/>
  <c r="AC212" i="48" s="1"/>
  <c r="AE87" i="48"/>
  <c r="AE90" i="48"/>
  <c r="X191" i="48"/>
  <c r="AC191" i="48" s="1"/>
  <c r="W196" i="48"/>
  <c r="AB196" i="48" s="1"/>
  <c r="X198" i="48"/>
  <c r="AC198" i="48" s="1"/>
  <c r="X203" i="48"/>
  <c r="AC203" i="48" s="1"/>
  <c r="W208" i="48"/>
  <c r="AB208" i="48" s="1"/>
  <c r="Y188" i="48"/>
  <c r="AD188" i="48" s="1"/>
  <c r="Y190" i="48"/>
  <c r="AD190" i="48" s="1"/>
  <c r="Y192" i="48"/>
  <c r="AD192" i="48" s="1"/>
  <c r="Y194" i="48"/>
  <c r="AD194" i="48" s="1"/>
  <c r="Y196" i="48"/>
  <c r="AD196" i="48" s="1"/>
  <c r="Y198" i="48"/>
  <c r="AD198" i="48" s="1"/>
  <c r="Y200" i="48"/>
  <c r="AD200" i="48" s="1"/>
  <c r="Y202" i="48"/>
  <c r="AD202" i="48" s="1"/>
  <c r="Y204" i="48"/>
  <c r="AD204" i="48" s="1"/>
  <c r="Y206" i="48"/>
  <c r="AD206" i="48" s="1"/>
  <c r="Y208" i="48"/>
  <c r="AD208" i="48" s="1"/>
  <c r="Y210" i="48"/>
  <c r="AD210" i="48" s="1"/>
  <c r="Y212" i="48"/>
  <c r="AD212" i="48" s="1"/>
  <c r="Y214" i="48"/>
  <c r="AD214" i="48" s="1"/>
  <c r="Z188" i="48"/>
  <c r="AE188" i="48" s="1"/>
  <c r="W189" i="48"/>
  <c r="AB189" i="48" s="1"/>
  <c r="Z190" i="48"/>
  <c r="AE190" i="48" s="1"/>
  <c r="W191" i="48"/>
  <c r="AB191" i="48" s="1"/>
  <c r="Z192" i="48"/>
  <c r="AE192" i="48" s="1"/>
  <c r="W193" i="48"/>
  <c r="AB193" i="48" s="1"/>
  <c r="Z194" i="48"/>
  <c r="AE194" i="48" s="1"/>
  <c r="W195" i="48"/>
  <c r="AB195" i="48" s="1"/>
  <c r="Z196" i="48"/>
  <c r="AE196" i="48" s="1"/>
  <c r="W197" i="48"/>
  <c r="AB197" i="48" s="1"/>
  <c r="Z198" i="48"/>
  <c r="AE198" i="48" s="1"/>
  <c r="W199" i="48"/>
  <c r="AB199" i="48" s="1"/>
  <c r="Z200" i="48"/>
  <c r="AE200" i="48" s="1"/>
  <c r="Z202" i="48"/>
  <c r="AE202" i="48" s="1"/>
  <c r="Z204" i="48"/>
  <c r="AE204" i="48" s="1"/>
  <c r="W205" i="48"/>
  <c r="AB205" i="48" s="1"/>
  <c r="Z206" i="48"/>
  <c r="AE206" i="48" s="1"/>
  <c r="W207" i="48"/>
  <c r="AB207" i="48" s="1"/>
  <c r="Z208" i="48"/>
  <c r="AE208" i="48" s="1"/>
  <c r="W209" i="48"/>
  <c r="AB209" i="48" s="1"/>
  <c r="Z210" i="48"/>
  <c r="AE210" i="48" s="1"/>
  <c r="W211" i="48"/>
  <c r="AB211" i="48" s="1"/>
  <c r="Z212" i="48"/>
  <c r="AE212" i="48" s="1"/>
  <c r="W213" i="48"/>
  <c r="AB213" i="48" s="1"/>
  <c r="Z214" i="48"/>
  <c r="AE214" i="48" s="1"/>
  <c r="Y189" i="48"/>
  <c r="AD189" i="48" s="1"/>
  <c r="Y191" i="48"/>
  <c r="AD191" i="48" s="1"/>
  <c r="Y193" i="48"/>
  <c r="AD193" i="48" s="1"/>
  <c r="Y195" i="48"/>
  <c r="AD195" i="48" s="1"/>
  <c r="Y197" i="48"/>
  <c r="AD197" i="48" s="1"/>
  <c r="Y199" i="48"/>
  <c r="AD199" i="48" s="1"/>
  <c r="Y201" i="48"/>
  <c r="AD201" i="48" s="1"/>
  <c r="Y203" i="48"/>
  <c r="AD203" i="48" s="1"/>
  <c r="Y205" i="48"/>
  <c r="AD205" i="48" s="1"/>
  <c r="Y207" i="48"/>
  <c r="AD207" i="48" s="1"/>
  <c r="Y209" i="48"/>
  <c r="AD209" i="48" s="1"/>
  <c r="Y211" i="48"/>
  <c r="AD211" i="48" s="1"/>
  <c r="Y213" i="48"/>
  <c r="AD213" i="48" s="1"/>
  <c r="Z189" i="48"/>
  <c r="AE189" i="48" s="1"/>
  <c r="Z191" i="48"/>
  <c r="AE191" i="48" s="1"/>
  <c r="Z193" i="48"/>
  <c r="AE193" i="48" s="1"/>
  <c r="Z195" i="48"/>
  <c r="AE195" i="48" s="1"/>
  <c r="Z197" i="48"/>
  <c r="AE197" i="48" s="1"/>
  <c r="Z199" i="48"/>
  <c r="AE199" i="48" s="1"/>
  <c r="Z201" i="48"/>
  <c r="AE201" i="48" s="1"/>
  <c r="Z203" i="48"/>
  <c r="AE203" i="48" s="1"/>
  <c r="Z205" i="48"/>
  <c r="AE205" i="48" s="1"/>
  <c r="Z207" i="48"/>
  <c r="AE207" i="48" s="1"/>
  <c r="Z209" i="48"/>
  <c r="AE209" i="48" s="1"/>
  <c r="Z211" i="48"/>
  <c r="AE211" i="48" s="1"/>
  <c r="AT5" i="47"/>
  <c r="Q96" i="47"/>
  <c r="P96" i="47"/>
  <c r="O111" i="47"/>
  <c r="Q111" i="47"/>
  <c r="P111" i="47"/>
  <c r="AK9" i="47"/>
  <c r="AS26" i="47" s="1"/>
  <c r="AL9" i="47"/>
  <c r="P24" i="47"/>
  <c r="AT31" i="47"/>
  <c r="V49" i="47"/>
  <c r="AE89" i="47"/>
  <c r="Z46" i="47" s="1"/>
  <c r="X190" i="47"/>
  <c r="AC190" i="47" s="1"/>
  <c r="X193" i="47"/>
  <c r="AC193" i="47" s="1"/>
  <c r="X196" i="47"/>
  <c r="AC196" i="47" s="1"/>
  <c r="X199" i="47"/>
  <c r="AC199" i="47" s="1"/>
  <c r="X202" i="47"/>
  <c r="AC202" i="47" s="1"/>
  <c r="X205" i="47"/>
  <c r="AC205" i="47" s="1"/>
  <c r="X208" i="47"/>
  <c r="AC208" i="47" s="1"/>
  <c r="X211" i="47"/>
  <c r="AC211" i="47" s="1"/>
  <c r="X214" i="47"/>
  <c r="AC214" i="47" s="1"/>
  <c r="AU31" i="47"/>
  <c r="B66" i="47"/>
  <c r="AQ34" i="47" s="1"/>
  <c r="Y213" i="47"/>
  <c r="AD213" i="47" s="1"/>
  <c r="Z189" i="47"/>
  <c r="AE189" i="47" s="1"/>
  <c r="W192" i="47"/>
  <c r="AB192" i="47" s="1"/>
  <c r="Z195" i="47"/>
  <c r="AE195" i="47" s="1"/>
  <c r="W198" i="47"/>
  <c r="AB198" i="47" s="1"/>
  <c r="Z201" i="47"/>
  <c r="AE201" i="47" s="1"/>
  <c r="Z207" i="47"/>
  <c r="AE207" i="47" s="1"/>
  <c r="W210" i="47"/>
  <c r="AB210" i="47" s="1"/>
  <c r="Z213" i="47"/>
  <c r="AE213" i="47" s="1"/>
  <c r="AL15" i="47"/>
  <c r="AV31" i="47"/>
  <c r="X189" i="47"/>
  <c r="AC189" i="47" s="1"/>
  <c r="X192" i="47"/>
  <c r="AC192" i="47" s="1"/>
  <c r="X195" i="47"/>
  <c r="AC195" i="47" s="1"/>
  <c r="X198" i="47"/>
  <c r="AC198" i="47" s="1"/>
  <c r="X201" i="47"/>
  <c r="AC201" i="47" s="1"/>
  <c r="X204" i="47"/>
  <c r="AC204" i="47" s="1"/>
  <c r="X207" i="47"/>
  <c r="AC207" i="47" s="1"/>
  <c r="X210" i="47"/>
  <c r="AC210" i="47" s="1"/>
  <c r="X213" i="47"/>
  <c r="AC213" i="47" s="1"/>
  <c r="J39" i="47"/>
  <c r="D38" i="47"/>
  <c r="W188" i="47"/>
  <c r="AB188" i="47" s="1"/>
  <c r="Z191" i="47"/>
  <c r="AE191" i="47" s="1"/>
  <c r="W194" i="47"/>
  <c r="AB194" i="47" s="1"/>
  <c r="Z197" i="47"/>
  <c r="AE197" i="47" s="1"/>
  <c r="W200" i="47"/>
  <c r="AB200" i="47" s="1"/>
  <c r="Z203" i="47"/>
  <c r="AE203" i="47" s="1"/>
  <c r="W206" i="47"/>
  <c r="AB206" i="47" s="1"/>
  <c r="Z209" i="47"/>
  <c r="AE209" i="47" s="1"/>
  <c r="W212" i="47"/>
  <c r="AB212" i="47" s="1"/>
  <c r="AQ58" i="47"/>
  <c r="AL12" i="47"/>
  <c r="X188" i="47"/>
  <c r="AC188" i="47" s="1"/>
  <c r="X191" i="47"/>
  <c r="AC191" i="47" s="1"/>
  <c r="X194" i="47"/>
  <c r="AC194" i="47" s="1"/>
  <c r="X197" i="47"/>
  <c r="AC197" i="47" s="1"/>
  <c r="X200" i="47"/>
  <c r="AC200" i="47" s="1"/>
  <c r="X203" i="47"/>
  <c r="AC203" i="47" s="1"/>
  <c r="X206" i="47"/>
  <c r="AC206" i="47" s="1"/>
  <c r="X209" i="47"/>
  <c r="AC209" i="47" s="1"/>
  <c r="Y188" i="47"/>
  <c r="AD188" i="47" s="1"/>
  <c r="Y190" i="47"/>
  <c r="AD190" i="47" s="1"/>
  <c r="Y192" i="47"/>
  <c r="AD192" i="47" s="1"/>
  <c r="Y194" i="47"/>
  <c r="AD194" i="47" s="1"/>
  <c r="Y196" i="47"/>
  <c r="AD196" i="47" s="1"/>
  <c r="Y198" i="47"/>
  <c r="AD198" i="47" s="1"/>
  <c r="Y200" i="47"/>
  <c r="AD200" i="47" s="1"/>
  <c r="Y202" i="47"/>
  <c r="AD202" i="47" s="1"/>
  <c r="Y204" i="47"/>
  <c r="AD204" i="47" s="1"/>
  <c r="Y206" i="47"/>
  <c r="AD206" i="47" s="1"/>
  <c r="Y208" i="47"/>
  <c r="AD208" i="47" s="1"/>
  <c r="Y210" i="47"/>
  <c r="AD210" i="47" s="1"/>
  <c r="Y212" i="47"/>
  <c r="AD212" i="47" s="1"/>
  <c r="Y214" i="47"/>
  <c r="AD214" i="47" s="1"/>
  <c r="Z188" i="47"/>
  <c r="AE188" i="47" s="1"/>
  <c r="W189" i="47"/>
  <c r="AB189" i="47" s="1"/>
  <c r="Z190" i="47"/>
  <c r="AE190" i="47" s="1"/>
  <c r="W191" i="47"/>
  <c r="AB191" i="47" s="1"/>
  <c r="Z192" i="47"/>
  <c r="AE192" i="47" s="1"/>
  <c r="W193" i="47"/>
  <c r="AB193" i="47" s="1"/>
  <c r="Z194" i="47"/>
  <c r="AE194" i="47" s="1"/>
  <c r="W195" i="47"/>
  <c r="AB195" i="47" s="1"/>
  <c r="Z196" i="47"/>
  <c r="AE196" i="47" s="1"/>
  <c r="W197" i="47"/>
  <c r="AB197" i="47" s="1"/>
  <c r="Z198" i="47"/>
  <c r="AE198" i="47" s="1"/>
  <c r="W199" i="47"/>
  <c r="AB199" i="47" s="1"/>
  <c r="Z200" i="47"/>
  <c r="AE200" i="47" s="1"/>
  <c r="Z202" i="47"/>
  <c r="AE202" i="47" s="1"/>
  <c r="Z204" i="47"/>
  <c r="AE204" i="47" s="1"/>
  <c r="W205" i="47"/>
  <c r="AB205" i="47" s="1"/>
  <c r="Z206" i="47"/>
  <c r="AE206" i="47" s="1"/>
  <c r="W207" i="47"/>
  <c r="AB207" i="47" s="1"/>
  <c r="Z208" i="47"/>
  <c r="AE208" i="47" s="1"/>
  <c r="W209" i="47"/>
  <c r="AB209" i="47" s="1"/>
  <c r="Z210" i="47"/>
  <c r="AE210" i="47" s="1"/>
  <c r="W211" i="47"/>
  <c r="AB211" i="47" s="1"/>
  <c r="Z212" i="47"/>
  <c r="AE212" i="47" s="1"/>
  <c r="W213" i="47"/>
  <c r="AB213" i="47" s="1"/>
  <c r="Z214" i="47"/>
  <c r="AE214" i="47" s="1"/>
  <c r="Y189" i="47"/>
  <c r="AD189" i="47" s="1"/>
  <c r="Y191" i="47"/>
  <c r="AD191" i="47" s="1"/>
  <c r="Y193" i="47"/>
  <c r="AD193" i="47" s="1"/>
  <c r="Y195" i="47"/>
  <c r="AD195" i="47" s="1"/>
  <c r="Y197" i="47"/>
  <c r="AD197" i="47" s="1"/>
  <c r="Y199" i="47"/>
  <c r="AD199" i="47" s="1"/>
  <c r="Y201" i="47"/>
  <c r="AD201" i="47" s="1"/>
  <c r="Y203" i="47"/>
  <c r="AD203" i="47" s="1"/>
  <c r="Y205" i="47"/>
  <c r="AD205" i="47" s="1"/>
  <c r="Y207" i="47"/>
  <c r="AD207" i="47" s="1"/>
  <c r="Y209" i="47"/>
  <c r="AD209" i="47" s="1"/>
  <c r="Y211" i="47"/>
  <c r="AD211" i="47" s="1"/>
  <c r="Q96" i="54" l="1"/>
  <c r="J28" i="54"/>
  <c r="E27" i="54"/>
  <c r="D27" i="54"/>
  <c r="I27" i="54" s="1"/>
  <c r="AS31" i="54"/>
  <c r="AV31" i="54"/>
  <c r="AU31" i="54"/>
  <c r="AT31" i="54"/>
  <c r="AD215" i="54"/>
  <c r="AC215" i="54"/>
  <c r="Z47" i="54"/>
  <c r="Z48" i="54" s="1"/>
  <c r="Z49" i="54" s="1"/>
  <c r="J30" i="54" s="1"/>
  <c r="E39" i="54"/>
  <c r="D39" i="54"/>
  <c r="E45" i="54"/>
  <c r="E46" i="54"/>
  <c r="D46" i="54"/>
  <c r="AE215" i="54"/>
  <c r="AV6" i="54"/>
  <c r="AV7" i="54"/>
  <c r="AV8" i="54"/>
  <c r="AV34" i="54"/>
  <c r="AU34" i="54"/>
  <c r="AT34" i="54"/>
  <c r="AS34" i="54"/>
  <c r="AB215" i="54"/>
  <c r="Q145" i="54" s="1"/>
  <c r="Q147" i="54" s="1"/>
  <c r="AS5" i="49"/>
  <c r="D27" i="52"/>
  <c r="E27" i="52"/>
  <c r="J28" i="52"/>
  <c r="E28" i="52" s="1"/>
  <c r="D46" i="51"/>
  <c r="D45" i="51" s="1"/>
  <c r="E46" i="51"/>
  <c r="D46" i="50"/>
  <c r="D45" i="50" s="1"/>
  <c r="E45" i="50"/>
  <c r="AE215" i="53"/>
  <c r="E45" i="53"/>
  <c r="E46" i="53"/>
  <c r="D46" i="53"/>
  <c r="D39" i="53"/>
  <c r="E39" i="53"/>
  <c r="AD215" i="53"/>
  <c r="AC215" i="53"/>
  <c r="J28" i="53"/>
  <c r="D27" i="53"/>
  <c r="E27" i="53"/>
  <c r="N111" i="53"/>
  <c r="P96" i="53"/>
  <c r="AT5" i="53"/>
  <c r="Q96" i="53"/>
  <c r="AU5" i="53"/>
  <c r="AE215" i="52"/>
  <c r="N111" i="52"/>
  <c r="AC215" i="52"/>
  <c r="AD215" i="52"/>
  <c r="J39" i="52"/>
  <c r="E38" i="52"/>
  <c r="D38" i="52"/>
  <c r="Q96" i="52"/>
  <c r="AU5" i="52"/>
  <c r="E46" i="52"/>
  <c r="D46" i="52"/>
  <c r="E45" i="52"/>
  <c r="D28" i="52"/>
  <c r="AV6" i="52"/>
  <c r="AV7" i="52"/>
  <c r="AV8" i="52"/>
  <c r="Q96" i="51"/>
  <c r="AU5" i="51"/>
  <c r="J28" i="51"/>
  <c r="E27" i="51"/>
  <c r="D27" i="51"/>
  <c r="AD215" i="51"/>
  <c r="N111" i="51"/>
  <c r="E39" i="51"/>
  <c r="D39" i="51"/>
  <c r="AC215" i="51"/>
  <c r="AV34" i="51"/>
  <c r="AT34" i="51"/>
  <c r="AU34" i="51"/>
  <c r="AS34" i="51"/>
  <c r="AV8" i="51"/>
  <c r="AV7" i="51"/>
  <c r="AV6" i="51"/>
  <c r="AE215" i="51"/>
  <c r="I46" i="51"/>
  <c r="I45" i="51" s="1"/>
  <c r="P96" i="50"/>
  <c r="P96" i="49"/>
  <c r="N111" i="50"/>
  <c r="AE215" i="50"/>
  <c r="G20" i="50"/>
  <c r="V47" i="50"/>
  <c r="AU34" i="50"/>
  <c r="AS31" i="50"/>
  <c r="AS34" i="50"/>
  <c r="AU31" i="50"/>
  <c r="AD215" i="50"/>
  <c r="Q96" i="50"/>
  <c r="AU5" i="50"/>
  <c r="AT34" i="50"/>
  <c r="AV31" i="50"/>
  <c r="AC215" i="50"/>
  <c r="E38" i="50"/>
  <c r="J39" i="50"/>
  <c r="D38" i="50"/>
  <c r="AV7" i="50"/>
  <c r="AV8" i="50"/>
  <c r="AV6" i="50"/>
  <c r="AV34" i="50"/>
  <c r="AT31" i="50"/>
  <c r="N111" i="49"/>
  <c r="AE215" i="49"/>
  <c r="AC215" i="49"/>
  <c r="D27" i="49"/>
  <c r="E27" i="49"/>
  <c r="J28" i="49"/>
  <c r="E45" i="49"/>
  <c r="E46" i="49"/>
  <c r="D46" i="49"/>
  <c r="AD215" i="49"/>
  <c r="AV8" i="49"/>
  <c r="AV7" i="49"/>
  <c r="AV6" i="49"/>
  <c r="J39" i="49"/>
  <c r="E38" i="49"/>
  <c r="D38" i="49"/>
  <c r="AC215" i="48"/>
  <c r="AE215" i="48"/>
  <c r="E45" i="48"/>
  <c r="E46" i="48"/>
  <c r="D46" i="48"/>
  <c r="J28" i="48"/>
  <c r="E27" i="48"/>
  <c r="D27" i="48"/>
  <c r="E39" i="48"/>
  <c r="D39" i="48"/>
  <c r="AV7" i="48"/>
  <c r="AV8" i="48"/>
  <c r="AV6" i="48"/>
  <c r="Q96" i="48"/>
  <c r="AU5" i="48"/>
  <c r="AD215" i="48"/>
  <c r="N111" i="48"/>
  <c r="AU5" i="47"/>
  <c r="AD215" i="47"/>
  <c r="AC215" i="47"/>
  <c r="AU34" i="47"/>
  <c r="AV34" i="47"/>
  <c r="AT34" i="47"/>
  <c r="AS34" i="47"/>
  <c r="E39" i="47"/>
  <c r="D39" i="47"/>
  <c r="N111" i="47"/>
  <c r="AE215" i="47"/>
  <c r="AV7" i="47"/>
  <c r="AV8" i="47"/>
  <c r="AV6" i="47"/>
  <c r="E46" i="47"/>
  <c r="D46" i="47"/>
  <c r="E45" i="47"/>
  <c r="O96" i="47"/>
  <c r="AS5" i="47"/>
  <c r="G20" i="47"/>
  <c r="V47" i="47"/>
  <c r="V48" i="47" s="1"/>
  <c r="V51" i="47" s="1"/>
  <c r="J27" i="47" s="1"/>
  <c r="I46" i="54" l="1"/>
  <c r="I45" i="54" s="1"/>
  <c r="D45" i="54"/>
  <c r="J46" i="54"/>
  <c r="AU8" i="54"/>
  <c r="AS8" i="54"/>
  <c r="AT8" i="54"/>
  <c r="E30" i="54"/>
  <c r="D30" i="54"/>
  <c r="I30" i="54" s="1"/>
  <c r="I31" i="54" s="1"/>
  <c r="J31" i="54"/>
  <c r="AT27" i="54"/>
  <c r="AS27" i="54"/>
  <c r="AV27" i="54"/>
  <c r="AU27" i="54"/>
  <c r="J45" i="54"/>
  <c r="AS7" i="54"/>
  <c r="AT7" i="54"/>
  <c r="AU7" i="54"/>
  <c r="I28" i="54"/>
  <c r="J44" i="54"/>
  <c r="AU6" i="54"/>
  <c r="AT6" i="54"/>
  <c r="AS6" i="54"/>
  <c r="E28" i="54"/>
  <c r="D28" i="54"/>
  <c r="I46" i="50"/>
  <c r="I45" i="50" s="1"/>
  <c r="E28" i="53"/>
  <c r="D28" i="53"/>
  <c r="I46" i="53"/>
  <c r="I45" i="53" s="1"/>
  <c r="D45" i="53"/>
  <c r="AV7" i="53"/>
  <c r="AV6" i="53"/>
  <c r="AV8" i="53"/>
  <c r="J45" i="52"/>
  <c r="AS7" i="52"/>
  <c r="AT7" i="52"/>
  <c r="AU7" i="52"/>
  <c r="J44" i="52"/>
  <c r="AT6" i="52"/>
  <c r="AS6" i="52"/>
  <c r="AU6" i="52"/>
  <c r="D39" i="52"/>
  <c r="E39" i="52"/>
  <c r="I46" i="52"/>
  <c r="I45" i="52" s="1"/>
  <c r="D45" i="52"/>
  <c r="J46" i="52"/>
  <c r="AU8" i="52"/>
  <c r="AS8" i="52"/>
  <c r="AT8" i="52"/>
  <c r="E28" i="51"/>
  <c r="D28" i="51"/>
  <c r="J44" i="51"/>
  <c r="AT6" i="51"/>
  <c r="AU6" i="51"/>
  <c r="AS6" i="51"/>
  <c r="J45" i="51"/>
  <c r="AU7" i="51"/>
  <c r="AT7" i="51"/>
  <c r="AS7" i="51"/>
  <c r="J46" i="51"/>
  <c r="AU8" i="51"/>
  <c r="AT8" i="51"/>
  <c r="AS8" i="51"/>
  <c r="J46" i="50"/>
  <c r="AT8" i="50"/>
  <c r="AU8" i="50"/>
  <c r="AS8" i="50"/>
  <c r="D39" i="50"/>
  <c r="E39" i="50"/>
  <c r="AT6" i="50"/>
  <c r="AS6" i="50"/>
  <c r="J44" i="50"/>
  <c r="AU6" i="50"/>
  <c r="V48" i="50"/>
  <c r="V51" i="50" s="1"/>
  <c r="J27" i="50" s="1"/>
  <c r="J45" i="50"/>
  <c r="AU7" i="50"/>
  <c r="AT7" i="50"/>
  <c r="AS7" i="50"/>
  <c r="J45" i="49"/>
  <c r="AT7" i="49"/>
  <c r="AU7" i="49"/>
  <c r="AS7" i="49"/>
  <c r="E28" i="49"/>
  <c r="D28" i="49"/>
  <c r="J46" i="49"/>
  <c r="AS8" i="49"/>
  <c r="AU8" i="49"/>
  <c r="AT8" i="49"/>
  <c r="E39" i="49"/>
  <c r="D39" i="49"/>
  <c r="J44" i="49"/>
  <c r="AT6" i="49"/>
  <c r="AU6" i="49"/>
  <c r="AS6" i="49"/>
  <c r="I46" i="49"/>
  <c r="I45" i="49" s="1"/>
  <c r="D45" i="49"/>
  <c r="AU7" i="48"/>
  <c r="AT7" i="48"/>
  <c r="J45" i="48"/>
  <c r="AS7" i="48"/>
  <c r="J46" i="48"/>
  <c r="AU8" i="48"/>
  <c r="AS8" i="48"/>
  <c r="AT8" i="48"/>
  <c r="E28" i="48"/>
  <c r="D28" i="48"/>
  <c r="I46" i="48"/>
  <c r="I45" i="48" s="1"/>
  <c r="D45" i="48"/>
  <c r="J44" i="48"/>
  <c r="AU6" i="48"/>
  <c r="AS6" i="48"/>
  <c r="AT6" i="48"/>
  <c r="J44" i="47"/>
  <c r="AU6" i="47"/>
  <c r="AT6" i="47"/>
  <c r="AS6" i="47"/>
  <c r="J46" i="47"/>
  <c r="AT8" i="47"/>
  <c r="AS8" i="47"/>
  <c r="AU8" i="47"/>
  <c r="J45" i="47"/>
  <c r="AU7" i="47"/>
  <c r="AS7" i="47"/>
  <c r="AT7" i="47"/>
  <c r="D27" i="47"/>
  <c r="J28" i="47"/>
  <c r="E27" i="47"/>
  <c r="I46" i="47"/>
  <c r="I45" i="47" s="1"/>
  <c r="D45" i="47"/>
  <c r="AC30" i="45"/>
  <c r="V46" i="45"/>
  <c r="AD31" i="45"/>
  <c r="AD32" i="45"/>
  <c r="AD30" i="45"/>
  <c r="AA215" i="45"/>
  <c r="V214" i="45"/>
  <c r="V213" i="45"/>
  <c r="V212" i="45"/>
  <c r="V211" i="45"/>
  <c r="V210" i="45"/>
  <c r="V209" i="45"/>
  <c r="V208" i="45"/>
  <c r="V207" i="45"/>
  <c r="V206" i="45"/>
  <c r="V205" i="45"/>
  <c r="V204" i="45"/>
  <c r="V203" i="45"/>
  <c r="V202" i="45"/>
  <c r="V201" i="45"/>
  <c r="V200" i="45"/>
  <c r="V199" i="45"/>
  <c r="V198" i="45"/>
  <c r="V197" i="45"/>
  <c r="V196" i="45"/>
  <c r="V195" i="45"/>
  <c r="V194" i="45"/>
  <c r="V193" i="45"/>
  <c r="V192" i="45"/>
  <c r="V191" i="45"/>
  <c r="V190" i="45"/>
  <c r="V189" i="45"/>
  <c r="V188" i="45"/>
  <c r="AO179" i="45"/>
  <c r="AN179" i="45"/>
  <c r="AM179" i="45"/>
  <c r="AL179" i="45"/>
  <c r="AK179" i="45"/>
  <c r="AJ179" i="45"/>
  <c r="AI179" i="45"/>
  <c r="AH179" i="45"/>
  <c r="AG179" i="45"/>
  <c r="AF179" i="45"/>
  <c r="AE179" i="45"/>
  <c r="AD179" i="45"/>
  <c r="AC179" i="45"/>
  <c r="AB179" i="45"/>
  <c r="AA179" i="45"/>
  <c r="Z179" i="45"/>
  <c r="Y179" i="45"/>
  <c r="X179" i="45"/>
  <c r="W179" i="45"/>
  <c r="V179" i="45"/>
  <c r="AO178" i="45"/>
  <c r="AN178" i="45"/>
  <c r="AM178" i="45"/>
  <c r="AL178" i="45"/>
  <c r="AK178" i="45"/>
  <c r="AJ178" i="45"/>
  <c r="AI178" i="45"/>
  <c r="AH178" i="45"/>
  <c r="AG178" i="45"/>
  <c r="AF178" i="45"/>
  <c r="AE178" i="45"/>
  <c r="AD178" i="45"/>
  <c r="AC178" i="45"/>
  <c r="AB178" i="45"/>
  <c r="AA178" i="45"/>
  <c r="Z178" i="45"/>
  <c r="Y178" i="45"/>
  <c r="X178" i="45"/>
  <c r="W178" i="45"/>
  <c r="V178" i="45"/>
  <c r="AO177" i="45"/>
  <c r="AN177" i="45"/>
  <c r="AM177" i="45"/>
  <c r="AL177" i="45"/>
  <c r="AK177" i="45"/>
  <c r="AJ177" i="45"/>
  <c r="AI177" i="45"/>
  <c r="AH177" i="45"/>
  <c r="AG177" i="45"/>
  <c r="AF177" i="45"/>
  <c r="AE177" i="45"/>
  <c r="AD177" i="45"/>
  <c r="AC177" i="45"/>
  <c r="AB177" i="45"/>
  <c r="AA177" i="45"/>
  <c r="Z177" i="45"/>
  <c r="Y177" i="45"/>
  <c r="X177" i="45"/>
  <c r="W177" i="45"/>
  <c r="V177" i="45"/>
  <c r="AO176" i="45"/>
  <c r="AN176" i="45"/>
  <c r="AM176" i="45"/>
  <c r="AL176" i="45"/>
  <c r="AK176" i="45"/>
  <c r="AJ176" i="45"/>
  <c r="AI176" i="45"/>
  <c r="AH176" i="45"/>
  <c r="AG176" i="45"/>
  <c r="AF176" i="45"/>
  <c r="AE176" i="45"/>
  <c r="AD176" i="45"/>
  <c r="AC176" i="45"/>
  <c r="AB176" i="45"/>
  <c r="AA176" i="45"/>
  <c r="Z176" i="45"/>
  <c r="Y176" i="45"/>
  <c r="X176" i="45"/>
  <c r="V176" i="45"/>
  <c r="AO175" i="45"/>
  <c r="AN175" i="45"/>
  <c r="AM175" i="45"/>
  <c r="AL175" i="45"/>
  <c r="AK175" i="45"/>
  <c r="AJ175" i="45"/>
  <c r="AI175" i="45"/>
  <c r="AH175" i="45"/>
  <c r="AG175" i="45"/>
  <c r="AF175" i="45"/>
  <c r="AE175" i="45"/>
  <c r="AD175" i="45"/>
  <c r="AC175" i="45"/>
  <c r="AB175" i="45"/>
  <c r="AA175" i="45"/>
  <c r="Z175" i="45"/>
  <c r="Y175" i="45"/>
  <c r="X175" i="45"/>
  <c r="V175" i="45"/>
  <c r="AO174" i="45"/>
  <c r="AN174" i="45"/>
  <c r="AM174" i="45"/>
  <c r="AL174" i="45"/>
  <c r="AK174" i="45"/>
  <c r="AJ174" i="45"/>
  <c r="AI174" i="45"/>
  <c r="AH174" i="45"/>
  <c r="AG174" i="45"/>
  <c r="AF174" i="45"/>
  <c r="AE174" i="45"/>
  <c r="AD174" i="45"/>
  <c r="AC174" i="45"/>
  <c r="AB174" i="45"/>
  <c r="AA174" i="45"/>
  <c r="Z174" i="45"/>
  <c r="Y174" i="45"/>
  <c r="X174" i="45"/>
  <c r="V174" i="45"/>
  <c r="AO173" i="45"/>
  <c r="AN173" i="45"/>
  <c r="AM173" i="45"/>
  <c r="AL173" i="45"/>
  <c r="AK173" i="45"/>
  <c r="AJ173" i="45"/>
  <c r="AI173" i="45"/>
  <c r="AH173" i="45"/>
  <c r="AG173" i="45"/>
  <c r="AF173" i="45"/>
  <c r="AE173" i="45"/>
  <c r="AD173" i="45"/>
  <c r="AC173" i="45"/>
  <c r="AB173" i="45"/>
  <c r="AA173" i="45"/>
  <c r="Z173" i="45"/>
  <c r="Y173" i="45"/>
  <c r="X173" i="45"/>
  <c r="V173" i="45"/>
  <c r="AO172" i="45"/>
  <c r="AN172" i="45"/>
  <c r="AM172" i="45"/>
  <c r="AL172" i="45"/>
  <c r="AK172" i="45"/>
  <c r="AJ172" i="45"/>
  <c r="AI172" i="45"/>
  <c r="AH172" i="45"/>
  <c r="AG172" i="45"/>
  <c r="AF172" i="45"/>
  <c r="AE172" i="45"/>
  <c r="AD172" i="45"/>
  <c r="AC172" i="45"/>
  <c r="AB172" i="45"/>
  <c r="AA172" i="45"/>
  <c r="Z172" i="45"/>
  <c r="Y172" i="45"/>
  <c r="X172" i="45"/>
  <c r="W172" i="45"/>
  <c r="V172" i="45"/>
  <c r="AO171" i="45"/>
  <c r="AN171" i="45"/>
  <c r="AM171" i="45"/>
  <c r="AL171" i="45"/>
  <c r="AK171" i="45"/>
  <c r="AJ171" i="45"/>
  <c r="AI171" i="45"/>
  <c r="AH171" i="45"/>
  <c r="AG171" i="45"/>
  <c r="AF171" i="45"/>
  <c r="AE171" i="45"/>
  <c r="AD171" i="45"/>
  <c r="AC171" i="45"/>
  <c r="AB171" i="45"/>
  <c r="AA171" i="45"/>
  <c r="Z171" i="45"/>
  <c r="Y171" i="45"/>
  <c r="X171" i="45"/>
  <c r="V171" i="45"/>
  <c r="AO170" i="45"/>
  <c r="AN170" i="45"/>
  <c r="AM170" i="45"/>
  <c r="AL170" i="45"/>
  <c r="AK170" i="45"/>
  <c r="AJ170" i="45"/>
  <c r="AI170" i="45"/>
  <c r="AH170" i="45"/>
  <c r="AG170" i="45"/>
  <c r="AF170" i="45"/>
  <c r="AE170" i="45"/>
  <c r="AD170" i="45"/>
  <c r="AC170" i="45"/>
  <c r="AB170" i="45"/>
  <c r="AA170" i="45"/>
  <c r="Z170" i="45"/>
  <c r="Y170" i="45"/>
  <c r="X170" i="45"/>
  <c r="V170" i="45"/>
  <c r="AO169" i="45"/>
  <c r="AN169" i="45"/>
  <c r="AM169" i="45"/>
  <c r="AL169" i="45"/>
  <c r="AK169" i="45"/>
  <c r="AJ169" i="45"/>
  <c r="AI169" i="45"/>
  <c r="AH169" i="45"/>
  <c r="AG169" i="45"/>
  <c r="AF169" i="45"/>
  <c r="AE169" i="45"/>
  <c r="AD169" i="45"/>
  <c r="AC169" i="45"/>
  <c r="AB169" i="45"/>
  <c r="AA169" i="45"/>
  <c r="Z169" i="45"/>
  <c r="Y169" i="45"/>
  <c r="X169" i="45"/>
  <c r="W169" i="45"/>
  <c r="V169" i="45"/>
  <c r="AO168" i="45"/>
  <c r="AN168" i="45"/>
  <c r="AM168" i="45"/>
  <c r="AL168" i="45"/>
  <c r="X95" i="45" s="1"/>
  <c r="AK168" i="45"/>
  <c r="AJ168" i="45"/>
  <c r="AI168" i="45"/>
  <c r="AH168" i="45"/>
  <c r="AG168" i="45"/>
  <c r="AF168" i="45"/>
  <c r="AE168" i="45"/>
  <c r="AD168" i="45"/>
  <c r="AD95" i="45" s="1"/>
  <c r="AC168" i="45"/>
  <c r="AB168" i="45"/>
  <c r="AA168" i="45"/>
  <c r="AA95" i="45" s="1"/>
  <c r="Z168" i="45"/>
  <c r="Z95" i="45" s="1"/>
  <c r="Y168" i="45"/>
  <c r="X168" i="45"/>
  <c r="W168" i="45"/>
  <c r="V168" i="45"/>
  <c r="AO167" i="45"/>
  <c r="AN167" i="45"/>
  <c r="AM167" i="45"/>
  <c r="AL167" i="45"/>
  <c r="X94" i="45" s="1"/>
  <c r="AK167" i="45"/>
  <c r="AJ167" i="45"/>
  <c r="AI167" i="45"/>
  <c r="AH167" i="45"/>
  <c r="AG167" i="45"/>
  <c r="AF167" i="45"/>
  <c r="AE167" i="45"/>
  <c r="AD167" i="45"/>
  <c r="AC167" i="45"/>
  <c r="AC94" i="45" s="1"/>
  <c r="AB167" i="45"/>
  <c r="AB94" i="45" s="1"/>
  <c r="AA167" i="45"/>
  <c r="Z167" i="45"/>
  <c r="Z94" i="45" s="1"/>
  <c r="Y167" i="45"/>
  <c r="X167" i="45"/>
  <c r="W167" i="45"/>
  <c r="W94" i="45" s="1"/>
  <c r="V167" i="45"/>
  <c r="AO166" i="45"/>
  <c r="AN166" i="45"/>
  <c r="AM166" i="45"/>
  <c r="AL166" i="45"/>
  <c r="AK166" i="45"/>
  <c r="AJ166" i="45"/>
  <c r="AI166" i="45"/>
  <c r="AH166" i="45"/>
  <c r="AG166" i="45"/>
  <c r="AF166" i="45"/>
  <c r="AE166" i="45"/>
  <c r="AD166" i="45"/>
  <c r="AC166" i="45"/>
  <c r="AC93" i="45" s="1"/>
  <c r="AB166" i="45"/>
  <c r="AA166" i="45"/>
  <c r="AA93" i="45" s="1"/>
  <c r="Z166" i="45"/>
  <c r="Y166" i="45"/>
  <c r="Y93" i="45" s="1"/>
  <c r="X166" i="45"/>
  <c r="W166" i="45"/>
  <c r="V166" i="45"/>
  <c r="AO165" i="45"/>
  <c r="AN165" i="45"/>
  <c r="AM165" i="45"/>
  <c r="AL165" i="45"/>
  <c r="AK165" i="45"/>
  <c r="AJ165" i="45"/>
  <c r="AI165" i="45"/>
  <c r="AH165" i="45"/>
  <c r="AG165" i="45"/>
  <c r="AF165" i="45"/>
  <c r="AE165" i="45"/>
  <c r="AD165" i="45"/>
  <c r="AD92" i="45" s="1"/>
  <c r="AC165" i="45"/>
  <c r="AB165" i="45"/>
  <c r="AA165" i="45"/>
  <c r="AA92" i="45" s="1"/>
  <c r="Z165" i="45"/>
  <c r="Y165" i="45"/>
  <c r="Y92" i="45" s="1"/>
  <c r="X165" i="45"/>
  <c r="W165" i="45"/>
  <c r="V165" i="45"/>
  <c r="AO164" i="45"/>
  <c r="AN164" i="45"/>
  <c r="AM164" i="45"/>
  <c r="AL164" i="45"/>
  <c r="X91" i="45" s="1"/>
  <c r="AK164" i="45"/>
  <c r="AJ164" i="45"/>
  <c r="AI164" i="45"/>
  <c r="AH164" i="45"/>
  <c r="AG164" i="45"/>
  <c r="AF164" i="45"/>
  <c r="AE164" i="45"/>
  <c r="AD164" i="45"/>
  <c r="AC164" i="45"/>
  <c r="AC91" i="45" s="1"/>
  <c r="AB164" i="45"/>
  <c r="AA164" i="45"/>
  <c r="AA91" i="45" s="1"/>
  <c r="Z164" i="45"/>
  <c r="Z91" i="45" s="1"/>
  <c r="Y164" i="45"/>
  <c r="X164" i="45"/>
  <c r="W164" i="45"/>
  <c r="W91" i="45" s="1"/>
  <c r="V164" i="45"/>
  <c r="AO163" i="45"/>
  <c r="AN163" i="45"/>
  <c r="AM163" i="45"/>
  <c r="AL163" i="45"/>
  <c r="AK163" i="45"/>
  <c r="AJ163" i="45"/>
  <c r="AI163" i="45"/>
  <c r="AH163" i="45"/>
  <c r="AG163" i="45"/>
  <c r="AF163" i="45"/>
  <c r="AE163" i="45"/>
  <c r="AD163" i="45"/>
  <c r="AD90" i="45" s="1"/>
  <c r="AC163" i="45"/>
  <c r="AC90" i="45" s="1"/>
  <c r="AB163" i="45"/>
  <c r="AB90" i="45" s="1"/>
  <c r="AA163" i="45"/>
  <c r="Z163" i="45"/>
  <c r="Y163" i="45"/>
  <c r="Y90" i="45" s="1"/>
  <c r="X163" i="45"/>
  <c r="W163" i="45"/>
  <c r="V163" i="45"/>
  <c r="V90" i="45" s="1"/>
  <c r="AO162" i="45"/>
  <c r="AN162" i="45"/>
  <c r="AM162" i="45"/>
  <c r="AL162" i="45"/>
  <c r="AK162" i="45"/>
  <c r="AJ162" i="45"/>
  <c r="AI162" i="45"/>
  <c r="AH162" i="45"/>
  <c r="AG162" i="45"/>
  <c r="AF162" i="45"/>
  <c r="AE162" i="45"/>
  <c r="AD162" i="45"/>
  <c r="AD89" i="45" s="1"/>
  <c r="AC162" i="45"/>
  <c r="AB162" i="45"/>
  <c r="AA162" i="45"/>
  <c r="AA89" i="45" s="1"/>
  <c r="Z162" i="45"/>
  <c r="Y162" i="45"/>
  <c r="Y89" i="45" s="1"/>
  <c r="X162" i="45"/>
  <c r="W162" i="45"/>
  <c r="V162" i="45"/>
  <c r="AO161" i="45"/>
  <c r="AN161" i="45"/>
  <c r="AM161" i="45"/>
  <c r="AL161" i="45"/>
  <c r="X88" i="45" s="1"/>
  <c r="AK161" i="45"/>
  <c r="AJ161" i="45"/>
  <c r="AI161" i="45"/>
  <c r="AH161" i="45"/>
  <c r="AG161" i="45"/>
  <c r="AF161" i="45"/>
  <c r="AE161" i="45"/>
  <c r="AD161" i="45"/>
  <c r="AC161" i="45"/>
  <c r="AC88" i="45" s="1"/>
  <c r="AB161" i="45"/>
  <c r="AA161" i="45"/>
  <c r="AA88" i="45" s="1"/>
  <c r="Z161" i="45"/>
  <c r="Z88" i="45" s="1"/>
  <c r="Y161" i="45"/>
  <c r="X161" i="45"/>
  <c r="W161" i="45"/>
  <c r="W88" i="45" s="1"/>
  <c r="V161" i="45"/>
  <c r="AO160" i="45"/>
  <c r="AN160" i="45"/>
  <c r="AM160" i="45"/>
  <c r="AL160" i="45"/>
  <c r="AK160" i="45"/>
  <c r="AJ160" i="45"/>
  <c r="AI160" i="45"/>
  <c r="AH160" i="45"/>
  <c r="AG160" i="45"/>
  <c r="AF160" i="45"/>
  <c r="AE160" i="45"/>
  <c r="AD160" i="45"/>
  <c r="AD87" i="45" s="1"/>
  <c r="AC160" i="45"/>
  <c r="AC87" i="45" s="1"/>
  <c r="AB160" i="45"/>
  <c r="AB87" i="45" s="1"/>
  <c r="AA160" i="45"/>
  <c r="Z160" i="45"/>
  <c r="Y160" i="45"/>
  <c r="Y87" i="45" s="1"/>
  <c r="X160" i="45"/>
  <c r="V160" i="45"/>
  <c r="V87" i="45" s="1"/>
  <c r="AO159" i="45"/>
  <c r="AN159" i="45"/>
  <c r="AM159" i="45"/>
  <c r="AL159" i="45"/>
  <c r="AK159" i="45"/>
  <c r="AJ159" i="45"/>
  <c r="AI159" i="45"/>
  <c r="AH159" i="45"/>
  <c r="AG159" i="45"/>
  <c r="AF159" i="45"/>
  <c r="AE159" i="45"/>
  <c r="AD159" i="45"/>
  <c r="AC159" i="45"/>
  <c r="AB159" i="45"/>
  <c r="AA159" i="45"/>
  <c r="Z159" i="45"/>
  <c r="Y159" i="45"/>
  <c r="X159" i="45"/>
  <c r="W159" i="45"/>
  <c r="V159" i="45"/>
  <c r="AO158" i="45"/>
  <c r="AN158" i="45"/>
  <c r="AM158" i="45"/>
  <c r="AL158" i="45"/>
  <c r="AK158" i="45"/>
  <c r="AJ158" i="45"/>
  <c r="AI158" i="45"/>
  <c r="AH158" i="45"/>
  <c r="AG158" i="45"/>
  <c r="AF158" i="45"/>
  <c r="AE158" i="45"/>
  <c r="AD158" i="45"/>
  <c r="AC158" i="45"/>
  <c r="AB158" i="45"/>
  <c r="AA158" i="45"/>
  <c r="Z158" i="45"/>
  <c r="Y158" i="45"/>
  <c r="X158" i="45"/>
  <c r="W158" i="45"/>
  <c r="V158" i="45"/>
  <c r="AO157" i="45"/>
  <c r="AN157" i="45"/>
  <c r="AM157" i="45"/>
  <c r="AL157" i="45"/>
  <c r="AK157" i="45"/>
  <c r="AJ157" i="45"/>
  <c r="AI157" i="45"/>
  <c r="AH157" i="45"/>
  <c r="AG157" i="45"/>
  <c r="AF157" i="45"/>
  <c r="AE157" i="45"/>
  <c r="AD157" i="45"/>
  <c r="AC157" i="45"/>
  <c r="AB157" i="45"/>
  <c r="AA157" i="45"/>
  <c r="Z157" i="45"/>
  <c r="Y157" i="45"/>
  <c r="X157" i="45"/>
  <c r="W157" i="45"/>
  <c r="V157" i="45"/>
  <c r="AO156" i="45"/>
  <c r="AN156" i="45"/>
  <c r="AM156" i="45"/>
  <c r="AL156" i="45"/>
  <c r="AK156" i="45"/>
  <c r="AJ156" i="45"/>
  <c r="AI156" i="45"/>
  <c r="AH156" i="45"/>
  <c r="AG156" i="45"/>
  <c r="AF156" i="45"/>
  <c r="AE156" i="45"/>
  <c r="AD156" i="45"/>
  <c r="AC156" i="45"/>
  <c r="AB156" i="45"/>
  <c r="AA156" i="45"/>
  <c r="Z156" i="45"/>
  <c r="Y156" i="45"/>
  <c r="X156" i="45"/>
  <c r="W156" i="45"/>
  <c r="V156" i="45"/>
  <c r="AO155" i="45"/>
  <c r="AN155" i="45"/>
  <c r="AM155" i="45"/>
  <c r="AL155" i="45"/>
  <c r="AK155" i="45"/>
  <c r="AJ155" i="45"/>
  <c r="AI155" i="45"/>
  <c r="AH155" i="45"/>
  <c r="AG155" i="45"/>
  <c r="AF155" i="45"/>
  <c r="AE155" i="45"/>
  <c r="AD155" i="45"/>
  <c r="AC155" i="45"/>
  <c r="AB155" i="45"/>
  <c r="AA155" i="45"/>
  <c r="Z155" i="45"/>
  <c r="Y155" i="45"/>
  <c r="X155" i="45"/>
  <c r="W155" i="45"/>
  <c r="V155" i="45"/>
  <c r="AO154" i="45"/>
  <c r="AN154" i="45"/>
  <c r="AM154" i="45"/>
  <c r="AL154" i="45"/>
  <c r="AK154" i="45"/>
  <c r="AJ154" i="45"/>
  <c r="AI154" i="45"/>
  <c r="AH154" i="45"/>
  <c r="AG154" i="45"/>
  <c r="AF154" i="45"/>
  <c r="AE154" i="45"/>
  <c r="AD154" i="45"/>
  <c r="AC154" i="45"/>
  <c r="AB154" i="45"/>
  <c r="AA154" i="45"/>
  <c r="Z154" i="45"/>
  <c r="Y154" i="45"/>
  <c r="X154" i="45"/>
  <c r="W154" i="45"/>
  <c r="V154" i="45"/>
  <c r="AO153" i="45"/>
  <c r="AN153" i="45"/>
  <c r="AM153" i="45"/>
  <c r="AL153" i="45"/>
  <c r="AK153" i="45"/>
  <c r="AJ153" i="45"/>
  <c r="AI153" i="45"/>
  <c r="AH153" i="45"/>
  <c r="AG153" i="45"/>
  <c r="AF153" i="45"/>
  <c r="AE153" i="45"/>
  <c r="AD153" i="45"/>
  <c r="AC153" i="45"/>
  <c r="AB153" i="45"/>
  <c r="AA153" i="45"/>
  <c r="Z153" i="45"/>
  <c r="Y153" i="45"/>
  <c r="X153" i="45"/>
  <c r="W153" i="45"/>
  <c r="V153" i="45"/>
  <c r="AO152" i="45"/>
  <c r="AN152" i="45"/>
  <c r="AM152" i="45"/>
  <c r="AL152" i="45"/>
  <c r="AK152" i="45"/>
  <c r="AJ152" i="45"/>
  <c r="AI152" i="45"/>
  <c r="AH152" i="45"/>
  <c r="AG152" i="45"/>
  <c r="AF152" i="45"/>
  <c r="AE152" i="45"/>
  <c r="AD152" i="45"/>
  <c r="AC152" i="45"/>
  <c r="AB152" i="45"/>
  <c r="AA152" i="45"/>
  <c r="Z152" i="45"/>
  <c r="Y152" i="45"/>
  <c r="X152" i="45"/>
  <c r="W152" i="45"/>
  <c r="V152" i="45"/>
  <c r="AO151" i="45"/>
  <c r="AN151" i="45"/>
  <c r="AM151" i="45"/>
  <c r="AL151" i="45"/>
  <c r="AK151" i="45"/>
  <c r="AJ151" i="45"/>
  <c r="AI151" i="45"/>
  <c r="AH151" i="45"/>
  <c r="AG151" i="45"/>
  <c r="AF151" i="45"/>
  <c r="AE151" i="45"/>
  <c r="AD151" i="45"/>
  <c r="AC151" i="45"/>
  <c r="AB151" i="45"/>
  <c r="AA151" i="45"/>
  <c r="Z151" i="45"/>
  <c r="Y151" i="45"/>
  <c r="X151" i="45"/>
  <c r="W151" i="45"/>
  <c r="V151" i="45"/>
  <c r="AO150" i="45"/>
  <c r="AN150" i="45"/>
  <c r="AM150" i="45"/>
  <c r="AL150" i="45"/>
  <c r="AK150" i="45"/>
  <c r="AJ150" i="45"/>
  <c r="AI150" i="45"/>
  <c r="AH150" i="45"/>
  <c r="AG150" i="45"/>
  <c r="AF150" i="45"/>
  <c r="AE150" i="45"/>
  <c r="AD150" i="45"/>
  <c r="AC150" i="45"/>
  <c r="AB150" i="45"/>
  <c r="AA150" i="45"/>
  <c r="Z150" i="45"/>
  <c r="Y150" i="45"/>
  <c r="X150" i="45"/>
  <c r="W150" i="45"/>
  <c r="V150" i="45"/>
  <c r="AO149" i="45"/>
  <c r="AN149" i="45"/>
  <c r="AM149" i="45"/>
  <c r="AL149" i="45"/>
  <c r="AK149" i="45"/>
  <c r="AJ149" i="45"/>
  <c r="AI149" i="45"/>
  <c r="AH149" i="45"/>
  <c r="AG149" i="45"/>
  <c r="AF149" i="45"/>
  <c r="AE149" i="45"/>
  <c r="AD149" i="45"/>
  <c r="AC149" i="45"/>
  <c r="AB149" i="45"/>
  <c r="AA149" i="45"/>
  <c r="Z149" i="45"/>
  <c r="Y149" i="45"/>
  <c r="X149" i="45"/>
  <c r="V149" i="45"/>
  <c r="AO148" i="45"/>
  <c r="AN148" i="45"/>
  <c r="AM148" i="45"/>
  <c r="AL148" i="45"/>
  <c r="AK148" i="45"/>
  <c r="AJ148" i="45"/>
  <c r="AI148" i="45"/>
  <c r="AH148" i="45"/>
  <c r="AG148" i="45"/>
  <c r="AF148" i="45"/>
  <c r="AE148" i="45"/>
  <c r="AD148" i="45"/>
  <c r="AC148" i="45"/>
  <c r="AB148" i="45"/>
  <c r="AA148" i="45"/>
  <c r="Z148" i="45"/>
  <c r="Y148" i="45"/>
  <c r="X148" i="45"/>
  <c r="V148" i="45"/>
  <c r="AO147" i="45"/>
  <c r="AN147" i="45"/>
  <c r="AM147" i="45"/>
  <c r="AL147" i="45"/>
  <c r="AK147" i="45"/>
  <c r="AJ147" i="45"/>
  <c r="AI147" i="45"/>
  <c r="AH147" i="45"/>
  <c r="AG147" i="45"/>
  <c r="AF147" i="45"/>
  <c r="AE147" i="45"/>
  <c r="AD147" i="45"/>
  <c r="AC147" i="45"/>
  <c r="AB147" i="45"/>
  <c r="AA147" i="45"/>
  <c r="Z147" i="45"/>
  <c r="Y147" i="45"/>
  <c r="X147" i="45"/>
  <c r="V147" i="45"/>
  <c r="AO146" i="45"/>
  <c r="AN146" i="45"/>
  <c r="AM146" i="45"/>
  <c r="AL146" i="45"/>
  <c r="AK146" i="45"/>
  <c r="AJ146" i="45"/>
  <c r="AI146" i="45"/>
  <c r="AH146" i="45"/>
  <c r="AG146" i="45"/>
  <c r="AF146" i="45"/>
  <c r="AE146" i="45"/>
  <c r="AD146" i="45"/>
  <c r="AC146" i="45"/>
  <c r="AB146" i="45"/>
  <c r="AA146" i="45"/>
  <c r="Z146" i="45"/>
  <c r="Y146" i="45"/>
  <c r="X146" i="45"/>
  <c r="V146" i="45"/>
  <c r="AO145" i="45"/>
  <c r="AN145" i="45"/>
  <c r="AM145" i="45"/>
  <c r="AL145" i="45"/>
  <c r="AK145" i="45"/>
  <c r="AJ145" i="45"/>
  <c r="AI145" i="45"/>
  <c r="AH145" i="45"/>
  <c r="AG145" i="45"/>
  <c r="AF145" i="45"/>
  <c r="AE145" i="45"/>
  <c r="AD145" i="45"/>
  <c r="AC145" i="45"/>
  <c r="AB145" i="45"/>
  <c r="AA145" i="45"/>
  <c r="Z145" i="45"/>
  <c r="Y145" i="45"/>
  <c r="X145" i="45"/>
  <c r="W145" i="45"/>
  <c r="V145" i="45"/>
  <c r="AO144" i="45"/>
  <c r="AN144" i="45"/>
  <c r="AM144" i="45"/>
  <c r="AL144" i="45"/>
  <c r="AK144" i="45"/>
  <c r="AJ144" i="45"/>
  <c r="AI144" i="45"/>
  <c r="AH144" i="45"/>
  <c r="AG144" i="45"/>
  <c r="AF144" i="45"/>
  <c r="AE144" i="45"/>
  <c r="AD144" i="45"/>
  <c r="AC144" i="45"/>
  <c r="AB144" i="45"/>
  <c r="AA144" i="45"/>
  <c r="Z144" i="45"/>
  <c r="Y144" i="45"/>
  <c r="X144" i="45"/>
  <c r="W144" i="45"/>
  <c r="V144" i="45"/>
  <c r="AO143" i="45"/>
  <c r="AN143" i="45"/>
  <c r="AM143" i="45"/>
  <c r="AL143" i="45"/>
  <c r="AK143" i="45"/>
  <c r="AJ143" i="45"/>
  <c r="AI143" i="45"/>
  <c r="AH143" i="45"/>
  <c r="AG143" i="45"/>
  <c r="AF143" i="45"/>
  <c r="AE143" i="45"/>
  <c r="AD143" i="45"/>
  <c r="AC143" i="45"/>
  <c r="AB143" i="45"/>
  <c r="AA143" i="45"/>
  <c r="Z143" i="45"/>
  <c r="Y143" i="45"/>
  <c r="X143" i="45"/>
  <c r="W143" i="45"/>
  <c r="V143" i="45"/>
  <c r="Q143" i="45"/>
  <c r="AO142" i="45"/>
  <c r="AN142" i="45"/>
  <c r="AM142" i="45"/>
  <c r="AL142" i="45"/>
  <c r="AK142" i="45"/>
  <c r="AJ142" i="45"/>
  <c r="AI142" i="45"/>
  <c r="AH142" i="45"/>
  <c r="AG142" i="45"/>
  <c r="AF142" i="45"/>
  <c r="AE142" i="45"/>
  <c r="AD142" i="45"/>
  <c r="AC142" i="45"/>
  <c r="AB142" i="45"/>
  <c r="AA142" i="45"/>
  <c r="Z142" i="45"/>
  <c r="Y142" i="45"/>
  <c r="X142" i="45"/>
  <c r="W142" i="45"/>
  <c r="V142" i="45"/>
  <c r="Q142" i="45"/>
  <c r="AO141" i="45"/>
  <c r="AN141" i="45"/>
  <c r="AM141" i="45"/>
  <c r="AL141" i="45"/>
  <c r="AK141" i="45"/>
  <c r="AJ141" i="45"/>
  <c r="AI141" i="45"/>
  <c r="AH141" i="45"/>
  <c r="AG141" i="45"/>
  <c r="AF141" i="45"/>
  <c r="AE141" i="45"/>
  <c r="AD141" i="45"/>
  <c r="AC141" i="45"/>
  <c r="AB141" i="45"/>
  <c r="AA141" i="45"/>
  <c r="Z141" i="45"/>
  <c r="Y141" i="45"/>
  <c r="X141" i="45"/>
  <c r="W141" i="45"/>
  <c r="V141" i="45"/>
  <c r="Q141" i="45"/>
  <c r="AO140" i="45"/>
  <c r="AN140" i="45"/>
  <c r="AM140" i="45"/>
  <c r="AL140" i="45"/>
  <c r="AK140" i="45"/>
  <c r="AJ140" i="45"/>
  <c r="AI140" i="45"/>
  <c r="AH140" i="45"/>
  <c r="AG140" i="45"/>
  <c r="AF140" i="45"/>
  <c r="AE140" i="45"/>
  <c r="AD140" i="45"/>
  <c r="AC140" i="45"/>
  <c r="AB140" i="45"/>
  <c r="AA140" i="45"/>
  <c r="Z140" i="45"/>
  <c r="Y140" i="45"/>
  <c r="X140" i="45"/>
  <c r="W140" i="45"/>
  <c r="V140" i="45"/>
  <c r="Q140" i="45"/>
  <c r="AO139" i="45"/>
  <c r="AN139" i="45"/>
  <c r="AM139" i="45"/>
  <c r="AL139" i="45"/>
  <c r="AK139" i="45"/>
  <c r="AJ139" i="45"/>
  <c r="AI139" i="45"/>
  <c r="AH139" i="45"/>
  <c r="AG139" i="45"/>
  <c r="AF139" i="45"/>
  <c r="AE139" i="45"/>
  <c r="AD139" i="45"/>
  <c r="AC139" i="45"/>
  <c r="AB139" i="45"/>
  <c r="AA139" i="45"/>
  <c r="Z139" i="45"/>
  <c r="Y139" i="45"/>
  <c r="X139" i="45"/>
  <c r="W139" i="45"/>
  <c r="V139" i="45"/>
  <c r="Q139" i="45"/>
  <c r="AO138" i="45"/>
  <c r="AN138" i="45"/>
  <c r="AM138" i="45"/>
  <c r="AL138" i="45"/>
  <c r="AK138" i="45"/>
  <c r="AJ138" i="45"/>
  <c r="AI138" i="45"/>
  <c r="AH138" i="45"/>
  <c r="AG138" i="45"/>
  <c r="AF138" i="45"/>
  <c r="AE138" i="45"/>
  <c r="AD138" i="45"/>
  <c r="AC138" i="45"/>
  <c r="AB138" i="45"/>
  <c r="AA138" i="45"/>
  <c r="Z138" i="45"/>
  <c r="Y138" i="45"/>
  <c r="X138" i="45"/>
  <c r="W138" i="45"/>
  <c r="V138" i="45"/>
  <c r="Q138" i="45"/>
  <c r="AO137" i="45"/>
  <c r="AN137" i="45"/>
  <c r="AM137" i="45"/>
  <c r="AL137" i="45"/>
  <c r="AK137" i="45"/>
  <c r="AJ137" i="45"/>
  <c r="AI137" i="45"/>
  <c r="AH137" i="45"/>
  <c r="AG137" i="45"/>
  <c r="AF137" i="45"/>
  <c r="AE137" i="45"/>
  <c r="AD137" i="45"/>
  <c r="AC137" i="45"/>
  <c r="AB137" i="45"/>
  <c r="AA137" i="45"/>
  <c r="Z137" i="45"/>
  <c r="Y137" i="45"/>
  <c r="X137" i="45"/>
  <c r="W137" i="45"/>
  <c r="V137" i="45"/>
  <c r="Q137" i="45"/>
  <c r="AO136" i="45"/>
  <c r="AN136" i="45"/>
  <c r="AM136" i="45"/>
  <c r="AL136" i="45"/>
  <c r="AK136" i="45"/>
  <c r="AJ136" i="45"/>
  <c r="AI136" i="45"/>
  <c r="AH136" i="45"/>
  <c r="AG136" i="45"/>
  <c r="AF136" i="45"/>
  <c r="AE136" i="45"/>
  <c r="AD136" i="45"/>
  <c r="AC136" i="45"/>
  <c r="AB136" i="45"/>
  <c r="AA136" i="45"/>
  <c r="Z136" i="45"/>
  <c r="Y136" i="45"/>
  <c r="X136" i="45"/>
  <c r="W136" i="45"/>
  <c r="V136" i="45"/>
  <c r="Q136" i="45"/>
  <c r="AO135" i="45"/>
  <c r="AN135" i="45"/>
  <c r="AM135" i="45"/>
  <c r="AL135" i="45"/>
  <c r="AK135" i="45"/>
  <c r="AJ135" i="45"/>
  <c r="AI135" i="45"/>
  <c r="AH135" i="45"/>
  <c r="AG135" i="45"/>
  <c r="AF135" i="45"/>
  <c r="AE135" i="45"/>
  <c r="AD135" i="45"/>
  <c r="AC135" i="45"/>
  <c r="AB135" i="45"/>
  <c r="AA135" i="45"/>
  <c r="Z135" i="45"/>
  <c r="Y135" i="45"/>
  <c r="X135" i="45"/>
  <c r="W135" i="45"/>
  <c r="V135" i="45"/>
  <c r="Q135" i="45"/>
  <c r="AO134" i="45"/>
  <c r="AN134" i="45"/>
  <c r="AM134" i="45"/>
  <c r="AL134" i="45"/>
  <c r="AK134" i="45"/>
  <c r="AJ134" i="45"/>
  <c r="AI134" i="45"/>
  <c r="AH134" i="45"/>
  <c r="AG134" i="45"/>
  <c r="AF134" i="45"/>
  <c r="AE134" i="45"/>
  <c r="AD134" i="45"/>
  <c r="AC134" i="45"/>
  <c r="AB134" i="45"/>
  <c r="AA134" i="45"/>
  <c r="Z134" i="45"/>
  <c r="Y134" i="45"/>
  <c r="X134" i="45"/>
  <c r="W134" i="45"/>
  <c r="V134" i="45"/>
  <c r="Q134" i="45"/>
  <c r="AO133" i="45"/>
  <c r="AN133" i="45"/>
  <c r="AM133" i="45"/>
  <c r="AL133" i="45"/>
  <c r="AK133" i="45"/>
  <c r="AJ133" i="45"/>
  <c r="AI133" i="45"/>
  <c r="AH133" i="45"/>
  <c r="AG133" i="45"/>
  <c r="AF133" i="45"/>
  <c r="AE133" i="45"/>
  <c r="AD133" i="45"/>
  <c r="AC133" i="45"/>
  <c r="AB133" i="45"/>
  <c r="AA133" i="45"/>
  <c r="Z133" i="45"/>
  <c r="Y133" i="45"/>
  <c r="X133" i="45"/>
  <c r="W133" i="45"/>
  <c r="V133" i="45"/>
  <c r="Q133" i="45"/>
  <c r="AO132" i="45"/>
  <c r="AN132" i="45"/>
  <c r="AM132" i="45"/>
  <c r="AL132" i="45"/>
  <c r="AK132" i="45"/>
  <c r="AJ132" i="45"/>
  <c r="AI132" i="45"/>
  <c r="AH132" i="45"/>
  <c r="AG132" i="45"/>
  <c r="AF132" i="45"/>
  <c r="AE132" i="45"/>
  <c r="AD132" i="45"/>
  <c r="AC132" i="45"/>
  <c r="AB132" i="45"/>
  <c r="AA132" i="45"/>
  <c r="Z132" i="45"/>
  <c r="Y132" i="45"/>
  <c r="X132" i="45"/>
  <c r="W132" i="45"/>
  <c r="V132" i="45"/>
  <c r="Q132" i="45"/>
  <c r="AO131" i="45"/>
  <c r="AN131" i="45"/>
  <c r="AM131" i="45"/>
  <c r="AL131" i="45"/>
  <c r="AK131" i="45"/>
  <c r="AJ131" i="45"/>
  <c r="AI131" i="45"/>
  <c r="AH131" i="45"/>
  <c r="AG131" i="45"/>
  <c r="AF131" i="45"/>
  <c r="AE131" i="45"/>
  <c r="AD131" i="45"/>
  <c r="AC131" i="45"/>
  <c r="AB131" i="45"/>
  <c r="AA131" i="45"/>
  <c r="Z131" i="45"/>
  <c r="Y131" i="45"/>
  <c r="X131" i="45"/>
  <c r="W131" i="45"/>
  <c r="V131" i="45"/>
  <c r="Q131" i="45"/>
  <c r="AO130" i="45"/>
  <c r="AN130" i="45"/>
  <c r="AM130" i="45"/>
  <c r="AL130" i="45"/>
  <c r="AK130" i="45"/>
  <c r="AJ130" i="45"/>
  <c r="AI130" i="45"/>
  <c r="AH130" i="45"/>
  <c r="AG130" i="45"/>
  <c r="AF130" i="45"/>
  <c r="AE130" i="45"/>
  <c r="AD130" i="45"/>
  <c r="AC130" i="45"/>
  <c r="AB130" i="45"/>
  <c r="AA130" i="45"/>
  <c r="Z130" i="45"/>
  <c r="Y130" i="45"/>
  <c r="X130" i="45"/>
  <c r="W130" i="45"/>
  <c r="V130" i="45"/>
  <c r="Q130" i="45"/>
  <c r="AO129" i="45"/>
  <c r="AN129" i="45"/>
  <c r="AM129" i="45"/>
  <c r="AL129" i="45"/>
  <c r="AK129" i="45"/>
  <c r="AJ129" i="45"/>
  <c r="AI129" i="45"/>
  <c r="AH129" i="45"/>
  <c r="AG129" i="45"/>
  <c r="AF129" i="45"/>
  <c r="AE129" i="45"/>
  <c r="AD129" i="45"/>
  <c r="AC129" i="45"/>
  <c r="AB129" i="45"/>
  <c r="AA129" i="45"/>
  <c r="Z129" i="45"/>
  <c r="Y129" i="45"/>
  <c r="X129" i="45"/>
  <c r="W129" i="45"/>
  <c r="V129" i="45"/>
  <c r="Q129" i="45"/>
  <c r="AO128" i="45"/>
  <c r="AN128" i="45"/>
  <c r="AM128" i="45"/>
  <c r="AL128" i="45"/>
  <c r="AK128" i="45"/>
  <c r="AJ128" i="45"/>
  <c r="AI128" i="45"/>
  <c r="AH128" i="45"/>
  <c r="AG128" i="45"/>
  <c r="AF128" i="45"/>
  <c r="AE128" i="45"/>
  <c r="AD128" i="45"/>
  <c r="AC128" i="45"/>
  <c r="AB128" i="45"/>
  <c r="AA128" i="45"/>
  <c r="Z128" i="45"/>
  <c r="Y128" i="45"/>
  <c r="X128" i="45"/>
  <c r="V128" i="45"/>
  <c r="Q128" i="45"/>
  <c r="AO127" i="45"/>
  <c r="AN127" i="45"/>
  <c r="AM127" i="45"/>
  <c r="AL127" i="45"/>
  <c r="AK127" i="45"/>
  <c r="AJ127" i="45"/>
  <c r="AI127" i="45"/>
  <c r="AH127" i="45"/>
  <c r="AG127" i="45"/>
  <c r="AF127" i="45"/>
  <c r="AE127" i="45"/>
  <c r="AD127" i="45"/>
  <c r="AC127" i="45"/>
  <c r="AB127" i="45"/>
  <c r="AA127" i="45"/>
  <c r="Z127" i="45"/>
  <c r="Y127" i="45"/>
  <c r="X127" i="45"/>
  <c r="V127" i="45"/>
  <c r="Q127" i="45"/>
  <c r="AO126" i="45"/>
  <c r="AN126" i="45"/>
  <c r="AM126" i="45"/>
  <c r="AL126" i="45"/>
  <c r="AK126" i="45"/>
  <c r="AJ126" i="45"/>
  <c r="AI126" i="45"/>
  <c r="AH126" i="45"/>
  <c r="AG126" i="45"/>
  <c r="AF126" i="45"/>
  <c r="AE126" i="45"/>
  <c r="AD126" i="45"/>
  <c r="AC126" i="45"/>
  <c r="AB126" i="45"/>
  <c r="AA126" i="45"/>
  <c r="Z126" i="45"/>
  <c r="Y126" i="45"/>
  <c r="X126" i="45"/>
  <c r="V126" i="45"/>
  <c r="Q126" i="45"/>
  <c r="AO125" i="45"/>
  <c r="AN125" i="45"/>
  <c r="AM125" i="45"/>
  <c r="AL125" i="45"/>
  <c r="AK125" i="45"/>
  <c r="AJ125" i="45"/>
  <c r="AI125" i="45"/>
  <c r="AH125" i="45"/>
  <c r="AG125" i="45"/>
  <c r="AF125" i="45"/>
  <c r="AE125" i="45"/>
  <c r="AD125" i="45"/>
  <c r="AC125" i="45"/>
  <c r="AB125" i="45"/>
  <c r="AA125" i="45"/>
  <c r="Z125" i="45"/>
  <c r="Y125" i="45"/>
  <c r="X125" i="45"/>
  <c r="V125" i="45"/>
  <c r="Q125" i="45"/>
  <c r="AO124" i="45"/>
  <c r="AN124" i="45"/>
  <c r="AM124" i="45"/>
  <c r="AL124" i="45"/>
  <c r="AK124" i="45"/>
  <c r="AJ124" i="45"/>
  <c r="AI124" i="45"/>
  <c r="AH124" i="45"/>
  <c r="AG124" i="45"/>
  <c r="AF124" i="45"/>
  <c r="AE124" i="45"/>
  <c r="AD124" i="45"/>
  <c r="AC124" i="45"/>
  <c r="AB124" i="45"/>
  <c r="AA124" i="45"/>
  <c r="Z124" i="45"/>
  <c r="Y124" i="45"/>
  <c r="X124" i="45"/>
  <c r="V124" i="45"/>
  <c r="Q124" i="45"/>
  <c r="AO123" i="45"/>
  <c r="AN123" i="45"/>
  <c r="AM123" i="45"/>
  <c r="AL123" i="45"/>
  <c r="AK123" i="45"/>
  <c r="AJ123" i="45"/>
  <c r="AI123" i="45"/>
  <c r="AH123" i="45"/>
  <c r="AG123" i="45"/>
  <c r="AF123" i="45"/>
  <c r="AE123" i="45"/>
  <c r="AD123" i="45"/>
  <c r="AC123" i="45"/>
  <c r="AB123" i="45"/>
  <c r="AA123" i="45"/>
  <c r="Z123" i="45"/>
  <c r="Y123" i="45"/>
  <c r="X123" i="45"/>
  <c r="W123" i="45"/>
  <c r="V123" i="45"/>
  <c r="Q123" i="45"/>
  <c r="AO122" i="45"/>
  <c r="AN122" i="45"/>
  <c r="AM122" i="45"/>
  <c r="AL122" i="45"/>
  <c r="AK122" i="45"/>
  <c r="AJ122" i="45"/>
  <c r="AI122" i="45"/>
  <c r="AH122" i="45"/>
  <c r="AG122" i="45"/>
  <c r="AF122" i="45"/>
  <c r="AE122" i="45"/>
  <c r="AD122" i="45"/>
  <c r="AC122" i="45"/>
  <c r="AB122" i="45"/>
  <c r="AA122" i="45"/>
  <c r="Z122" i="45"/>
  <c r="Y122" i="45"/>
  <c r="X122" i="45"/>
  <c r="V122" i="45"/>
  <c r="Q122" i="45"/>
  <c r="AO121" i="45"/>
  <c r="AN121" i="45"/>
  <c r="AM121" i="45"/>
  <c r="AL121" i="45"/>
  <c r="AK121" i="45"/>
  <c r="AJ121" i="45"/>
  <c r="AI121" i="45"/>
  <c r="AH121" i="45"/>
  <c r="AG121" i="45"/>
  <c r="AF121" i="45"/>
  <c r="AE121" i="45"/>
  <c r="AD121" i="45"/>
  <c r="AC121" i="45"/>
  <c r="AB121" i="45"/>
  <c r="AA121" i="45"/>
  <c r="Z121" i="45"/>
  <c r="Y121" i="45"/>
  <c r="X121" i="45"/>
  <c r="V121" i="45"/>
  <c r="Q121" i="45"/>
  <c r="AO120" i="45"/>
  <c r="AN120" i="45"/>
  <c r="AM120" i="45"/>
  <c r="AL120" i="45"/>
  <c r="AK120" i="45"/>
  <c r="AJ120" i="45"/>
  <c r="AI120" i="45"/>
  <c r="AH120" i="45"/>
  <c r="AG120" i="45"/>
  <c r="AF120" i="45"/>
  <c r="AE120" i="45"/>
  <c r="AD120" i="45"/>
  <c r="AC120" i="45"/>
  <c r="AB120" i="45"/>
  <c r="AA120" i="45"/>
  <c r="Z120" i="45"/>
  <c r="Y120" i="45"/>
  <c r="X120" i="45"/>
  <c r="W120" i="45"/>
  <c r="V120" i="45"/>
  <c r="Q120" i="45"/>
  <c r="AO119" i="45"/>
  <c r="AN119" i="45"/>
  <c r="AM119" i="45"/>
  <c r="AL119" i="45"/>
  <c r="AK119" i="45"/>
  <c r="AJ119" i="45"/>
  <c r="AI119" i="45"/>
  <c r="AH119" i="45"/>
  <c r="AG119" i="45"/>
  <c r="AF119" i="45"/>
  <c r="AE119" i="45"/>
  <c r="AD119" i="45"/>
  <c r="AC119" i="45"/>
  <c r="AB119" i="45"/>
  <c r="AA119" i="45"/>
  <c r="Z119" i="45"/>
  <c r="Y119" i="45"/>
  <c r="X119" i="45"/>
  <c r="V119" i="45"/>
  <c r="Q119" i="45"/>
  <c r="AO118" i="45"/>
  <c r="AN118" i="45"/>
  <c r="AM118" i="45"/>
  <c r="AL118" i="45"/>
  <c r="AK118" i="45"/>
  <c r="AJ118" i="45"/>
  <c r="AI118" i="45"/>
  <c r="AH118" i="45"/>
  <c r="AG118" i="45"/>
  <c r="AF118" i="45"/>
  <c r="AE118" i="45"/>
  <c r="AD118" i="45"/>
  <c r="AC118" i="45"/>
  <c r="AB118" i="45"/>
  <c r="AA118" i="45"/>
  <c r="Z118" i="45"/>
  <c r="Y118" i="45"/>
  <c r="X118" i="45"/>
  <c r="V118" i="45"/>
  <c r="Q118" i="45"/>
  <c r="AO117" i="45"/>
  <c r="AN117" i="45"/>
  <c r="AM117" i="45"/>
  <c r="AL117" i="45"/>
  <c r="AK117" i="45"/>
  <c r="AJ117" i="45"/>
  <c r="AI117" i="45"/>
  <c r="AH117" i="45"/>
  <c r="AG117" i="45"/>
  <c r="AF117" i="45"/>
  <c r="AE117" i="45"/>
  <c r="AD117" i="45"/>
  <c r="AC117" i="45"/>
  <c r="AB117" i="45"/>
  <c r="AA117" i="45"/>
  <c r="Z117" i="45"/>
  <c r="Y117" i="45"/>
  <c r="X117" i="45"/>
  <c r="V117" i="45"/>
  <c r="Q117" i="45"/>
  <c r="AO116" i="45"/>
  <c r="AN116" i="45"/>
  <c r="AM116" i="45"/>
  <c r="AL116" i="45"/>
  <c r="AK116" i="45"/>
  <c r="AJ116" i="45"/>
  <c r="AI116" i="45"/>
  <c r="AH116" i="45"/>
  <c r="AG116" i="45"/>
  <c r="AF116" i="45"/>
  <c r="AE116" i="45"/>
  <c r="AD116" i="45"/>
  <c r="AC116" i="45"/>
  <c r="AB116" i="45"/>
  <c r="AA116" i="45"/>
  <c r="Z116" i="45"/>
  <c r="Y116" i="45"/>
  <c r="X116" i="45"/>
  <c r="V116" i="45"/>
  <c r="AO115" i="45"/>
  <c r="AN115" i="45"/>
  <c r="AM115" i="45"/>
  <c r="AL115" i="45"/>
  <c r="AK115" i="45"/>
  <c r="AJ115" i="45"/>
  <c r="AI115" i="45"/>
  <c r="AH115" i="45"/>
  <c r="AG115" i="45"/>
  <c r="AF115" i="45"/>
  <c r="AE115" i="45"/>
  <c r="AD115" i="45"/>
  <c r="AC115" i="45"/>
  <c r="AB115" i="45"/>
  <c r="AA115" i="45"/>
  <c r="Z115" i="45"/>
  <c r="Y115" i="45"/>
  <c r="X115" i="45"/>
  <c r="W115" i="45"/>
  <c r="V115" i="45"/>
  <c r="AO114" i="45"/>
  <c r="AN114" i="45"/>
  <c r="AM114" i="45"/>
  <c r="AL114" i="45"/>
  <c r="AK114" i="45"/>
  <c r="AJ114" i="45"/>
  <c r="AI114" i="45"/>
  <c r="AH114" i="45"/>
  <c r="AG114" i="45"/>
  <c r="AF114" i="45"/>
  <c r="AE114" i="45"/>
  <c r="AD114" i="45"/>
  <c r="AC114" i="45"/>
  <c r="AB114" i="45"/>
  <c r="AA114" i="45"/>
  <c r="Z114" i="45"/>
  <c r="Y114" i="45"/>
  <c r="X114" i="45"/>
  <c r="W114" i="45"/>
  <c r="V114" i="45"/>
  <c r="AO113" i="45"/>
  <c r="AN113" i="45"/>
  <c r="AM113" i="45"/>
  <c r="AL113" i="45"/>
  <c r="AK113" i="45"/>
  <c r="AJ113" i="45"/>
  <c r="AI113" i="45"/>
  <c r="AH113" i="45"/>
  <c r="AG113" i="45"/>
  <c r="AF113" i="45"/>
  <c r="AE113" i="45"/>
  <c r="AD113" i="45"/>
  <c r="AC113" i="45"/>
  <c r="AB113" i="45"/>
  <c r="AA113" i="45"/>
  <c r="Z113" i="45"/>
  <c r="Y113" i="45"/>
  <c r="X113" i="45"/>
  <c r="W113" i="45"/>
  <c r="V113" i="45"/>
  <c r="AO112" i="45"/>
  <c r="AN112" i="45"/>
  <c r="AM112" i="45"/>
  <c r="AL112" i="45"/>
  <c r="AK112" i="45"/>
  <c r="AJ112" i="45"/>
  <c r="AI112" i="45"/>
  <c r="AH112" i="45"/>
  <c r="AG112" i="45"/>
  <c r="AF112" i="45"/>
  <c r="AE112" i="45"/>
  <c r="AD112" i="45"/>
  <c r="AC112" i="45"/>
  <c r="AB112" i="45"/>
  <c r="AA112" i="45"/>
  <c r="Z112" i="45"/>
  <c r="Y112" i="45"/>
  <c r="X112" i="45"/>
  <c r="V112" i="45"/>
  <c r="AO111" i="45"/>
  <c r="AN111" i="45"/>
  <c r="AM111" i="45"/>
  <c r="AL111" i="45"/>
  <c r="AK111" i="45"/>
  <c r="AJ111" i="45"/>
  <c r="AI111" i="45"/>
  <c r="AH111" i="45"/>
  <c r="AG111" i="45"/>
  <c r="AF111" i="45"/>
  <c r="AE111" i="45"/>
  <c r="AD111" i="45"/>
  <c r="AC111" i="45"/>
  <c r="AB111" i="45"/>
  <c r="AA111" i="45"/>
  <c r="Z111" i="45"/>
  <c r="Y111" i="45"/>
  <c r="X111" i="45"/>
  <c r="V111" i="45"/>
  <c r="AO110" i="45"/>
  <c r="AN110" i="45"/>
  <c r="AM110" i="45"/>
  <c r="AL110" i="45"/>
  <c r="AK110" i="45"/>
  <c r="AJ110" i="45"/>
  <c r="AI110" i="45"/>
  <c r="AH110" i="45"/>
  <c r="AG110" i="45"/>
  <c r="AF110" i="45"/>
  <c r="AE110" i="45"/>
  <c r="AD110" i="45"/>
  <c r="AC110" i="45"/>
  <c r="AB110" i="45"/>
  <c r="AA110" i="45"/>
  <c r="Z110" i="45"/>
  <c r="Y110" i="45"/>
  <c r="X110" i="45"/>
  <c r="V110" i="45"/>
  <c r="AO109" i="45"/>
  <c r="AN109" i="45"/>
  <c r="AM109" i="45"/>
  <c r="AL109" i="45"/>
  <c r="AK109" i="45"/>
  <c r="AJ109" i="45"/>
  <c r="AI109" i="45"/>
  <c r="AH109" i="45"/>
  <c r="AG109" i="45"/>
  <c r="AF109" i="45"/>
  <c r="AE109" i="45"/>
  <c r="AD109" i="45"/>
  <c r="AC109" i="45"/>
  <c r="AB109" i="45"/>
  <c r="AA109" i="45"/>
  <c r="Z109" i="45"/>
  <c r="Y109" i="45"/>
  <c r="X109" i="45"/>
  <c r="V109" i="45"/>
  <c r="AO108" i="45"/>
  <c r="AN108" i="45"/>
  <c r="AM108" i="45"/>
  <c r="AL108" i="45"/>
  <c r="AK108" i="45"/>
  <c r="AJ108" i="45"/>
  <c r="AI108" i="45"/>
  <c r="AH108" i="45"/>
  <c r="AG108" i="45"/>
  <c r="AF108" i="45"/>
  <c r="AE108" i="45"/>
  <c r="AD108" i="45"/>
  <c r="AC108" i="45"/>
  <c r="AB108" i="45"/>
  <c r="AA108" i="45"/>
  <c r="Z108" i="45"/>
  <c r="Y108" i="45"/>
  <c r="X108" i="45"/>
  <c r="V108" i="45"/>
  <c r="AO107" i="45"/>
  <c r="AN107" i="45"/>
  <c r="AM107" i="45"/>
  <c r="AL107" i="45"/>
  <c r="AK107" i="45"/>
  <c r="AJ107" i="45"/>
  <c r="AI107" i="45"/>
  <c r="AH107" i="45"/>
  <c r="AG107" i="45"/>
  <c r="AF107" i="45"/>
  <c r="AE107" i="45"/>
  <c r="AD107" i="45"/>
  <c r="AC107" i="45"/>
  <c r="AB107" i="45"/>
  <c r="AA107" i="45"/>
  <c r="Z107" i="45"/>
  <c r="Y107" i="45"/>
  <c r="X107" i="45"/>
  <c r="V107" i="45"/>
  <c r="AO106" i="45"/>
  <c r="AN106" i="45"/>
  <c r="AM106" i="45"/>
  <c r="AL106" i="45"/>
  <c r="AK106" i="45"/>
  <c r="AJ106" i="45"/>
  <c r="AI106" i="45"/>
  <c r="AH106" i="45"/>
  <c r="AG106" i="45"/>
  <c r="AF106" i="45"/>
  <c r="AE106" i="45"/>
  <c r="AD106" i="45"/>
  <c r="AC106" i="45"/>
  <c r="AB106" i="45"/>
  <c r="AA106" i="45"/>
  <c r="Z106" i="45"/>
  <c r="Y106" i="45"/>
  <c r="X106" i="45"/>
  <c r="V106" i="45"/>
  <c r="AO105" i="45"/>
  <c r="AN105" i="45"/>
  <c r="AM105" i="45"/>
  <c r="AL105" i="45"/>
  <c r="AK105" i="45"/>
  <c r="AJ105" i="45"/>
  <c r="AI105" i="45"/>
  <c r="AH105" i="45"/>
  <c r="AG105" i="45"/>
  <c r="AF105" i="45"/>
  <c r="AE105" i="45"/>
  <c r="AD105" i="45"/>
  <c r="AC105" i="45"/>
  <c r="AB105" i="45"/>
  <c r="AA105" i="45"/>
  <c r="Z105" i="45"/>
  <c r="Y105" i="45"/>
  <c r="X105" i="45"/>
  <c r="V105" i="45"/>
  <c r="AO104" i="45"/>
  <c r="AN104" i="45"/>
  <c r="AM104" i="45"/>
  <c r="AL104" i="45"/>
  <c r="AK104" i="45"/>
  <c r="AJ104" i="45"/>
  <c r="AI104" i="45"/>
  <c r="AH104" i="45"/>
  <c r="AG104" i="45"/>
  <c r="AF104" i="45"/>
  <c r="AE104" i="45"/>
  <c r="AD104" i="45"/>
  <c r="AC104" i="45"/>
  <c r="AB104" i="45"/>
  <c r="AA104" i="45"/>
  <c r="Z104" i="45"/>
  <c r="Y104" i="45"/>
  <c r="X104" i="45"/>
  <c r="W104" i="45"/>
  <c r="V104" i="45"/>
  <c r="AO103" i="45"/>
  <c r="AN103" i="45"/>
  <c r="AM103" i="45"/>
  <c r="AL103" i="45"/>
  <c r="AK103" i="45"/>
  <c r="AJ103" i="45"/>
  <c r="AI103" i="45"/>
  <c r="AH103" i="45"/>
  <c r="AG103" i="45"/>
  <c r="AF103" i="45"/>
  <c r="AE103" i="45"/>
  <c r="AD103" i="45"/>
  <c r="AC103" i="45"/>
  <c r="AB103" i="45"/>
  <c r="AA103" i="45"/>
  <c r="Z103" i="45"/>
  <c r="Y103" i="45"/>
  <c r="X103" i="45"/>
  <c r="V103" i="45"/>
  <c r="AO102" i="45"/>
  <c r="AN102" i="45"/>
  <c r="AM102" i="45"/>
  <c r="AL102" i="45"/>
  <c r="AK102" i="45"/>
  <c r="AJ102" i="45"/>
  <c r="AI102" i="45"/>
  <c r="AH102" i="45"/>
  <c r="AG102" i="45"/>
  <c r="AF102" i="45"/>
  <c r="AE102" i="45"/>
  <c r="AD102" i="45"/>
  <c r="AC102" i="45"/>
  <c r="AB102" i="45"/>
  <c r="AA102" i="45"/>
  <c r="Z102" i="45"/>
  <c r="Y102" i="45"/>
  <c r="X102" i="45"/>
  <c r="W102" i="45"/>
  <c r="V102" i="45"/>
  <c r="AO101" i="45"/>
  <c r="AN101" i="45"/>
  <c r="AM101" i="45"/>
  <c r="AL101" i="45"/>
  <c r="AK101" i="45"/>
  <c r="AJ101" i="45"/>
  <c r="AI101" i="45"/>
  <c r="AH101" i="45"/>
  <c r="AG101" i="45"/>
  <c r="AF101" i="45"/>
  <c r="AE101" i="45"/>
  <c r="AD101" i="45"/>
  <c r="AC101" i="45"/>
  <c r="AB101" i="45"/>
  <c r="AA101" i="45"/>
  <c r="Z101" i="45"/>
  <c r="Y101" i="45"/>
  <c r="X101" i="45"/>
  <c r="V101" i="45"/>
  <c r="AO100" i="45"/>
  <c r="AN100" i="45"/>
  <c r="AM100" i="45"/>
  <c r="AL100" i="45"/>
  <c r="AK100" i="45"/>
  <c r="AJ100" i="45"/>
  <c r="AI100" i="45"/>
  <c r="AH100" i="45"/>
  <c r="AG100" i="45"/>
  <c r="AF100" i="45"/>
  <c r="AE100" i="45"/>
  <c r="AD100" i="45"/>
  <c r="AC100" i="45"/>
  <c r="AB100" i="45"/>
  <c r="AA100" i="45"/>
  <c r="Z100" i="45"/>
  <c r="Y100" i="45"/>
  <c r="X100" i="45"/>
  <c r="V100" i="45"/>
  <c r="AC95" i="45"/>
  <c r="AE95" i="45" s="1"/>
  <c r="AB95" i="45"/>
  <c r="Y95" i="45"/>
  <c r="W95" i="45"/>
  <c r="V95" i="45"/>
  <c r="AD94" i="45"/>
  <c r="AA94" i="45"/>
  <c r="Y94" i="45"/>
  <c r="V94" i="45"/>
  <c r="AD93" i="45"/>
  <c r="AB93" i="45"/>
  <c r="Z93" i="45"/>
  <c r="X93" i="45"/>
  <c r="W93" i="45"/>
  <c r="V93" i="45"/>
  <c r="AC92" i="45"/>
  <c r="AB92" i="45"/>
  <c r="Z92" i="45"/>
  <c r="X92" i="45"/>
  <c r="W92" i="45"/>
  <c r="V92" i="45"/>
  <c r="AD91" i="45"/>
  <c r="AB91" i="45"/>
  <c r="Y91" i="45"/>
  <c r="V91" i="45"/>
  <c r="AA90" i="45"/>
  <c r="Z90" i="45"/>
  <c r="X90" i="45"/>
  <c r="W90" i="45"/>
  <c r="AC89" i="45"/>
  <c r="AB89" i="45"/>
  <c r="Z89" i="45"/>
  <c r="X89" i="45"/>
  <c r="W89" i="45"/>
  <c r="V89" i="45"/>
  <c r="AD88" i="45"/>
  <c r="AB88" i="45"/>
  <c r="Y88" i="45"/>
  <c r="V88" i="45"/>
  <c r="AA87" i="45"/>
  <c r="Z87" i="45"/>
  <c r="X87" i="45"/>
  <c r="B85" i="45"/>
  <c r="Z82" i="45"/>
  <c r="Y82" i="45"/>
  <c r="X82" i="45"/>
  <c r="W82" i="45"/>
  <c r="V82" i="45"/>
  <c r="Z81" i="45"/>
  <c r="Y81" i="45"/>
  <c r="X81" i="45"/>
  <c r="W81" i="45"/>
  <c r="V81" i="45"/>
  <c r="Z80" i="45"/>
  <c r="Y80" i="45"/>
  <c r="X80" i="45"/>
  <c r="W80" i="45"/>
  <c r="V80" i="45"/>
  <c r="Z79" i="45"/>
  <c r="Y79" i="45"/>
  <c r="X79" i="45"/>
  <c r="W79" i="45"/>
  <c r="V79" i="45"/>
  <c r="Z78" i="45"/>
  <c r="Y78" i="45"/>
  <c r="X78" i="45"/>
  <c r="W78" i="45"/>
  <c r="V78" i="45"/>
  <c r="Z77" i="45"/>
  <c r="Y77" i="45"/>
  <c r="X77" i="45"/>
  <c r="W77" i="45"/>
  <c r="V77" i="45"/>
  <c r="Z76" i="45"/>
  <c r="Y76" i="45"/>
  <c r="X76" i="45"/>
  <c r="W76" i="45"/>
  <c r="V76" i="45"/>
  <c r="Z75" i="45"/>
  <c r="Y75" i="45"/>
  <c r="X75" i="45"/>
  <c r="V75" i="45"/>
  <c r="Z74" i="45"/>
  <c r="Y74" i="45"/>
  <c r="X74" i="45"/>
  <c r="W74" i="45"/>
  <c r="V74" i="45"/>
  <c r="Z73" i="45"/>
  <c r="Y73" i="45"/>
  <c r="X73" i="45"/>
  <c r="W73" i="45"/>
  <c r="V73" i="45"/>
  <c r="Z68" i="45"/>
  <c r="Y68" i="45"/>
  <c r="X68" i="45"/>
  <c r="W68" i="45"/>
  <c r="V68" i="45"/>
  <c r="Z67" i="45"/>
  <c r="Y67" i="45"/>
  <c r="X67" i="45"/>
  <c r="W67" i="45"/>
  <c r="V67" i="45"/>
  <c r="Z66" i="45"/>
  <c r="Y66" i="45"/>
  <c r="X66" i="45"/>
  <c r="V66" i="45"/>
  <c r="Z65" i="45"/>
  <c r="Y65" i="45"/>
  <c r="X65" i="45"/>
  <c r="W65" i="45"/>
  <c r="V65" i="45"/>
  <c r="Z64" i="45"/>
  <c r="Y64" i="45"/>
  <c r="X64" i="45"/>
  <c r="W64" i="45"/>
  <c r="V64" i="45"/>
  <c r="Z63" i="45"/>
  <c r="Y63" i="45"/>
  <c r="X63" i="45"/>
  <c r="W63" i="45"/>
  <c r="V63" i="45"/>
  <c r="Z62" i="45"/>
  <c r="Y62" i="45"/>
  <c r="X62" i="45"/>
  <c r="W62" i="45"/>
  <c r="V62" i="45"/>
  <c r="Z61" i="45"/>
  <c r="Y61" i="45"/>
  <c r="X61" i="45"/>
  <c r="W61" i="45"/>
  <c r="V61" i="45"/>
  <c r="Z60" i="45"/>
  <c r="Y60" i="45"/>
  <c r="X60" i="45"/>
  <c r="W60" i="45"/>
  <c r="V60" i="45"/>
  <c r="Z59" i="45"/>
  <c r="Y59" i="45"/>
  <c r="X59" i="45"/>
  <c r="W59" i="45"/>
  <c r="V59" i="45"/>
  <c r="Z58" i="45"/>
  <c r="Y58" i="45"/>
  <c r="X58" i="45"/>
  <c r="W58" i="45"/>
  <c r="V58" i="45"/>
  <c r="Z57" i="45"/>
  <c r="Y57" i="45"/>
  <c r="X57" i="45"/>
  <c r="W57" i="45"/>
  <c r="V57" i="45"/>
  <c r="Z56" i="45"/>
  <c r="Y56" i="45"/>
  <c r="X56" i="45"/>
  <c r="W56" i="45"/>
  <c r="V56" i="45"/>
  <c r="AC47" i="45"/>
  <c r="AC46" i="45"/>
  <c r="AE45" i="45"/>
  <c r="AC45" i="45"/>
  <c r="B45" i="45"/>
  <c r="AP44" i="45"/>
  <c r="B94" i="45" s="1"/>
  <c r="AP43" i="45"/>
  <c r="B91" i="45" s="1"/>
  <c r="AP42" i="45"/>
  <c r="B88" i="45" s="1"/>
  <c r="AP41" i="45"/>
  <c r="AP40" i="45"/>
  <c r="B82" i="45" s="1"/>
  <c r="X39" i="45"/>
  <c r="X38" i="45"/>
  <c r="B38" i="45"/>
  <c r="AK37" i="45"/>
  <c r="AU59" i="45" s="1"/>
  <c r="X37" i="45"/>
  <c r="AL36" i="45"/>
  <c r="AK36" i="45"/>
  <c r="AU58" i="45" s="1"/>
  <c r="X36" i="45"/>
  <c r="AL35" i="45"/>
  <c r="AK35" i="45"/>
  <c r="AU57" i="45" s="1"/>
  <c r="X35" i="45"/>
  <c r="Q35" i="45"/>
  <c r="P35" i="45"/>
  <c r="AQ34" i="45"/>
  <c r="AL34" i="45"/>
  <c r="AK34" i="45"/>
  <c r="AU56" i="45" s="1"/>
  <c r="X34" i="45"/>
  <c r="AL33" i="45"/>
  <c r="AK33" i="45"/>
  <c r="AU55" i="45" s="1"/>
  <c r="X33" i="45"/>
  <c r="AL32" i="45"/>
  <c r="AK32" i="45"/>
  <c r="AU54" i="45" s="1"/>
  <c r="X32" i="45"/>
  <c r="AL31" i="45"/>
  <c r="AK31" i="45"/>
  <c r="AU53" i="45" s="1"/>
  <c r="AG31" i="45"/>
  <c r="X31" i="45"/>
  <c r="AL30" i="45"/>
  <c r="AK30" i="45"/>
  <c r="AU52" i="45" s="1"/>
  <c r="X30" i="45"/>
  <c r="B30" i="45"/>
  <c r="AL29" i="45"/>
  <c r="AK29" i="45"/>
  <c r="AU51" i="45" s="1"/>
  <c r="X29" i="45"/>
  <c r="X28" i="45"/>
  <c r="B27" i="45"/>
  <c r="P25" i="45"/>
  <c r="I24" i="45" s="1"/>
  <c r="P24" i="45"/>
  <c r="G20" i="45" s="1"/>
  <c r="G24" i="45"/>
  <c r="E24" i="45"/>
  <c r="C24" i="45"/>
  <c r="AC23" i="45"/>
  <c r="AB23" i="45"/>
  <c r="AA23" i="45"/>
  <c r="Z23" i="45"/>
  <c r="Y23" i="45"/>
  <c r="I23" i="45"/>
  <c r="G23" i="45"/>
  <c r="E23" i="45"/>
  <c r="C23" i="45"/>
  <c r="AB22" i="45"/>
  <c r="AA22" i="45"/>
  <c r="Z22" i="45"/>
  <c r="AC22" i="45" s="1"/>
  <c r="Y22" i="45"/>
  <c r="I22" i="45"/>
  <c r="G22" i="45"/>
  <c r="E22" i="45"/>
  <c r="C22" i="45"/>
  <c r="I21" i="45"/>
  <c r="G21" i="45"/>
  <c r="E21" i="45"/>
  <c r="C21" i="45"/>
  <c r="AQ20" i="45"/>
  <c r="AI20" i="45"/>
  <c r="I20" i="45"/>
  <c r="AQ19" i="45"/>
  <c r="B69" i="45" s="1"/>
  <c r="AQ35" i="45" s="1"/>
  <c r="AI19" i="45"/>
  <c r="AQ18" i="45"/>
  <c r="B66" i="45" s="1"/>
  <c r="AK18" i="45"/>
  <c r="AV26" i="45" s="1"/>
  <c r="AJ18" i="45"/>
  <c r="AI18" i="45"/>
  <c r="I18" i="45"/>
  <c r="AI17" i="45"/>
  <c r="AJ15" i="45" s="1"/>
  <c r="AK15" i="45" s="1"/>
  <c r="AU26" i="45" s="1"/>
  <c r="AI16" i="45"/>
  <c r="AI15" i="45"/>
  <c r="AQ14" i="45"/>
  <c r="AI14" i="45"/>
  <c r="I14" i="45"/>
  <c r="AQ13" i="45"/>
  <c r="B60" i="45" s="1"/>
  <c r="AQ32" i="45" s="1"/>
  <c r="AI13" i="45"/>
  <c r="AQ12" i="45"/>
  <c r="B57" i="45" s="1"/>
  <c r="AQ31" i="45" s="1"/>
  <c r="AK12" i="45"/>
  <c r="AT26" i="45" s="1"/>
  <c r="AJ12" i="45"/>
  <c r="AI12" i="45"/>
  <c r="AI11" i="45"/>
  <c r="AC11" i="45"/>
  <c r="AB11" i="45"/>
  <c r="AA11" i="45"/>
  <c r="Z11" i="45"/>
  <c r="Y11" i="45"/>
  <c r="AI10" i="45"/>
  <c r="AC10" i="45"/>
  <c r="AB10" i="45"/>
  <c r="AA10" i="45"/>
  <c r="Z10" i="45"/>
  <c r="Y10" i="45"/>
  <c r="AI9" i="45"/>
  <c r="AJ9" i="45" s="1"/>
  <c r="AC9" i="45"/>
  <c r="AB9" i="45"/>
  <c r="AA9" i="45"/>
  <c r="Z9" i="45"/>
  <c r="Y9" i="45"/>
  <c r="AQ8" i="45"/>
  <c r="B54" i="45" s="1"/>
  <c r="AQ30" i="45" s="1"/>
  <c r="AC8" i="45"/>
  <c r="AB8" i="45"/>
  <c r="AA8" i="45"/>
  <c r="Z8" i="45"/>
  <c r="Y8" i="45"/>
  <c r="AD8" i="45" s="1"/>
  <c r="AB36" i="45" s="1"/>
  <c r="AQ7" i="45"/>
  <c r="B51" i="45" s="1"/>
  <c r="AQ29" i="45" s="1"/>
  <c r="AQ6" i="45"/>
  <c r="B48" i="45" s="1"/>
  <c r="AQ28" i="45" s="1"/>
  <c r="V46" i="44"/>
  <c r="AD31" i="44"/>
  <c r="AD32" i="44"/>
  <c r="AD30" i="44"/>
  <c r="AA215" i="44"/>
  <c r="V214" i="44"/>
  <c r="V213" i="44"/>
  <c r="V212" i="44"/>
  <c r="V211" i="44"/>
  <c r="V210" i="44"/>
  <c r="V209" i="44"/>
  <c r="V208" i="44"/>
  <c r="V207" i="44"/>
  <c r="V206" i="44"/>
  <c r="V205" i="44"/>
  <c r="V204" i="44"/>
  <c r="V203" i="44"/>
  <c r="V202" i="44"/>
  <c r="V201" i="44"/>
  <c r="V200" i="44"/>
  <c r="V199" i="44"/>
  <c r="V198" i="44"/>
  <c r="V197" i="44"/>
  <c r="V196" i="44"/>
  <c r="V195" i="44"/>
  <c r="V194" i="44"/>
  <c r="V193" i="44"/>
  <c r="V192" i="44"/>
  <c r="V191" i="44"/>
  <c r="V190" i="44"/>
  <c r="V189" i="44"/>
  <c r="V188" i="44"/>
  <c r="AO179" i="44"/>
  <c r="AN179" i="44"/>
  <c r="AM179" i="44"/>
  <c r="AL179" i="44"/>
  <c r="AK179" i="44"/>
  <c r="AJ179" i="44"/>
  <c r="AI179" i="44"/>
  <c r="AH179" i="44"/>
  <c r="AG179" i="44"/>
  <c r="AF179" i="44"/>
  <c r="AE179" i="44"/>
  <c r="AD179" i="44"/>
  <c r="AC179" i="44"/>
  <c r="AB179" i="44"/>
  <c r="AA179" i="44"/>
  <c r="Z179" i="44"/>
  <c r="Y179" i="44"/>
  <c r="X179" i="44"/>
  <c r="W179" i="44"/>
  <c r="V179" i="44"/>
  <c r="AO178" i="44"/>
  <c r="AN178" i="44"/>
  <c r="AM178" i="44"/>
  <c r="AL178" i="44"/>
  <c r="AK178" i="44"/>
  <c r="AJ178" i="44"/>
  <c r="AI178" i="44"/>
  <c r="AH178" i="44"/>
  <c r="AG178" i="44"/>
  <c r="AF178" i="44"/>
  <c r="AE178" i="44"/>
  <c r="AD178" i="44"/>
  <c r="AC178" i="44"/>
  <c r="AB178" i="44"/>
  <c r="AA178" i="44"/>
  <c r="Z178" i="44"/>
  <c r="Y178" i="44"/>
  <c r="X178" i="44"/>
  <c r="W178" i="44"/>
  <c r="V178" i="44"/>
  <c r="AO177" i="44"/>
  <c r="AN177" i="44"/>
  <c r="AM177" i="44"/>
  <c r="AL177" i="44"/>
  <c r="AK177" i="44"/>
  <c r="AJ177" i="44"/>
  <c r="AI177" i="44"/>
  <c r="AH177" i="44"/>
  <c r="AG177" i="44"/>
  <c r="AF177" i="44"/>
  <c r="AE177" i="44"/>
  <c r="AD177" i="44"/>
  <c r="AC177" i="44"/>
  <c r="AB177" i="44"/>
  <c r="AA177" i="44"/>
  <c r="Z177" i="44"/>
  <c r="Y177" i="44"/>
  <c r="X177" i="44"/>
  <c r="W177" i="44"/>
  <c r="V177" i="44"/>
  <c r="AO176" i="44"/>
  <c r="AN176" i="44"/>
  <c r="AM176" i="44"/>
  <c r="AL176" i="44"/>
  <c r="AK176" i="44"/>
  <c r="AJ176" i="44"/>
  <c r="AI176" i="44"/>
  <c r="AH176" i="44"/>
  <c r="AG176" i="44"/>
  <c r="AF176" i="44"/>
  <c r="AE176" i="44"/>
  <c r="AD176" i="44"/>
  <c r="AC176" i="44"/>
  <c r="AB176" i="44"/>
  <c r="AA176" i="44"/>
  <c r="Z176" i="44"/>
  <c r="Y176" i="44"/>
  <c r="X176" i="44"/>
  <c r="V176" i="44"/>
  <c r="AO175" i="44"/>
  <c r="AN175" i="44"/>
  <c r="AM175" i="44"/>
  <c r="AL175" i="44"/>
  <c r="AK175" i="44"/>
  <c r="AJ175" i="44"/>
  <c r="AI175" i="44"/>
  <c r="AH175" i="44"/>
  <c r="AG175" i="44"/>
  <c r="AF175" i="44"/>
  <c r="AE175" i="44"/>
  <c r="AD175" i="44"/>
  <c r="AC175" i="44"/>
  <c r="AB175" i="44"/>
  <c r="AA175" i="44"/>
  <c r="Z175" i="44"/>
  <c r="Y175" i="44"/>
  <c r="X175" i="44"/>
  <c r="V175" i="44"/>
  <c r="AO174" i="44"/>
  <c r="AN174" i="44"/>
  <c r="AM174" i="44"/>
  <c r="AL174" i="44"/>
  <c r="AK174" i="44"/>
  <c r="AJ174" i="44"/>
  <c r="AI174" i="44"/>
  <c r="AH174" i="44"/>
  <c r="AG174" i="44"/>
  <c r="AF174" i="44"/>
  <c r="AE174" i="44"/>
  <c r="AD174" i="44"/>
  <c r="AC174" i="44"/>
  <c r="AB174" i="44"/>
  <c r="AA174" i="44"/>
  <c r="Z174" i="44"/>
  <c r="Y174" i="44"/>
  <c r="X174" i="44"/>
  <c r="V174" i="44"/>
  <c r="AO173" i="44"/>
  <c r="AN173" i="44"/>
  <c r="AM173" i="44"/>
  <c r="AL173" i="44"/>
  <c r="AK173" i="44"/>
  <c r="AJ173" i="44"/>
  <c r="AI173" i="44"/>
  <c r="AH173" i="44"/>
  <c r="AG173" i="44"/>
  <c r="AF173" i="44"/>
  <c r="AE173" i="44"/>
  <c r="AD173" i="44"/>
  <c r="AC173" i="44"/>
  <c r="AB173" i="44"/>
  <c r="AA173" i="44"/>
  <c r="Z173" i="44"/>
  <c r="Y173" i="44"/>
  <c r="X173" i="44"/>
  <c r="V173" i="44"/>
  <c r="AO172" i="44"/>
  <c r="AN172" i="44"/>
  <c r="AM172" i="44"/>
  <c r="AL172" i="44"/>
  <c r="AK172" i="44"/>
  <c r="AJ172" i="44"/>
  <c r="AI172" i="44"/>
  <c r="AH172" i="44"/>
  <c r="AG172" i="44"/>
  <c r="AF172" i="44"/>
  <c r="AE172" i="44"/>
  <c r="AD172" i="44"/>
  <c r="AC172" i="44"/>
  <c r="AB172" i="44"/>
  <c r="AA172" i="44"/>
  <c r="Z172" i="44"/>
  <c r="Y172" i="44"/>
  <c r="X172" i="44"/>
  <c r="W172" i="44"/>
  <c r="V172" i="44"/>
  <c r="AO171" i="44"/>
  <c r="AN171" i="44"/>
  <c r="AM171" i="44"/>
  <c r="AL171" i="44"/>
  <c r="AK171" i="44"/>
  <c r="AJ171" i="44"/>
  <c r="AI171" i="44"/>
  <c r="AH171" i="44"/>
  <c r="AG171" i="44"/>
  <c r="AF171" i="44"/>
  <c r="AE171" i="44"/>
  <c r="AD171" i="44"/>
  <c r="AC171" i="44"/>
  <c r="AB171" i="44"/>
  <c r="AA171" i="44"/>
  <c r="Z171" i="44"/>
  <c r="Y171" i="44"/>
  <c r="X171" i="44"/>
  <c r="V171" i="44"/>
  <c r="AO170" i="44"/>
  <c r="AN170" i="44"/>
  <c r="AM170" i="44"/>
  <c r="AL170" i="44"/>
  <c r="AK170" i="44"/>
  <c r="AJ170" i="44"/>
  <c r="AI170" i="44"/>
  <c r="AH170" i="44"/>
  <c r="AG170" i="44"/>
  <c r="AF170" i="44"/>
  <c r="AE170" i="44"/>
  <c r="AD170" i="44"/>
  <c r="AC170" i="44"/>
  <c r="AB170" i="44"/>
  <c r="AA170" i="44"/>
  <c r="Z170" i="44"/>
  <c r="Y170" i="44"/>
  <c r="X170" i="44"/>
  <c r="V170" i="44"/>
  <c r="AO169" i="44"/>
  <c r="AN169" i="44"/>
  <c r="AM169" i="44"/>
  <c r="AL169" i="44"/>
  <c r="AK169" i="44"/>
  <c r="AJ169" i="44"/>
  <c r="AI169" i="44"/>
  <c r="AH169" i="44"/>
  <c r="AG169" i="44"/>
  <c r="AF169" i="44"/>
  <c r="AE169" i="44"/>
  <c r="AD169" i="44"/>
  <c r="AC169" i="44"/>
  <c r="AB169" i="44"/>
  <c r="AA169" i="44"/>
  <c r="Z169" i="44"/>
  <c r="Y169" i="44"/>
  <c r="X169" i="44"/>
  <c r="W169" i="44"/>
  <c r="V169" i="44"/>
  <c r="AO168" i="44"/>
  <c r="AN168" i="44"/>
  <c r="AM168" i="44"/>
  <c r="AL168" i="44"/>
  <c r="X95" i="44" s="1"/>
  <c r="AK168" i="44"/>
  <c r="AJ168" i="44"/>
  <c r="AI168" i="44"/>
  <c r="AH168" i="44"/>
  <c r="AG168" i="44"/>
  <c r="AF168" i="44"/>
  <c r="AE168" i="44"/>
  <c r="AD168" i="44"/>
  <c r="AD95" i="44" s="1"/>
  <c r="AC168" i="44"/>
  <c r="AC95" i="44" s="1"/>
  <c r="AB168" i="44"/>
  <c r="AB95" i="44" s="1"/>
  <c r="AA168" i="44"/>
  <c r="Z168" i="44"/>
  <c r="Z95" i="44" s="1"/>
  <c r="Y168" i="44"/>
  <c r="X168" i="44"/>
  <c r="W168" i="44"/>
  <c r="W95" i="44" s="1"/>
  <c r="V168" i="44"/>
  <c r="V95" i="44" s="1"/>
  <c r="AO167" i="44"/>
  <c r="AN167" i="44"/>
  <c r="AM167" i="44"/>
  <c r="AL167" i="44"/>
  <c r="AK167" i="44"/>
  <c r="AJ167" i="44"/>
  <c r="AI167" i="44"/>
  <c r="AH167" i="44"/>
  <c r="AG167" i="44"/>
  <c r="AF167" i="44"/>
  <c r="AE167" i="44"/>
  <c r="AD167" i="44"/>
  <c r="AD94" i="44" s="1"/>
  <c r="AC167" i="44"/>
  <c r="AB167" i="44"/>
  <c r="AA167" i="44"/>
  <c r="Z167" i="44"/>
  <c r="Z94" i="44" s="1"/>
  <c r="Y167" i="44"/>
  <c r="Y94" i="44" s="1"/>
  <c r="X167" i="44"/>
  <c r="W167" i="44"/>
  <c r="V167" i="44"/>
  <c r="AO166" i="44"/>
  <c r="AN166" i="44"/>
  <c r="AM166" i="44"/>
  <c r="AL166" i="44"/>
  <c r="X93" i="44" s="1"/>
  <c r="AK166" i="44"/>
  <c r="AJ166" i="44"/>
  <c r="AI166" i="44"/>
  <c r="AH166" i="44"/>
  <c r="AG166" i="44"/>
  <c r="AF166" i="44"/>
  <c r="AE166" i="44"/>
  <c r="AD166" i="44"/>
  <c r="AD93" i="44" s="1"/>
  <c r="AC166" i="44"/>
  <c r="AB166" i="44"/>
  <c r="AB93" i="44" s="1"/>
  <c r="AA166" i="44"/>
  <c r="Z166" i="44"/>
  <c r="Z93" i="44" s="1"/>
  <c r="Y166" i="44"/>
  <c r="X166" i="44"/>
  <c r="W166" i="44"/>
  <c r="V166" i="44"/>
  <c r="V93" i="44" s="1"/>
  <c r="AO165" i="44"/>
  <c r="AN165" i="44"/>
  <c r="AM165" i="44"/>
  <c r="AL165" i="44"/>
  <c r="X92" i="44" s="1"/>
  <c r="AK165" i="44"/>
  <c r="AJ165" i="44"/>
  <c r="AI165" i="44"/>
  <c r="AH165" i="44"/>
  <c r="AG165" i="44"/>
  <c r="AF165" i="44"/>
  <c r="AE165" i="44"/>
  <c r="AD165" i="44"/>
  <c r="AD92" i="44" s="1"/>
  <c r="AC165" i="44"/>
  <c r="AC92" i="44" s="1"/>
  <c r="AB165" i="44"/>
  <c r="AB92" i="44" s="1"/>
  <c r="AA165" i="44"/>
  <c r="Z165" i="44"/>
  <c r="Z92" i="44" s="1"/>
  <c r="Y165" i="44"/>
  <c r="X165" i="44"/>
  <c r="W165" i="44"/>
  <c r="W92" i="44" s="1"/>
  <c r="V165" i="44"/>
  <c r="V92" i="44" s="1"/>
  <c r="AO164" i="44"/>
  <c r="AN164" i="44"/>
  <c r="AM164" i="44"/>
  <c r="AL164" i="44"/>
  <c r="X91" i="44" s="1"/>
  <c r="AK164" i="44"/>
  <c r="AJ164" i="44"/>
  <c r="AI164" i="44"/>
  <c r="AH164" i="44"/>
  <c r="AG164" i="44"/>
  <c r="AF164" i="44"/>
  <c r="AE164" i="44"/>
  <c r="AD164" i="44"/>
  <c r="AD91" i="44" s="1"/>
  <c r="AC164" i="44"/>
  <c r="AB164" i="44"/>
  <c r="AB91" i="44" s="1"/>
  <c r="AA164" i="44"/>
  <c r="AA91" i="44" s="1"/>
  <c r="Z164" i="44"/>
  <c r="Y164" i="44"/>
  <c r="Y91" i="44" s="1"/>
  <c r="X164" i="44"/>
  <c r="W164" i="44"/>
  <c r="V164" i="44"/>
  <c r="V91" i="44" s="1"/>
  <c r="AO163" i="44"/>
  <c r="AN163" i="44"/>
  <c r="AM163" i="44"/>
  <c r="AL163" i="44"/>
  <c r="X90" i="44" s="1"/>
  <c r="AK163" i="44"/>
  <c r="AJ163" i="44"/>
  <c r="AI163" i="44"/>
  <c r="AH163" i="44"/>
  <c r="AG163" i="44"/>
  <c r="AF163" i="44"/>
  <c r="AE163" i="44"/>
  <c r="AD163" i="44"/>
  <c r="AD90" i="44" s="1"/>
  <c r="AC163" i="44"/>
  <c r="AC90" i="44" s="1"/>
  <c r="AB163" i="44"/>
  <c r="AB90" i="44" s="1"/>
  <c r="AA163" i="44"/>
  <c r="AA90" i="44" s="1"/>
  <c r="Z163" i="44"/>
  <c r="Z90" i="44" s="1"/>
  <c r="Y163" i="44"/>
  <c r="X163" i="44"/>
  <c r="W163" i="44"/>
  <c r="V163" i="44"/>
  <c r="V90" i="44" s="1"/>
  <c r="AO162" i="44"/>
  <c r="AN162" i="44"/>
  <c r="AM162" i="44"/>
  <c r="AL162" i="44"/>
  <c r="X89" i="44" s="1"/>
  <c r="AK162" i="44"/>
  <c r="AJ162" i="44"/>
  <c r="AI162" i="44"/>
  <c r="AH162" i="44"/>
  <c r="AG162" i="44"/>
  <c r="AF162" i="44"/>
  <c r="AE162" i="44"/>
  <c r="AD162" i="44"/>
  <c r="AD89" i="44" s="1"/>
  <c r="AC162" i="44"/>
  <c r="AC89" i="44" s="1"/>
  <c r="AB162" i="44"/>
  <c r="AA162" i="44"/>
  <c r="Z162" i="44"/>
  <c r="Z89" i="44" s="1"/>
  <c r="Y162" i="44"/>
  <c r="X162" i="44"/>
  <c r="W162" i="44"/>
  <c r="W89" i="44" s="1"/>
  <c r="V162" i="44"/>
  <c r="V89" i="44" s="1"/>
  <c r="AO161" i="44"/>
  <c r="AN161" i="44"/>
  <c r="AM161" i="44"/>
  <c r="AL161" i="44"/>
  <c r="X88" i="44" s="1"/>
  <c r="AK161" i="44"/>
  <c r="AJ161" i="44"/>
  <c r="AI161" i="44"/>
  <c r="AH161" i="44"/>
  <c r="AG161" i="44"/>
  <c r="AF161" i="44"/>
  <c r="AE161" i="44"/>
  <c r="AD161" i="44"/>
  <c r="AD88" i="44" s="1"/>
  <c r="AC161" i="44"/>
  <c r="AB161" i="44"/>
  <c r="AB88" i="44" s="1"/>
  <c r="AA161" i="44"/>
  <c r="Z161" i="44"/>
  <c r="Z88" i="44" s="1"/>
  <c r="Y161" i="44"/>
  <c r="Y88" i="44" s="1"/>
  <c r="X161" i="44"/>
  <c r="W161" i="44"/>
  <c r="V161" i="44"/>
  <c r="AO160" i="44"/>
  <c r="AN160" i="44"/>
  <c r="AM160" i="44"/>
  <c r="AL160" i="44"/>
  <c r="X87" i="44" s="1"/>
  <c r="AK160" i="44"/>
  <c r="AJ160" i="44"/>
  <c r="AI160" i="44"/>
  <c r="AH160" i="44"/>
  <c r="AG160" i="44"/>
  <c r="AF160" i="44"/>
  <c r="AE160" i="44"/>
  <c r="AD160" i="44"/>
  <c r="AD87" i="44" s="1"/>
  <c r="AC160" i="44"/>
  <c r="AB160" i="44"/>
  <c r="AB87" i="44" s="1"/>
  <c r="AA160" i="44"/>
  <c r="AA87" i="44" s="1"/>
  <c r="Z160" i="44"/>
  <c r="Z87" i="44" s="1"/>
  <c r="Y160" i="44"/>
  <c r="X160" i="44"/>
  <c r="V160" i="44"/>
  <c r="V87" i="44" s="1"/>
  <c r="AO159" i="44"/>
  <c r="AN159" i="44"/>
  <c r="AM159" i="44"/>
  <c r="AL159" i="44"/>
  <c r="AK159" i="44"/>
  <c r="AJ159" i="44"/>
  <c r="AI159" i="44"/>
  <c r="AH159" i="44"/>
  <c r="AG159" i="44"/>
  <c r="AF159" i="44"/>
  <c r="AE159" i="44"/>
  <c r="AD159" i="44"/>
  <c r="AC159" i="44"/>
  <c r="AB159" i="44"/>
  <c r="AA159" i="44"/>
  <c r="Z159" i="44"/>
  <c r="Y159" i="44"/>
  <c r="X159" i="44"/>
  <c r="W159" i="44"/>
  <c r="V159" i="44"/>
  <c r="AO158" i="44"/>
  <c r="AN158" i="44"/>
  <c r="AM158" i="44"/>
  <c r="AL158" i="44"/>
  <c r="AK158" i="44"/>
  <c r="AJ158" i="44"/>
  <c r="AI158" i="44"/>
  <c r="AH158" i="44"/>
  <c r="AG158" i="44"/>
  <c r="AF158" i="44"/>
  <c r="AE158" i="44"/>
  <c r="AD158" i="44"/>
  <c r="AC158" i="44"/>
  <c r="AB158" i="44"/>
  <c r="AA158" i="44"/>
  <c r="Z158" i="44"/>
  <c r="Y158" i="44"/>
  <c r="X158" i="44"/>
  <c r="W158" i="44"/>
  <c r="V158" i="44"/>
  <c r="AO157" i="44"/>
  <c r="AN157" i="44"/>
  <c r="AM157" i="44"/>
  <c r="AL157" i="44"/>
  <c r="AK157" i="44"/>
  <c r="AJ157" i="44"/>
  <c r="AI157" i="44"/>
  <c r="AH157" i="44"/>
  <c r="AG157" i="44"/>
  <c r="AF157" i="44"/>
  <c r="AE157" i="44"/>
  <c r="AD157" i="44"/>
  <c r="AC157" i="44"/>
  <c r="AB157" i="44"/>
  <c r="AA157" i="44"/>
  <c r="Z157" i="44"/>
  <c r="Y157" i="44"/>
  <c r="X157" i="44"/>
  <c r="W157" i="44"/>
  <c r="V157" i="44"/>
  <c r="AO156" i="44"/>
  <c r="AN156" i="44"/>
  <c r="AM156" i="44"/>
  <c r="AL156" i="44"/>
  <c r="AK156" i="44"/>
  <c r="AJ156" i="44"/>
  <c r="AI156" i="44"/>
  <c r="AH156" i="44"/>
  <c r="AG156" i="44"/>
  <c r="AF156" i="44"/>
  <c r="AE156" i="44"/>
  <c r="AD156" i="44"/>
  <c r="AC156" i="44"/>
  <c r="AB156" i="44"/>
  <c r="AA156" i="44"/>
  <c r="Z156" i="44"/>
  <c r="Y156" i="44"/>
  <c r="X156" i="44"/>
  <c r="W156" i="44"/>
  <c r="V156" i="44"/>
  <c r="AO155" i="44"/>
  <c r="AN155" i="44"/>
  <c r="AM155" i="44"/>
  <c r="AL155" i="44"/>
  <c r="AK155" i="44"/>
  <c r="AJ155" i="44"/>
  <c r="AI155" i="44"/>
  <c r="AH155" i="44"/>
  <c r="AG155" i="44"/>
  <c r="AF155" i="44"/>
  <c r="AE155" i="44"/>
  <c r="AD155" i="44"/>
  <c r="AC155" i="44"/>
  <c r="AB155" i="44"/>
  <c r="AA155" i="44"/>
  <c r="Z155" i="44"/>
  <c r="Y155" i="44"/>
  <c r="X155" i="44"/>
  <c r="W155" i="44"/>
  <c r="V155" i="44"/>
  <c r="AO154" i="44"/>
  <c r="AN154" i="44"/>
  <c r="AM154" i="44"/>
  <c r="AL154" i="44"/>
  <c r="AK154" i="44"/>
  <c r="AJ154" i="44"/>
  <c r="AI154" i="44"/>
  <c r="AH154" i="44"/>
  <c r="AG154" i="44"/>
  <c r="AF154" i="44"/>
  <c r="AE154" i="44"/>
  <c r="AD154" i="44"/>
  <c r="AC154" i="44"/>
  <c r="AB154" i="44"/>
  <c r="AA154" i="44"/>
  <c r="Z154" i="44"/>
  <c r="Y154" i="44"/>
  <c r="X154" i="44"/>
  <c r="W154" i="44"/>
  <c r="V154" i="44"/>
  <c r="AO153" i="44"/>
  <c r="AN153" i="44"/>
  <c r="AM153" i="44"/>
  <c r="AL153" i="44"/>
  <c r="AK153" i="44"/>
  <c r="AJ153" i="44"/>
  <c r="AI153" i="44"/>
  <c r="AH153" i="44"/>
  <c r="AG153" i="44"/>
  <c r="AF153" i="44"/>
  <c r="AE153" i="44"/>
  <c r="AD153" i="44"/>
  <c r="AC153" i="44"/>
  <c r="AB153" i="44"/>
  <c r="AA153" i="44"/>
  <c r="Z153" i="44"/>
  <c r="Y153" i="44"/>
  <c r="X153" i="44"/>
  <c r="W153" i="44"/>
  <c r="V153" i="44"/>
  <c r="AO152" i="44"/>
  <c r="AN152" i="44"/>
  <c r="AM152" i="44"/>
  <c r="AL152" i="44"/>
  <c r="AK152" i="44"/>
  <c r="AJ152" i="44"/>
  <c r="AI152" i="44"/>
  <c r="AH152" i="44"/>
  <c r="AG152" i="44"/>
  <c r="AF152" i="44"/>
  <c r="AE152" i="44"/>
  <c r="AD152" i="44"/>
  <c r="AC152" i="44"/>
  <c r="AB152" i="44"/>
  <c r="AA152" i="44"/>
  <c r="Z152" i="44"/>
  <c r="Y152" i="44"/>
  <c r="X152" i="44"/>
  <c r="W152" i="44"/>
  <c r="V152" i="44"/>
  <c r="AO151" i="44"/>
  <c r="AN151" i="44"/>
  <c r="AM151" i="44"/>
  <c r="AL151" i="44"/>
  <c r="AK151" i="44"/>
  <c r="AJ151" i="44"/>
  <c r="AI151" i="44"/>
  <c r="AH151" i="44"/>
  <c r="AG151" i="44"/>
  <c r="AF151" i="44"/>
  <c r="AE151" i="44"/>
  <c r="AD151" i="44"/>
  <c r="AC151" i="44"/>
  <c r="AB151" i="44"/>
  <c r="AA151" i="44"/>
  <c r="Z151" i="44"/>
  <c r="Y151" i="44"/>
  <c r="X151" i="44"/>
  <c r="W151" i="44"/>
  <c r="V151" i="44"/>
  <c r="AO150" i="44"/>
  <c r="AN150" i="44"/>
  <c r="AM150" i="44"/>
  <c r="AL150" i="44"/>
  <c r="AK150" i="44"/>
  <c r="AJ150" i="44"/>
  <c r="AI150" i="44"/>
  <c r="AH150" i="44"/>
  <c r="AG150" i="44"/>
  <c r="AF150" i="44"/>
  <c r="AE150" i="44"/>
  <c r="AD150" i="44"/>
  <c r="AC150" i="44"/>
  <c r="AB150" i="44"/>
  <c r="AA150" i="44"/>
  <c r="Z150" i="44"/>
  <c r="Y150" i="44"/>
  <c r="X150" i="44"/>
  <c r="W150" i="44"/>
  <c r="V150" i="44"/>
  <c r="AO149" i="44"/>
  <c r="AN149" i="44"/>
  <c r="AM149" i="44"/>
  <c r="AL149" i="44"/>
  <c r="AK149" i="44"/>
  <c r="AJ149" i="44"/>
  <c r="AI149" i="44"/>
  <c r="AH149" i="44"/>
  <c r="AG149" i="44"/>
  <c r="AF149" i="44"/>
  <c r="AE149" i="44"/>
  <c r="AD149" i="44"/>
  <c r="AC149" i="44"/>
  <c r="AB149" i="44"/>
  <c r="AA149" i="44"/>
  <c r="Z149" i="44"/>
  <c r="Y149" i="44"/>
  <c r="X149" i="44"/>
  <c r="V149" i="44"/>
  <c r="AO148" i="44"/>
  <c r="AN148" i="44"/>
  <c r="AM148" i="44"/>
  <c r="AL148" i="44"/>
  <c r="AK148" i="44"/>
  <c r="AJ148" i="44"/>
  <c r="AI148" i="44"/>
  <c r="AH148" i="44"/>
  <c r="AG148" i="44"/>
  <c r="AF148" i="44"/>
  <c r="AE148" i="44"/>
  <c r="AD148" i="44"/>
  <c r="AC148" i="44"/>
  <c r="AB148" i="44"/>
  <c r="AA148" i="44"/>
  <c r="Z148" i="44"/>
  <c r="Y148" i="44"/>
  <c r="X148" i="44"/>
  <c r="V148" i="44"/>
  <c r="AO147" i="44"/>
  <c r="AN147" i="44"/>
  <c r="AM147" i="44"/>
  <c r="AL147" i="44"/>
  <c r="AK147" i="44"/>
  <c r="AJ147" i="44"/>
  <c r="AI147" i="44"/>
  <c r="AH147" i="44"/>
  <c r="AG147" i="44"/>
  <c r="AF147" i="44"/>
  <c r="AE147" i="44"/>
  <c r="AD147" i="44"/>
  <c r="AC147" i="44"/>
  <c r="AB147" i="44"/>
  <c r="AA147" i="44"/>
  <c r="Z147" i="44"/>
  <c r="Y147" i="44"/>
  <c r="X147" i="44"/>
  <c r="V147" i="44"/>
  <c r="AO146" i="44"/>
  <c r="AN146" i="44"/>
  <c r="AM146" i="44"/>
  <c r="AL146" i="44"/>
  <c r="AK146" i="44"/>
  <c r="AJ146" i="44"/>
  <c r="AI146" i="44"/>
  <c r="AH146" i="44"/>
  <c r="AG146" i="44"/>
  <c r="AF146" i="44"/>
  <c r="AE146" i="44"/>
  <c r="AD146" i="44"/>
  <c r="AC146" i="44"/>
  <c r="AB146" i="44"/>
  <c r="AA146" i="44"/>
  <c r="Z146" i="44"/>
  <c r="Y146" i="44"/>
  <c r="X146" i="44"/>
  <c r="V146" i="44"/>
  <c r="AO145" i="44"/>
  <c r="AN145" i="44"/>
  <c r="AM145" i="44"/>
  <c r="AL145" i="44"/>
  <c r="AK145" i="44"/>
  <c r="AJ145" i="44"/>
  <c r="AI145" i="44"/>
  <c r="AH145" i="44"/>
  <c r="AG145" i="44"/>
  <c r="AF145" i="44"/>
  <c r="AE145" i="44"/>
  <c r="AD145" i="44"/>
  <c r="AC145" i="44"/>
  <c r="AB145" i="44"/>
  <c r="AA145" i="44"/>
  <c r="Z145" i="44"/>
  <c r="Y145" i="44"/>
  <c r="X145" i="44"/>
  <c r="W145" i="44"/>
  <c r="V145" i="44"/>
  <c r="AO144" i="44"/>
  <c r="AN144" i="44"/>
  <c r="AM144" i="44"/>
  <c r="AL144" i="44"/>
  <c r="AK144" i="44"/>
  <c r="AJ144" i="44"/>
  <c r="AI144" i="44"/>
  <c r="AH144" i="44"/>
  <c r="AG144" i="44"/>
  <c r="AF144" i="44"/>
  <c r="AE144" i="44"/>
  <c r="AD144" i="44"/>
  <c r="AC144" i="44"/>
  <c r="AB144" i="44"/>
  <c r="AA144" i="44"/>
  <c r="Z144" i="44"/>
  <c r="Y144" i="44"/>
  <c r="X144" i="44"/>
  <c r="W144" i="44"/>
  <c r="V144" i="44"/>
  <c r="AO143" i="44"/>
  <c r="AN143" i="44"/>
  <c r="AM143" i="44"/>
  <c r="AL143" i="44"/>
  <c r="AK143" i="44"/>
  <c r="AJ143" i="44"/>
  <c r="AI143" i="44"/>
  <c r="AH143" i="44"/>
  <c r="AG143" i="44"/>
  <c r="AF143" i="44"/>
  <c r="AE143" i="44"/>
  <c r="AD143" i="44"/>
  <c r="AC143" i="44"/>
  <c r="AB143" i="44"/>
  <c r="AA143" i="44"/>
  <c r="Z143" i="44"/>
  <c r="Y143" i="44"/>
  <c r="X143" i="44"/>
  <c r="W143" i="44"/>
  <c r="V143" i="44"/>
  <c r="Q143" i="44"/>
  <c r="AO142" i="44"/>
  <c r="AN142" i="44"/>
  <c r="AM142" i="44"/>
  <c r="AL142" i="44"/>
  <c r="AK142" i="44"/>
  <c r="AJ142" i="44"/>
  <c r="AI142" i="44"/>
  <c r="AH142" i="44"/>
  <c r="AG142" i="44"/>
  <c r="AF142" i="44"/>
  <c r="AE142" i="44"/>
  <c r="AD142" i="44"/>
  <c r="AC142" i="44"/>
  <c r="AB142" i="44"/>
  <c r="AA142" i="44"/>
  <c r="Z142" i="44"/>
  <c r="Y142" i="44"/>
  <c r="X142" i="44"/>
  <c r="W142" i="44"/>
  <c r="V142" i="44"/>
  <c r="Q142" i="44"/>
  <c r="AO141" i="44"/>
  <c r="AN141" i="44"/>
  <c r="AM141" i="44"/>
  <c r="AL141" i="44"/>
  <c r="AK141" i="44"/>
  <c r="AJ141" i="44"/>
  <c r="AI141" i="44"/>
  <c r="AH141" i="44"/>
  <c r="AG141" i="44"/>
  <c r="AF141" i="44"/>
  <c r="AE141" i="44"/>
  <c r="AD141" i="44"/>
  <c r="AC141" i="44"/>
  <c r="AB141" i="44"/>
  <c r="AA141" i="44"/>
  <c r="Z141" i="44"/>
  <c r="Y141" i="44"/>
  <c r="X141" i="44"/>
  <c r="W141" i="44"/>
  <c r="V141" i="44"/>
  <c r="Q141" i="44"/>
  <c r="AO140" i="44"/>
  <c r="AN140" i="44"/>
  <c r="AM140" i="44"/>
  <c r="AL140" i="44"/>
  <c r="AK140" i="44"/>
  <c r="AJ140" i="44"/>
  <c r="AI140" i="44"/>
  <c r="AH140" i="44"/>
  <c r="AG140" i="44"/>
  <c r="AF140" i="44"/>
  <c r="AE140" i="44"/>
  <c r="AD140" i="44"/>
  <c r="AC140" i="44"/>
  <c r="AB140" i="44"/>
  <c r="AA140" i="44"/>
  <c r="Z140" i="44"/>
  <c r="Y140" i="44"/>
  <c r="X140" i="44"/>
  <c r="W140" i="44"/>
  <c r="V140" i="44"/>
  <c r="Q140" i="44"/>
  <c r="AO139" i="44"/>
  <c r="AN139" i="44"/>
  <c r="AM139" i="44"/>
  <c r="AL139" i="44"/>
  <c r="AK139" i="44"/>
  <c r="AJ139" i="44"/>
  <c r="AI139" i="44"/>
  <c r="AH139" i="44"/>
  <c r="AG139" i="44"/>
  <c r="AF139" i="44"/>
  <c r="AE139" i="44"/>
  <c r="AD139" i="44"/>
  <c r="AC139" i="44"/>
  <c r="AB139" i="44"/>
  <c r="AA139" i="44"/>
  <c r="Z139" i="44"/>
  <c r="Y139" i="44"/>
  <c r="X139" i="44"/>
  <c r="W139" i="44"/>
  <c r="V139" i="44"/>
  <c r="Q139" i="44"/>
  <c r="AO138" i="44"/>
  <c r="AN138" i="44"/>
  <c r="AM138" i="44"/>
  <c r="AL138" i="44"/>
  <c r="AK138" i="44"/>
  <c r="AJ138" i="44"/>
  <c r="AI138" i="44"/>
  <c r="AH138" i="44"/>
  <c r="AG138" i="44"/>
  <c r="AF138" i="44"/>
  <c r="AE138" i="44"/>
  <c r="AD138" i="44"/>
  <c r="AC138" i="44"/>
  <c r="AB138" i="44"/>
  <c r="AA138" i="44"/>
  <c r="Z138" i="44"/>
  <c r="Y138" i="44"/>
  <c r="X138" i="44"/>
  <c r="W138" i="44"/>
  <c r="V138" i="44"/>
  <c r="Q138" i="44"/>
  <c r="AO137" i="44"/>
  <c r="AN137" i="44"/>
  <c r="AM137" i="44"/>
  <c r="AL137" i="44"/>
  <c r="AK137" i="44"/>
  <c r="AJ137" i="44"/>
  <c r="AI137" i="44"/>
  <c r="AH137" i="44"/>
  <c r="AG137" i="44"/>
  <c r="AF137" i="44"/>
  <c r="AE137" i="44"/>
  <c r="AD137" i="44"/>
  <c r="AC137" i="44"/>
  <c r="AB137" i="44"/>
  <c r="AA137" i="44"/>
  <c r="Z137" i="44"/>
  <c r="Y137" i="44"/>
  <c r="X137" i="44"/>
  <c r="W137" i="44"/>
  <c r="V137" i="44"/>
  <c r="Q137" i="44"/>
  <c r="AO136" i="44"/>
  <c r="AN136" i="44"/>
  <c r="AM136" i="44"/>
  <c r="AL136" i="44"/>
  <c r="AK136" i="44"/>
  <c r="AJ136" i="44"/>
  <c r="AI136" i="44"/>
  <c r="AH136" i="44"/>
  <c r="AG136" i="44"/>
  <c r="AF136" i="44"/>
  <c r="AE136" i="44"/>
  <c r="AD136" i="44"/>
  <c r="AC136" i="44"/>
  <c r="AB136" i="44"/>
  <c r="AA136" i="44"/>
  <c r="Z136" i="44"/>
  <c r="Y136" i="44"/>
  <c r="X136" i="44"/>
  <c r="W136" i="44"/>
  <c r="V136" i="44"/>
  <c r="Q136" i="44"/>
  <c r="AO135" i="44"/>
  <c r="AN135" i="44"/>
  <c r="AM135" i="44"/>
  <c r="AL135" i="44"/>
  <c r="AK135" i="44"/>
  <c r="AJ135" i="44"/>
  <c r="AI135" i="44"/>
  <c r="AH135" i="44"/>
  <c r="AG135" i="44"/>
  <c r="AF135" i="44"/>
  <c r="AE135" i="44"/>
  <c r="AD135" i="44"/>
  <c r="AC135" i="44"/>
  <c r="AB135" i="44"/>
  <c r="AA135" i="44"/>
  <c r="Z135" i="44"/>
  <c r="Y135" i="44"/>
  <c r="X135" i="44"/>
  <c r="W135" i="44"/>
  <c r="V135" i="44"/>
  <c r="Q135" i="44"/>
  <c r="AO134" i="44"/>
  <c r="AN134" i="44"/>
  <c r="AM134" i="44"/>
  <c r="AL134" i="44"/>
  <c r="AK134" i="44"/>
  <c r="AJ134" i="44"/>
  <c r="AI134" i="44"/>
  <c r="AH134" i="44"/>
  <c r="AG134" i="44"/>
  <c r="AF134" i="44"/>
  <c r="AE134" i="44"/>
  <c r="AD134" i="44"/>
  <c r="AC134" i="44"/>
  <c r="AB134" i="44"/>
  <c r="AA134" i="44"/>
  <c r="Z134" i="44"/>
  <c r="Y134" i="44"/>
  <c r="X134" i="44"/>
  <c r="W134" i="44"/>
  <c r="V134" i="44"/>
  <c r="Q134" i="44"/>
  <c r="AO133" i="44"/>
  <c r="AN133" i="44"/>
  <c r="AM133" i="44"/>
  <c r="AL133" i="44"/>
  <c r="AK133" i="44"/>
  <c r="AJ133" i="44"/>
  <c r="AI133" i="44"/>
  <c r="AH133" i="44"/>
  <c r="AG133" i="44"/>
  <c r="AF133" i="44"/>
  <c r="AE133" i="44"/>
  <c r="AD133" i="44"/>
  <c r="AC133" i="44"/>
  <c r="AB133" i="44"/>
  <c r="AA133" i="44"/>
  <c r="Z133" i="44"/>
  <c r="Y133" i="44"/>
  <c r="X133" i="44"/>
  <c r="W133" i="44"/>
  <c r="V133" i="44"/>
  <c r="Q133" i="44"/>
  <c r="AO132" i="44"/>
  <c r="AN132" i="44"/>
  <c r="AM132" i="44"/>
  <c r="AL132" i="44"/>
  <c r="AK132" i="44"/>
  <c r="AJ132" i="44"/>
  <c r="AI132" i="44"/>
  <c r="AH132" i="44"/>
  <c r="AG132" i="44"/>
  <c r="AF132" i="44"/>
  <c r="AE132" i="44"/>
  <c r="AD132" i="44"/>
  <c r="AC132" i="44"/>
  <c r="AB132" i="44"/>
  <c r="AA132" i="44"/>
  <c r="Z132" i="44"/>
  <c r="Y132" i="44"/>
  <c r="X132" i="44"/>
  <c r="W132" i="44"/>
  <c r="V132" i="44"/>
  <c r="Q132" i="44"/>
  <c r="AO131" i="44"/>
  <c r="AN131" i="44"/>
  <c r="AM131" i="44"/>
  <c r="AL131" i="44"/>
  <c r="AK131" i="44"/>
  <c r="AJ131" i="44"/>
  <c r="AI131" i="44"/>
  <c r="AH131" i="44"/>
  <c r="AG131" i="44"/>
  <c r="AF131" i="44"/>
  <c r="AE131" i="44"/>
  <c r="AD131" i="44"/>
  <c r="AC131" i="44"/>
  <c r="AB131" i="44"/>
  <c r="AA131" i="44"/>
  <c r="Z131" i="44"/>
  <c r="Y131" i="44"/>
  <c r="X131" i="44"/>
  <c r="W131" i="44"/>
  <c r="V131" i="44"/>
  <c r="Q131" i="44"/>
  <c r="AO130" i="44"/>
  <c r="AN130" i="44"/>
  <c r="AM130" i="44"/>
  <c r="AL130" i="44"/>
  <c r="AK130" i="44"/>
  <c r="AJ130" i="44"/>
  <c r="AI130" i="44"/>
  <c r="AH130" i="44"/>
  <c r="AG130" i="44"/>
  <c r="AF130" i="44"/>
  <c r="AE130" i="44"/>
  <c r="AD130" i="44"/>
  <c r="AC130" i="44"/>
  <c r="AB130" i="44"/>
  <c r="AA130" i="44"/>
  <c r="Z130" i="44"/>
  <c r="Y130" i="44"/>
  <c r="X130" i="44"/>
  <c r="W130" i="44"/>
  <c r="V130" i="44"/>
  <c r="Q130" i="44"/>
  <c r="AO129" i="44"/>
  <c r="AN129" i="44"/>
  <c r="AM129" i="44"/>
  <c r="AL129" i="44"/>
  <c r="AK129" i="44"/>
  <c r="AJ129" i="44"/>
  <c r="AI129" i="44"/>
  <c r="AH129" i="44"/>
  <c r="AG129" i="44"/>
  <c r="AF129" i="44"/>
  <c r="AE129" i="44"/>
  <c r="AD129" i="44"/>
  <c r="AC129" i="44"/>
  <c r="AB129" i="44"/>
  <c r="AA129" i="44"/>
  <c r="Z129" i="44"/>
  <c r="Y129" i="44"/>
  <c r="X129" i="44"/>
  <c r="W129" i="44"/>
  <c r="V129" i="44"/>
  <c r="Q129" i="44"/>
  <c r="AO128" i="44"/>
  <c r="AN128" i="44"/>
  <c r="AM128" i="44"/>
  <c r="AL128" i="44"/>
  <c r="AK128" i="44"/>
  <c r="AJ128" i="44"/>
  <c r="AI128" i="44"/>
  <c r="AH128" i="44"/>
  <c r="AG128" i="44"/>
  <c r="AF128" i="44"/>
  <c r="AE128" i="44"/>
  <c r="AD128" i="44"/>
  <c r="AC128" i="44"/>
  <c r="AB128" i="44"/>
  <c r="AA128" i="44"/>
  <c r="Z128" i="44"/>
  <c r="Y128" i="44"/>
  <c r="X128" i="44"/>
  <c r="V128" i="44"/>
  <c r="Q128" i="44"/>
  <c r="AO127" i="44"/>
  <c r="AN127" i="44"/>
  <c r="AM127" i="44"/>
  <c r="AL127" i="44"/>
  <c r="AK127" i="44"/>
  <c r="AJ127" i="44"/>
  <c r="AI127" i="44"/>
  <c r="AH127" i="44"/>
  <c r="AG127" i="44"/>
  <c r="AF127" i="44"/>
  <c r="AE127" i="44"/>
  <c r="AD127" i="44"/>
  <c r="AC127" i="44"/>
  <c r="AB127" i="44"/>
  <c r="AA127" i="44"/>
  <c r="Z127" i="44"/>
  <c r="Y127" i="44"/>
  <c r="X127" i="44"/>
  <c r="V127" i="44"/>
  <c r="Q127" i="44"/>
  <c r="AO126" i="44"/>
  <c r="AN126" i="44"/>
  <c r="AM126" i="44"/>
  <c r="AL126" i="44"/>
  <c r="AK126" i="44"/>
  <c r="AJ126" i="44"/>
  <c r="AI126" i="44"/>
  <c r="AH126" i="44"/>
  <c r="AG126" i="44"/>
  <c r="AF126" i="44"/>
  <c r="AE126" i="44"/>
  <c r="AD126" i="44"/>
  <c r="AC126" i="44"/>
  <c r="AB126" i="44"/>
  <c r="AA126" i="44"/>
  <c r="Z126" i="44"/>
  <c r="Y126" i="44"/>
  <c r="X126" i="44"/>
  <c r="V126" i="44"/>
  <c r="Q126" i="44"/>
  <c r="AO125" i="44"/>
  <c r="AN125" i="44"/>
  <c r="AM125" i="44"/>
  <c r="AL125" i="44"/>
  <c r="AK125" i="44"/>
  <c r="AJ125" i="44"/>
  <c r="AI125" i="44"/>
  <c r="AH125" i="44"/>
  <c r="AG125" i="44"/>
  <c r="AF125" i="44"/>
  <c r="AE125" i="44"/>
  <c r="AD125" i="44"/>
  <c r="AC125" i="44"/>
  <c r="AB125" i="44"/>
  <c r="AA125" i="44"/>
  <c r="Z125" i="44"/>
  <c r="Y125" i="44"/>
  <c r="X125" i="44"/>
  <c r="V125" i="44"/>
  <c r="Q125" i="44"/>
  <c r="AO124" i="44"/>
  <c r="AN124" i="44"/>
  <c r="AM124" i="44"/>
  <c r="AL124" i="44"/>
  <c r="AK124" i="44"/>
  <c r="AJ124" i="44"/>
  <c r="AI124" i="44"/>
  <c r="AH124" i="44"/>
  <c r="AG124" i="44"/>
  <c r="AF124" i="44"/>
  <c r="AE124" i="44"/>
  <c r="AD124" i="44"/>
  <c r="AC124" i="44"/>
  <c r="AB124" i="44"/>
  <c r="AA124" i="44"/>
  <c r="Z124" i="44"/>
  <c r="Y124" i="44"/>
  <c r="X124" i="44"/>
  <c r="V124" i="44"/>
  <c r="Q124" i="44"/>
  <c r="AO123" i="44"/>
  <c r="AN123" i="44"/>
  <c r="AM123" i="44"/>
  <c r="AL123" i="44"/>
  <c r="AK123" i="44"/>
  <c r="AJ123" i="44"/>
  <c r="AI123" i="44"/>
  <c r="AH123" i="44"/>
  <c r="AG123" i="44"/>
  <c r="AF123" i="44"/>
  <c r="AE123" i="44"/>
  <c r="AD123" i="44"/>
  <c r="AC123" i="44"/>
  <c r="AB123" i="44"/>
  <c r="AA123" i="44"/>
  <c r="Z123" i="44"/>
  <c r="Y123" i="44"/>
  <c r="X123" i="44"/>
  <c r="W123" i="44"/>
  <c r="V123" i="44"/>
  <c r="Q123" i="44"/>
  <c r="AO122" i="44"/>
  <c r="AN122" i="44"/>
  <c r="AM122" i="44"/>
  <c r="AL122" i="44"/>
  <c r="AK122" i="44"/>
  <c r="AJ122" i="44"/>
  <c r="AI122" i="44"/>
  <c r="AH122" i="44"/>
  <c r="AG122" i="44"/>
  <c r="AF122" i="44"/>
  <c r="AE122" i="44"/>
  <c r="AD122" i="44"/>
  <c r="AC122" i="44"/>
  <c r="AB122" i="44"/>
  <c r="AA122" i="44"/>
  <c r="Z122" i="44"/>
  <c r="Y122" i="44"/>
  <c r="X122" i="44"/>
  <c r="V122" i="44"/>
  <c r="Q122" i="44"/>
  <c r="AO121" i="44"/>
  <c r="AN121" i="44"/>
  <c r="AM121" i="44"/>
  <c r="AL121" i="44"/>
  <c r="AK121" i="44"/>
  <c r="AJ121" i="44"/>
  <c r="AI121" i="44"/>
  <c r="AH121" i="44"/>
  <c r="AG121" i="44"/>
  <c r="AF121" i="44"/>
  <c r="AE121" i="44"/>
  <c r="AD121" i="44"/>
  <c r="AC121" i="44"/>
  <c r="AB121" i="44"/>
  <c r="AA121" i="44"/>
  <c r="Z121" i="44"/>
  <c r="Y121" i="44"/>
  <c r="X121" i="44"/>
  <c r="V121" i="44"/>
  <c r="Q121" i="44"/>
  <c r="AO120" i="44"/>
  <c r="AN120" i="44"/>
  <c r="AM120" i="44"/>
  <c r="AL120" i="44"/>
  <c r="AK120" i="44"/>
  <c r="AJ120" i="44"/>
  <c r="AI120" i="44"/>
  <c r="AH120" i="44"/>
  <c r="AG120" i="44"/>
  <c r="AF120" i="44"/>
  <c r="AE120" i="44"/>
  <c r="AD120" i="44"/>
  <c r="AC120" i="44"/>
  <c r="AB120" i="44"/>
  <c r="AA120" i="44"/>
  <c r="Z120" i="44"/>
  <c r="Y120" i="44"/>
  <c r="X120" i="44"/>
  <c r="W120" i="44"/>
  <c r="V120" i="44"/>
  <c r="Q120" i="44"/>
  <c r="AO119" i="44"/>
  <c r="AN119" i="44"/>
  <c r="AM119" i="44"/>
  <c r="AL119" i="44"/>
  <c r="AK119" i="44"/>
  <c r="AJ119" i="44"/>
  <c r="AI119" i="44"/>
  <c r="AH119" i="44"/>
  <c r="AG119" i="44"/>
  <c r="AF119" i="44"/>
  <c r="AE119" i="44"/>
  <c r="AD119" i="44"/>
  <c r="AC119" i="44"/>
  <c r="AB119" i="44"/>
  <c r="AA119" i="44"/>
  <c r="Z119" i="44"/>
  <c r="Y119" i="44"/>
  <c r="X119" i="44"/>
  <c r="V119" i="44"/>
  <c r="Q119" i="44"/>
  <c r="AO118" i="44"/>
  <c r="AN118" i="44"/>
  <c r="AM118" i="44"/>
  <c r="AL118" i="44"/>
  <c r="AK118" i="44"/>
  <c r="AJ118" i="44"/>
  <c r="AI118" i="44"/>
  <c r="AH118" i="44"/>
  <c r="AG118" i="44"/>
  <c r="AF118" i="44"/>
  <c r="AE118" i="44"/>
  <c r="AD118" i="44"/>
  <c r="AC118" i="44"/>
  <c r="AB118" i="44"/>
  <c r="AA118" i="44"/>
  <c r="Z118" i="44"/>
  <c r="Y118" i="44"/>
  <c r="X118" i="44"/>
  <c r="V118" i="44"/>
  <c r="Q118" i="44"/>
  <c r="AO117" i="44"/>
  <c r="AN117" i="44"/>
  <c r="AM117" i="44"/>
  <c r="AL117" i="44"/>
  <c r="AK117" i="44"/>
  <c r="AJ117" i="44"/>
  <c r="AI117" i="44"/>
  <c r="AH117" i="44"/>
  <c r="AG117" i="44"/>
  <c r="AF117" i="44"/>
  <c r="AE117" i="44"/>
  <c r="AD117" i="44"/>
  <c r="AC117" i="44"/>
  <c r="AB117" i="44"/>
  <c r="AA117" i="44"/>
  <c r="Z117" i="44"/>
  <c r="Y117" i="44"/>
  <c r="X117" i="44"/>
  <c r="V117" i="44"/>
  <c r="Q117" i="44"/>
  <c r="AO116" i="44"/>
  <c r="AN116" i="44"/>
  <c r="AM116" i="44"/>
  <c r="AL116" i="44"/>
  <c r="AK116" i="44"/>
  <c r="AJ116" i="44"/>
  <c r="AI116" i="44"/>
  <c r="AH116" i="44"/>
  <c r="AG116" i="44"/>
  <c r="AF116" i="44"/>
  <c r="AE116" i="44"/>
  <c r="AD116" i="44"/>
  <c r="AC116" i="44"/>
  <c r="AB116" i="44"/>
  <c r="AA116" i="44"/>
  <c r="Z116" i="44"/>
  <c r="Y116" i="44"/>
  <c r="X116" i="44"/>
  <c r="V116" i="44"/>
  <c r="AO115" i="44"/>
  <c r="AN115" i="44"/>
  <c r="AM115" i="44"/>
  <c r="AL115" i="44"/>
  <c r="AK115" i="44"/>
  <c r="AJ115" i="44"/>
  <c r="AI115" i="44"/>
  <c r="AH115" i="44"/>
  <c r="AG115" i="44"/>
  <c r="AF115" i="44"/>
  <c r="AE115" i="44"/>
  <c r="AD115" i="44"/>
  <c r="AC115" i="44"/>
  <c r="AB115" i="44"/>
  <c r="AA115" i="44"/>
  <c r="Z115" i="44"/>
  <c r="Y115" i="44"/>
  <c r="X115" i="44"/>
  <c r="W115" i="44"/>
  <c r="V115" i="44"/>
  <c r="AO114" i="44"/>
  <c r="AN114" i="44"/>
  <c r="AM114" i="44"/>
  <c r="AL114" i="44"/>
  <c r="AK114" i="44"/>
  <c r="AJ114" i="44"/>
  <c r="AI114" i="44"/>
  <c r="AH114" i="44"/>
  <c r="AG114" i="44"/>
  <c r="AF114" i="44"/>
  <c r="AE114" i="44"/>
  <c r="AD114" i="44"/>
  <c r="AC114" i="44"/>
  <c r="AB114" i="44"/>
  <c r="AA114" i="44"/>
  <c r="Z114" i="44"/>
  <c r="Y114" i="44"/>
  <c r="X114" i="44"/>
  <c r="W114" i="44"/>
  <c r="V114" i="44"/>
  <c r="AO113" i="44"/>
  <c r="AN113" i="44"/>
  <c r="AM113" i="44"/>
  <c r="AL113" i="44"/>
  <c r="AK113" i="44"/>
  <c r="AJ113" i="44"/>
  <c r="AI113" i="44"/>
  <c r="AH113" i="44"/>
  <c r="AG113" i="44"/>
  <c r="AF113" i="44"/>
  <c r="AE113" i="44"/>
  <c r="AD113" i="44"/>
  <c r="AC113" i="44"/>
  <c r="AB113" i="44"/>
  <c r="AA113" i="44"/>
  <c r="Z113" i="44"/>
  <c r="Y113" i="44"/>
  <c r="X113" i="44"/>
  <c r="W113" i="44"/>
  <c r="V113" i="44"/>
  <c r="AO112" i="44"/>
  <c r="AN112" i="44"/>
  <c r="AM112" i="44"/>
  <c r="AL112" i="44"/>
  <c r="AK112" i="44"/>
  <c r="AJ112" i="44"/>
  <c r="AI112" i="44"/>
  <c r="AH112" i="44"/>
  <c r="AG112" i="44"/>
  <c r="AF112" i="44"/>
  <c r="AE112" i="44"/>
  <c r="AD112" i="44"/>
  <c r="AC112" i="44"/>
  <c r="AB112" i="44"/>
  <c r="AA112" i="44"/>
  <c r="Z112" i="44"/>
  <c r="Y112" i="44"/>
  <c r="X112" i="44"/>
  <c r="V112" i="44"/>
  <c r="AO111" i="44"/>
  <c r="AN111" i="44"/>
  <c r="AM111" i="44"/>
  <c r="AL111" i="44"/>
  <c r="AK111" i="44"/>
  <c r="AJ111" i="44"/>
  <c r="AI111" i="44"/>
  <c r="AH111" i="44"/>
  <c r="AG111" i="44"/>
  <c r="AF111" i="44"/>
  <c r="AE111" i="44"/>
  <c r="AD111" i="44"/>
  <c r="AC111" i="44"/>
  <c r="AB111" i="44"/>
  <c r="AA111" i="44"/>
  <c r="Z111" i="44"/>
  <c r="Y111" i="44"/>
  <c r="X111" i="44"/>
  <c r="V111" i="44"/>
  <c r="AO110" i="44"/>
  <c r="AN110" i="44"/>
  <c r="AM110" i="44"/>
  <c r="AL110" i="44"/>
  <c r="AK110" i="44"/>
  <c r="AJ110" i="44"/>
  <c r="AI110" i="44"/>
  <c r="AH110" i="44"/>
  <c r="AG110" i="44"/>
  <c r="AF110" i="44"/>
  <c r="AE110" i="44"/>
  <c r="AD110" i="44"/>
  <c r="AC110" i="44"/>
  <c r="AB110" i="44"/>
  <c r="AA110" i="44"/>
  <c r="Z110" i="44"/>
  <c r="Y110" i="44"/>
  <c r="X110" i="44"/>
  <c r="V110" i="44"/>
  <c r="AO109" i="44"/>
  <c r="AN109" i="44"/>
  <c r="AM109" i="44"/>
  <c r="AL109" i="44"/>
  <c r="AK109" i="44"/>
  <c r="AJ109" i="44"/>
  <c r="AI109" i="44"/>
  <c r="AH109" i="44"/>
  <c r="AG109" i="44"/>
  <c r="AF109" i="44"/>
  <c r="AE109" i="44"/>
  <c r="AD109" i="44"/>
  <c r="AC109" i="44"/>
  <c r="AB109" i="44"/>
  <c r="AA109" i="44"/>
  <c r="Z109" i="44"/>
  <c r="Y109" i="44"/>
  <c r="X109" i="44"/>
  <c r="V109" i="44"/>
  <c r="AO108" i="44"/>
  <c r="AN108" i="44"/>
  <c r="AM108" i="44"/>
  <c r="AL108" i="44"/>
  <c r="AK108" i="44"/>
  <c r="AJ108" i="44"/>
  <c r="AI108" i="44"/>
  <c r="AH108" i="44"/>
  <c r="AG108" i="44"/>
  <c r="AF108" i="44"/>
  <c r="AE108" i="44"/>
  <c r="AD108" i="44"/>
  <c r="AC108" i="44"/>
  <c r="AB108" i="44"/>
  <c r="AA108" i="44"/>
  <c r="Z108" i="44"/>
  <c r="Y108" i="44"/>
  <c r="X108" i="44"/>
  <c r="V108" i="44"/>
  <c r="AO107" i="44"/>
  <c r="AN107" i="44"/>
  <c r="AM107" i="44"/>
  <c r="AL107" i="44"/>
  <c r="AK107" i="44"/>
  <c r="AJ107" i="44"/>
  <c r="AI107" i="44"/>
  <c r="AH107" i="44"/>
  <c r="AG107" i="44"/>
  <c r="AF107" i="44"/>
  <c r="AE107" i="44"/>
  <c r="AD107" i="44"/>
  <c r="AC107" i="44"/>
  <c r="AB107" i="44"/>
  <c r="AA107" i="44"/>
  <c r="Z107" i="44"/>
  <c r="Y107" i="44"/>
  <c r="X107" i="44"/>
  <c r="V107" i="44"/>
  <c r="AO106" i="44"/>
  <c r="AN106" i="44"/>
  <c r="AM106" i="44"/>
  <c r="AL106" i="44"/>
  <c r="AK106" i="44"/>
  <c r="AJ106" i="44"/>
  <c r="AI106" i="44"/>
  <c r="AH106" i="44"/>
  <c r="AG106" i="44"/>
  <c r="AF106" i="44"/>
  <c r="AE106" i="44"/>
  <c r="AD106" i="44"/>
  <c r="AC106" i="44"/>
  <c r="AB106" i="44"/>
  <c r="AA106" i="44"/>
  <c r="Z106" i="44"/>
  <c r="Y106" i="44"/>
  <c r="X106" i="44"/>
  <c r="V106" i="44"/>
  <c r="AO105" i="44"/>
  <c r="AN105" i="44"/>
  <c r="AM105" i="44"/>
  <c r="AL105" i="44"/>
  <c r="AK105" i="44"/>
  <c r="AJ105" i="44"/>
  <c r="AI105" i="44"/>
  <c r="AH105" i="44"/>
  <c r="AG105" i="44"/>
  <c r="AF105" i="44"/>
  <c r="AE105" i="44"/>
  <c r="AD105" i="44"/>
  <c r="AC105" i="44"/>
  <c r="AB105" i="44"/>
  <c r="AA105" i="44"/>
  <c r="Z105" i="44"/>
  <c r="Y105" i="44"/>
  <c r="X105" i="44"/>
  <c r="V105" i="44"/>
  <c r="AO104" i="44"/>
  <c r="AN104" i="44"/>
  <c r="AM104" i="44"/>
  <c r="AL104" i="44"/>
  <c r="AK104" i="44"/>
  <c r="AJ104" i="44"/>
  <c r="AI104" i="44"/>
  <c r="AH104" i="44"/>
  <c r="AG104" i="44"/>
  <c r="AF104" i="44"/>
  <c r="AE104" i="44"/>
  <c r="AD104" i="44"/>
  <c r="AC104" i="44"/>
  <c r="AB104" i="44"/>
  <c r="AA104" i="44"/>
  <c r="Z104" i="44"/>
  <c r="Y104" i="44"/>
  <c r="X104" i="44"/>
  <c r="W104" i="44"/>
  <c r="V104" i="44"/>
  <c r="AO103" i="44"/>
  <c r="AN103" i="44"/>
  <c r="AM103" i="44"/>
  <c r="AL103" i="44"/>
  <c r="AK103" i="44"/>
  <c r="AJ103" i="44"/>
  <c r="AI103" i="44"/>
  <c r="AH103" i="44"/>
  <c r="AG103" i="44"/>
  <c r="AF103" i="44"/>
  <c r="AE103" i="44"/>
  <c r="AD103" i="44"/>
  <c r="AC103" i="44"/>
  <c r="AB103" i="44"/>
  <c r="AA103" i="44"/>
  <c r="Z103" i="44"/>
  <c r="Y103" i="44"/>
  <c r="X103" i="44"/>
  <c r="V103" i="44"/>
  <c r="AO102" i="44"/>
  <c r="AN102" i="44"/>
  <c r="AM102" i="44"/>
  <c r="AL102" i="44"/>
  <c r="AK102" i="44"/>
  <c r="AJ102" i="44"/>
  <c r="AI102" i="44"/>
  <c r="AH102" i="44"/>
  <c r="AG102" i="44"/>
  <c r="AF102" i="44"/>
  <c r="AE102" i="44"/>
  <c r="AD102" i="44"/>
  <c r="AC102" i="44"/>
  <c r="AB102" i="44"/>
  <c r="AA102" i="44"/>
  <c r="Z102" i="44"/>
  <c r="Y102" i="44"/>
  <c r="X102" i="44"/>
  <c r="W102" i="44"/>
  <c r="V102" i="44"/>
  <c r="AO101" i="44"/>
  <c r="AN101" i="44"/>
  <c r="AM101" i="44"/>
  <c r="AL101" i="44"/>
  <c r="AK101" i="44"/>
  <c r="AJ101" i="44"/>
  <c r="AI101" i="44"/>
  <c r="AH101" i="44"/>
  <c r="AG101" i="44"/>
  <c r="AF101" i="44"/>
  <c r="AE101" i="44"/>
  <c r="AD101" i="44"/>
  <c r="AC101" i="44"/>
  <c r="AB101" i="44"/>
  <c r="AA101" i="44"/>
  <c r="Z101" i="44"/>
  <c r="Y101" i="44"/>
  <c r="X101" i="44"/>
  <c r="V101" i="44"/>
  <c r="AO100" i="44"/>
  <c r="AN100" i="44"/>
  <c r="AM100" i="44"/>
  <c r="AL100" i="44"/>
  <c r="AK100" i="44"/>
  <c r="AJ100" i="44"/>
  <c r="AI100" i="44"/>
  <c r="AH100" i="44"/>
  <c r="AG100" i="44"/>
  <c r="AF100" i="44"/>
  <c r="AE100" i="44"/>
  <c r="AD100" i="44"/>
  <c r="AC100" i="44"/>
  <c r="AB100" i="44"/>
  <c r="AA100" i="44"/>
  <c r="Z100" i="44"/>
  <c r="Y100" i="44"/>
  <c r="X100" i="44"/>
  <c r="V100" i="44"/>
  <c r="AA95" i="44"/>
  <c r="Y95" i="44"/>
  <c r="AC94" i="44"/>
  <c r="AB94" i="44"/>
  <c r="AA94" i="44"/>
  <c r="X94" i="44"/>
  <c r="W94" i="44"/>
  <c r="V94" i="44"/>
  <c r="AC93" i="44"/>
  <c r="AA93" i="44"/>
  <c r="Y93" i="44"/>
  <c r="W93" i="44"/>
  <c r="AA92" i="44"/>
  <c r="Y92" i="44"/>
  <c r="AC91" i="44"/>
  <c r="Z91" i="44"/>
  <c r="W91" i="44"/>
  <c r="Y90" i="44"/>
  <c r="W90" i="44"/>
  <c r="AB89" i="44"/>
  <c r="AA89" i="44"/>
  <c r="Y89" i="44"/>
  <c r="AC88" i="44"/>
  <c r="AA88" i="44"/>
  <c r="W88" i="44"/>
  <c r="V88" i="44"/>
  <c r="AC87" i="44"/>
  <c r="Y87" i="44"/>
  <c r="Z82" i="44"/>
  <c r="Y82" i="44"/>
  <c r="X82" i="44"/>
  <c r="W82" i="44"/>
  <c r="V82" i="44"/>
  <c r="Z81" i="44"/>
  <c r="Y81" i="44"/>
  <c r="X81" i="44"/>
  <c r="W81" i="44"/>
  <c r="V81" i="44"/>
  <c r="Z80" i="44"/>
  <c r="Y80" i="44"/>
  <c r="X80" i="44"/>
  <c r="W80" i="44"/>
  <c r="V80" i="44"/>
  <c r="Z79" i="44"/>
  <c r="Y79" i="44"/>
  <c r="X79" i="44"/>
  <c r="W79" i="44"/>
  <c r="V79" i="44"/>
  <c r="Z78" i="44"/>
  <c r="Y78" i="44"/>
  <c r="X78" i="44"/>
  <c r="W78" i="44"/>
  <c r="V78" i="44"/>
  <c r="Z77" i="44"/>
  <c r="Y77" i="44"/>
  <c r="X77" i="44"/>
  <c r="W77" i="44"/>
  <c r="V77" i="44"/>
  <c r="Z76" i="44"/>
  <c r="Y76" i="44"/>
  <c r="X76" i="44"/>
  <c r="W76" i="44"/>
  <c r="V76" i="44"/>
  <c r="Z75" i="44"/>
  <c r="Y75" i="44"/>
  <c r="X75" i="44"/>
  <c r="V75" i="44"/>
  <c r="Z74" i="44"/>
  <c r="Y74" i="44"/>
  <c r="X74" i="44"/>
  <c r="W74" i="44"/>
  <c r="V74" i="44"/>
  <c r="Z73" i="44"/>
  <c r="Y73" i="44"/>
  <c r="X73" i="44"/>
  <c r="W73" i="44"/>
  <c r="V73" i="44"/>
  <c r="Z68" i="44"/>
  <c r="Y68" i="44"/>
  <c r="X68" i="44"/>
  <c r="W68" i="44"/>
  <c r="V68" i="44"/>
  <c r="Z67" i="44"/>
  <c r="Y67" i="44"/>
  <c r="X67" i="44"/>
  <c r="W67" i="44"/>
  <c r="V67" i="44"/>
  <c r="Z66" i="44"/>
  <c r="Y66" i="44"/>
  <c r="X66" i="44"/>
  <c r="V66" i="44"/>
  <c r="Z65" i="44"/>
  <c r="Y65" i="44"/>
  <c r="X65" i="44"/>
  <c r="W65" i="44"/>
  <c r="V65" i="44"/>
  <c r="Z64" i="44"/>
  <c r="Y64" i="44"/>
  <c r="X64" i="44"/>
  <c r="W64" i="44"/>
  <c r="V64" i="44"/>
  <c r="Z63" i="44"/>
  <c r="Y63" i="44"/>
  <c r="X63" i="44"/>
  <c r="W63" i="44"/>
  <c r="V63" i="44"/>
  <c r="Z62" i="44"/>
  <c r="Y62" i="44"/>
  <c r="X62" i="44"/>
  <c r="W62" i="44"/>
  <c r="V62" i="44"/>
  <c r="Z61" i="44"/>
  <c r="Y61" i="44"/>
  <c r="X61" i="44"/>
  <c r="W61" i="44"/>
  <c r="V61" i="44"/>
  <c r="Z60" i="44"/>
  <c r="Y60" i="44"/>
  <c r="X60" i="44"/>
  <c r="W60" i="44"/>
  <c r="V60" i="44"/>
  <c r="Z59" i="44"/>
  <c r="Y59" i="44"/>
  <c r="X59" i="44"/>
  <c r="W59" i="44"/>
  <c r="V59" i="44"/>
  <c r="Z58" i="44"/>
  <c r="Y58" i="44"/>
  <c r="X58" i="44"/>
  <c r="W58" i="44"/>
  <c r="V58" i="44"/>
  <c r="Z57" i="44"/>
  <c r="Y57" i="44"/>
  <c r="X57" i="44"/>
  <c r="W57" i="44"/>
  <c r="V57" i="44"/>
  <c r="Z56" i="44"/>
  <c r="Y56" i="44"/>
  <c r="X56" i="44"/>
  <c r="W56" i="44"/>
  <c r="V56" i="44"/>
  <c r="AC47" i="44"/>
  <c r="AC46" i="44"/>
  <c r="AE45" i="44"/>
  <c r="AC45" i="44"/>
  <c r="AE46" i="44" s="1"/>
  <c r="J38" i="44" s="1"/>
  <c r="B45" i="44"/>
  <c r="AP44" i="44"/>
  <c r="B94" i="44" s="1"/>
  <c r="AP43" i="44"/>
  <c r="B91" i="44" s="1"/>
  <c r="AP42" i="44"/>
  <c r="B88" i="44" s="1"/>
  <c r="X42" i="44"/>
  <c r="AP41" i="44"/>
  <c r="B85" i="44" s="1"/>
  <c r="X41" i="44"/>
  <c r="AP40" i="44"/>
  <c r="B82" i="44" s="1"/>
  <c r="X40" i="44"/>
  <c r="X39" i="44"/>
  <c r="X38" i="44"/>
  <c r="B38" i="44"/>
  <c r="AK37" i="44"/>
  <c r="AU59" i="44" s="1"/>
  <c r="X37" i="44"/>
  <c r="AL36" i="44"/>
  <c r="AK36" i="44"/>
  <c r="AU58" i="44" s="1"/>
  <c r="X36" i="44"/>
  <c r="AL35" i="44"/>
  <c r="AK35" i="44"/>
  <c r="AU57" i="44" s="1"/>
  <c r="X35" i="44"/>
  <c r="Q35" i="44"/>
  <c r="P35" i="44"/>
  <c r="O35" i="44" s="1"/>
  <c r="E18" i="44" s="1"/>
  <c r="AL34" i="44"/>
  <c r="AK34" i="44"/>
  <c r="AU56" i="44" s="1"/>
  <c r="X34" i="44"/>
  <c r="AL33" i="44"/>
  <c r="AK33" i="44"/>
  <c r="AU55" i="44" s="1"/>
  <c r="X33" i="44"/>
  <c r="AL32" i="44"/>
  <c r="AK32" i="44"/>
  <c r="AU54" i="44" s="1"/>
  <c r="X32" i="44"/>
  <c r="AL31" i="44"/>
  <c r="AK31" i="44"/>
  <c r="AU53" i="44" s="1"/>
  <c r="AG31" i="44"/>
  <c r="X31" i="44"/>
  <c r="AL30" i="44"/>
  <c r="AK30" i="44"/>
  <c r="AU52" i="44" s="1"/>
  <c r="X30" i="44"/>
  <c r="B30" i="44"/>
  <c r="AQ27" i="44" s="1"/>
  <c r="AQ29" i="44"/>
  <c r="AL29" i="44"/>
  <c r="AK29" i="44"/>
  <c r="AU51" i="44" s="1"/>
  <c r="X29" i="44"/>
  <c r="X28" i="44"/>
  <c r="B27" i="44"/>
  <c r="P25" i="44"/>
  <c r="P24" i="44" s="1"/>
  <c r="G20" i="44" s="1"/>
  <c r="G24" i="44"/>
  <c r="E24" i="44"/>
  <c r="C24" i="44"/>
  <c r="AB23" i="44"/>
  <c r="AA23" i="44"/>
  <c r="Z23" i="44"/>
  <c r="AC23" i="44" s="1"/>
  <c r="Y23" i="44"/>
  <c r="I23" i="44"/>
  <c r="G23" i="44"/>
  <c r="E23" i="44"/>
  <c r="C23" i="44"/>
  <c r="AB22" i="44"/>
  <c r="AA22" i="44"/>
  <c r="AC22" i="44" s="1"/>
  <c r="Z22" i="44"/>
  <c r="Y22" i="44"/>
  <c r="AD22" i="44" s="1"/>
  <c r="AB39" i="44" s="1"/>
  <c r="I22" i="44"/>
  <c r="G22" i="44"/>
  <c r="E22" i="44"/>
  <c r="C22" i="44"/>
  <c r="I21" i="44"/>
  <c r="G21" i="44"/>
  <c r="E21" i="44"/>
  <c r="C21" i="44"/>
  <c r="AQ20" i="44"/>
  <c r="AI20" i="44"/>
  <c r="I20" i="44"/>
  <c r="AQ19" i="44"/>
  <c r="B69" i="44" s="1"/>
  <c r="AQ35" i="44" s="1"/>
  <c r="AI19" i="44"/>
  <c r="AQ18" i="44"/>
  <c r="B66" i="44" s="1"/>
  <c r="AQ34" i="44" s="1"/>
  <c r="AJ18" i="44"/>
  <c r="AK18" i="44" s="1"/>
  <c r="AV26" i="44" s="1"/>
  <c r="AI18" i="44"/>
  <c r="I18" i="44"/>
  <c r="AI17" i="44"/>
  <c r="AI16" i="44"/>
  <c r="AI15" i="44"/>
  <c r="AJ15" i="44" s="1"/>
  <c r="AK15" i="44" s="1"/>
  <c r="AU26" i="44" s="1"/>
  <c r="AQ14" i="44"/>
  <c r="B63" i="44" s="1"/>
  <c r="AQ33" i="44" s="1"/>
  <c r="AI14" i="44"/>
  <c r="I14" i="44"/>
  <c r="AQ13" i="44"/>
  <c r="B60" i="44" s="1"/>
  <c r="AQ32" i="44" s="1"/>
  <c r="AI13" i="44"/>
  <c r="AQ12" i="44"/>
  <c r="B57" i="44" s="1"/>
  <c r="AQ31" i="44" s="1"/>
  <c r="AJ12" i="44"/>
  <c r="AK12" i="44" s="1"/>
  <c r="AT26" i="44" s="1"/>
  <c r="AI12" i="44"/>
  <c r="AI11" i="44"/>
  <c r="AB11" i="44"/>
  <c r="AA11" i="44"/>
  <c r="Z11" i="44"/>
  <c r="AC11" i="44" s="1"/>
  <c r="Y11" i="44"/>
  <c r="AI10" i="44"/>
  <c r="AB10" i="44"/>
  <c r="AA10" i="44"/>
  <c r="Z10" i="44"/>
  <c r="AC10" i="44" s="1"/>
  <c r="Y10" i="44"/>
  <c r="AJ9" i="44"/>
  <c r="AI9" i="44"/>
  <c r="AB9" i="44"/>
  <c r="AA9" i="44"/>
  <c r="Z9" i="44"/>
  <c r="AC9" i="44" s="1"/>
  <c r="Y9" i="44"/>
  <c r="AQ8" i="44"/>
  <c r="B54" i="44" s="1"/>
  <c r="AQ30" i="44" s="1"/>
  <c r="AC8" i="44"/>
  <c r="AB8" i="44"/>
  <c r="AA8" i="44"/>
  <c r="Z8" i="44"/>
  <c r="Y8" i="44"/>
  <c r="AD8" i="44" s="1"/>
  <c r="AB36" i="44" s="1"/>
  <c r="AQ7" i="44"/>
  <c r="B51" i="44" s="1"/>
  <c r="AQ6" i="44"/>
  <c r="B48" i="44" s="1"/>
  <c r="AQ28" i="44" s="1"/>
  <c r="V46" i="43"/>
  <c r="AD31" i="43"/>
  <c r="AD32" i="43"/>
  <c r="AD30" i="43"/>
  <c r="AA215" i="43"/>
  <c r="V214" i="43"/>
  <c r="V213" i="43"/>
  <c r="V212" i="43"/>
  <c r="V211" i="43"/>
  <c r="V210" i="43"/>
  <c r="V209" i="43"/>
  <c r="V208" i="43"/>
  <c r="V207" i="43"/>
  <c r="V206" i="43"/>
  <c r="V205" i="43"/>
  <c r="V204" i="43"/>
  <c r="V203" i="43"/>
  <c r="V202" i="43"/>
  <c r="V201" i="43"/>
  <c r="V200" i="43"/>
  <c r="V199" i="43"/>
  <c r="V198" i="43"/>
  <c r="V197" i="43"/>
  <c r="V196" i="43"/>
  <c r="V195" i="43"/>
  <c r="V194" i="43"/>
  <c r="V193" i="43"/>
  <c r="V192" i="43"/>
  <c r="V191" i="43"/>
  <c r="V190" i="43"/>
  <c r="V189" i="43"/>
  <c r="V188" i="43"/>
  <c r="AO179" i="43"/>
  <c r="AN179" i="43"/>
  <c r="AM179" i="43"/>
  <c r="AL179" i="43"/>
  <c r="AK179" i="43"/>
  <c r="AJ179" i="43"/>
  <c r="AI179" i="43"/>
  <c r="AH179" i="43"/>
  <c r="AG179" i="43"/>
  <c r="AF179" i="43"/>
  <c r="AE179" i="43"/>
  <c r="AD179" i="43"/>
  <c r="AC179" i="43"/>
  <c r="AB179" i="43"/>
  <c r="AA179" i="43"/>
  <c r="Z179" i="43"/>
  <c r="Y179" i="43"/>
  <c r="X179" i="43"/>
  <c r="W179" i="43"/>
  <c r="V179" i="43"/>
  <c r="AO178" i="43"/>
  <c r="AN178" i="43"/>
  <c r="AM178" i="43"/>
  <c r="AL178" i="43"/>
  <c r="AK178" i="43"/>
  <c r="AJ178" i="43"/>
  <c r="AI178" i="43"/>
  <c r="AH178" i="43"/>
  <c r="AG178" i="43"/>
  <c r="AF178" i="43"/>
  <c r="AE178" i="43"/>
  <c r="AD178" i="43"/>
  <c r="AC178" i="43"/>
  <c r="AB178" i="43"/>
  <c r="AA178" i="43"/>
  <c r="Z178" i="43"/>
  <c r="Y178" i="43"/>
  <c r="X178" i="43"/>
  <c r="W178" i="43"/>
  <c r="V178" i="43"/>
  <c r="AO177" i="43"/>
  <c r="AN177" i="43"/>
  <c r="AM177" i="43"/>
  <c r="AL177" i="43"/>
  <c r="AK177" i="43"/>
  <c r="AJ177" i="43"/>
  <c r="AI177" i="43"/>
  <c r="AH177" i="43"/>
  <c r="AG177" i="43"/>
  <c r="AF177" i="43"/>
  <c r="AE177" i="43"/>
  <c r="AD177" i="43"/>
  <c r="AC177" i="43"/>
  <c r="AB177" i="43"/>
  <c r="AA177" i="43"/>
  <c r="Z177" i="43"/>
  <c r="Y177" i="43"/>
  <c r="X177" i="43"/>
  <c r="W177" i="43"/>
  <c r="V177" i="43"/>
  <c r="AO176" i="43"/>
  <c r="AN176" i="43"/>
  <c r="AM176" i="43"/>
  <c r="AL176" i="43"/>
  <c r="AK176" i="43"/>
  <c r="AJ176" i="43"/>
  <c r="AI176" i="43"/>
  <c r="AH176" i="43"/>
  <c r="AG176" i="43"/>
  <c r="AF176" i="43"/>
  <c r="AE176" i="43"/>
  <c r="AD176" i="43"/>
  <c r="AC176" i="43"/>
  <c r="AB176" i="43"/>
  <c r="AA176" i="43"/>
  <c r="Z176" i="43"/>
  <c r="Y176" i="43"/>
  <c r="X176" i="43"/>
  <c r="V176" i="43"/>
  <c r="AO175" i="43"/>
  <c r="AN175" i="43"/>
  <c r="AM175" i="43"/>
  <c r="AL175" i="43"/>
  <c r="AK175" i="43"/>
  <c r="AJ175" i="43"/>
  <c r="AI175" i="43"/>
  <c r="AH175" i="43"/>
  <c r="AG175" i="43"/>
  <c r="AF175" i="43"/>
  <c r="AE175" i="43"/>
  <c r="AD175" i="43"/>
  <c r="AC175" i="43"/>
  <c r="AB175" i="43"/>
  <c r="AA175" i="43"/>
  <c r="Z175" i="43"/>
  <c r="Y175" i="43"/>
  <c r="X175" i="43"/>
  <c r="V175" i="43"/>
  <c r="AO174" i="43"/>
  <c r="AN174" i="43"/>
  <c r="AM174" i="43"/>
  <c r="AL174" i="43"/>
  <c r="AK174" i="43"/>
  <c r="AJ174" i="43"/>
  <c r="AI174" i="43"/>
  <c r="AH174" i="43"/>
  <c r="AG174" i="43"/>
  <c r="AF174" i="43"/>
  <c r="AE174" i="43"/>
  <c r="AD174" i="43"/>
  <c r="AC174" i="43"/>
  <c r="AB174" i="43"/>
  <c r="AA174" i="43"/>
  <c r="Z174" i="43"/>
  <c r="Y174" i="43"/>
  <c r="X174" i="43"/>
  <c r="V174" i="43"/>
  <c r="AO173" i="43"/>
  <c r="AN173" i="43"/>
  <c r="AM173" i="43"/>
  <c r="AL173" i="43"/>
  <c r="AK173" i="43"/>
  <c r="AJ173" i="43"/>
  <c r="AI173" i="43"/>
  <c r="AH173" i="43"/>
  <c r="AG173" i="43"/>
  <c r="AF173" i="43"/>
  <c r="AE173" i="43"/>
  <c r="AD173" i="43"/>
  <c r="AC173" i="43"/>
  <c r="AB173" i="43"/>
  <c r="AA173" i="43"/>
  <c r="Z173" i="43"/>
  <c r="Y173" i="43"/>
  <c r="X173" i="43"/>
  <c r="V173" i="43"/>
  <c r="AO172" i="43"/>
  <c r="AN172" i="43"/>
  <c r="AM172" i="43"/>
  <c r="AL172" i="43"/>
  <c r="AK172" i="43"/>
  <c r="AJ172" i="43"/>
  <c r="AI172" i="43"/>
  <c r="AH172" i="43"/>
  <c r="AG172" i="43"/>
  <c r="AF172" i="43"/>
  <c r="AE172" i="43"/>
  <c r="AD172" i="43"/>
  <c r="AC172" i="43"/>
  <c r="AB172" i="43"/>
  <c r="AA172" i="43"/>
  <c r="Z172" i="43"/>
  <c r="Y172" i="43"/>
  <c r="X172" i="43"/>
  <c r="W172" i="43"/>
  <c r="V172" i="43"/>
  <c r="AO171" i="43"/>
  <c r="AN171" i="43"/>
  <c r="AM171" i="43"/>
  <c r="AL171" i="43"/>
  <c r="AK171" i="43"/>
  <c r="AJ171" i="43"/>
  <c r="AI171" i="43"/>
  <c r="AH171" i="43"/>
  <c r="AG171" i="43"/>
  <c r="AF171" i="43"/>
  <c r="AE171" i="43"/>
  <c r="AD171" i="43"/>
  <c r="AC171" i="43"/>
  <c r="AB171" i="43"/>
  <c r="AA171" i="43"/>
  <c r="Z171" i="43"/>
  <c r="Y171" i="43"/>
  <c r="X171" i="43"/>
  <c r="V171" i="43"/>
  <c r="AO170" i="43"/>
  <c r="AN170" i="43"/>
  <c r="AM170" i="43"/>
  <c r="AL170" i="43"/>
  <c r="AK170" i="43"/>
  <c r="AJ170" i="43"/>
  <c r="AI170" i="43"/>
  <c r="AH170" i="43"/>
  <c r="AG170" i="43"/>
  <c r="AF170" i="43"/>
  <c r="AE170" i="43"/>
  <c r="AD170" i="43"/>
  <c r="AC170" i="43"/>
  <c r="AB170" i="43"/>
  <c r="AA170" i="43"/>
  <c r="Z170" i="43"/>
  <c r="Y170" i="43"/>
  <c r="X170" i="43"/>
  <c r="V170" i="43"/>
  <c r="AO169" i="43"/>
  <c r="AN169" i="43"/>
  <c r="AM169" i="43"/>
  <c r="AL169" i="43"/>
  <c r="AK169" i="43"/>
  <c r="AJ169" i="43"/>
  <c r="AI169" i="43"/>
  <c r="AH169" i="43"/>
  <c r="AG169" i="43"/>
  <c r="AF169" i="43"/>
  <c r="AE169" i="43"/>
  <c r="AD169" i="43"/>
  <c r="AC169" i="43"/>
  <c r="AB169" i="43"/>
  <c r="AA169" i="43"/>
  <c r="Z169" i="43"/>
  <c r="Y169" i="43"/>
  <c r="X169" i="43"/>
  <c r="W169" i="43"/>
  <c r="V169" i="43"/>
  <c r="AO168" i="43"/>
  <c r="AN168" i="43"/>
  <c r="AM168" i="43"/>
  <c r="AL168" i="43"/>
  <c r="X95" i="43" s="1"/>
  <c r="AK168" i="43"/>
  <c r="AJ168" i="43"/>
  <c r="AI168" i="43"/>
  <c r="AH168" i="43"/>
  <c r="AG168" i="43"/>
  <c r="AF168" i="43"/>
  <c r="AE168" i="43"/>
  <c r="AD168" i="43"/>
  <c r="AD95" i="43" s="1"/>
  <c r="AC168" i="43"/>
  <c r="AC95" i="43" s="1"/>
  <c r="AB168" i="43"/>
  <c r="AB95" i="43" s="1"/>
  <c r="AA168" i="43"/>
  <c r="AA95" i="43" s="1"/>
  <c r="Z168" i="43"/>
  <c r="Z95" i="43" s="1"/>
  <c r="Y168" i="43"/>
  <c r="X168" i="43"/>
  <c r="W168" i="43"/>
  <c r="V168" i="43"/>
  <c r="V95" i="43" s="1"/>
  <c r="AO167" i="43"/>
  <c r="AN167" i="43"/>
  <c r="AM167" i="43"/>
  <c r="AL167" i="43"/>
  <c r="X94" i="43" s="1"/>
  <c r="AK167" i="43"/>
  <c r="AJ167" i="43"/>
  <c r="AI167" i="43"/>
  <c r="AH167" i="43"/>
  <c r="AG167" i="43"/>
  <c r="AF167" i="43"/>
  <c r="AE167" i="43"/>
  <c r="AD167" i="43"/>
  <c r="AD94" i="43" s="1"/>
  <c r="AC167" i="43"/>
  <c r="AC94" i="43" s="1"/>
  <c r="AB167" i="43"/>
  <c r="AA167" i="43"/>
  <c r="AA94" i="43" s="1"/>
  <c r="Z167" i="43"/>
  <c r="Y167" i="43"/>
  <c r="X167" i="43"/>
  <c r="W167" i="43"/>
  <c r="W94" i="43" s="1"/>
  <c r="V167" i="43"/>
  <c r="AO166" i="43"/>
  <c r="AN166" i="43"/>
  <c r="AM166" i="43"/>
  <c r="AL166" i="43"/>
  <c r="X93" i="43" s="1"/>
  <c r="AK166" i="43"/>
  <c r="AJ166" i="43"/>
  <c r="AI166" i="43"/>
  <c r="AH166" i="43"/>
  <c r="AG166" i="43"/>
  <c r="AF166" i="43"/>
  <c r="AE166" i="43"/>
  <c r="AD166" i="43"/>
  <c r="AD93" i="43" s="1"/>
  <c r="AC166" i="43"/>
  <c r="AB166" i="43"/>
  <c r="AB93" i="43" s="1"/>
  <c r="AA166" i="43"/>
  <c r="Z166" i="43"/>
  <c r="Z93" i="43" s="1"/>
  <c r="Y166" i="43"/>
  <c r="Y93" i="43" s="1"/>
  <c r="X166" i="43"/>
  <c r="W166" i="43"/>
  <c r="W93" i="43" s="1"/>
  <c r="V166" i="43"/>
  <c r="V93" i="43" s="1"/>
  <c r="AO165" i="43"/>
  <c r="AN165" i="43"/>
  <c r="AM165" i="43"/>
  <c r="AL165" i="43"/>
  <c r="X92" i="43" s="1"/>
  <c r="AK165" i="43"/>
  <c r="AJ165" i="43"/>
  <c r="AI165" i="43"/>
  <c r="AH165" i="43"/>
  <c r="AG165" i="43"/>
  <c r="AF165" i="43"/>
  <c r="AE165" i="43"/>
  <c r="AD165" i="43"/>
  <c r="AC165" i="43"/>
  <c r="AB165" i="43"/>
  <c r="AA165" i="43"/>
  <c r="Z165" i="43"/>
  <c r="Y165" i="43"/>
  <c r="Y92" i="43" s="1"/>
  <c r="X165" i="43"/>
  <c r="W165" i="43"/>
  <c r="V165" i="43"/>
  <c r="V92" i="43" s="1"/>
  <c r="AO164" i="43"/>
  <c r="AN164" i="43"/>
  <c r="AM164" i="43"/>
  <c r="AL164" i="43"/>
  <c r="AK164" i="43"/>
  <c r="AJ164" i="43"/>
  <c r="AI164" i="43"/>
  <c r="AH164" i="43"/>
  <c r="AG164" i="43"/>
  <c r="AF164" i="43"/>
  <c r="AE164" i="43"/>
  <c r="AD164" i="43"/>
  <c r="AD91" i="43" s="1"/>
  <c r="AC164" i="43"/>
  <c r="AC91" i="43" s="1"/>
  <c r="AB164" i="43"/>
  <c r="AB91" i="43" s="1"/>
  <c r="AA164" i="43"/>
  <c r="AA91" i="43" s="1"/>
  <c r="Z164" i="43"/>
  <c r="Z91" i="43" s="1"/>
  <c r="Y164" i="43"/>
  <c r="Y91" i="43" s="1"/>
  <c r="X164" i="43"/>
  <c r="W164" i="43"/>
  <c r="W91" i="43" s="1"/>
  <c r="V164" i="43"/>
  <c r="V91" i="43" s="1"/>
  <c r="AO163" i="43"/>
  <c r="AN163" i="43"/>
  <c r="AM163" i="43"/>
  <c r="AL163" i="43"/>
  <c r="X90" i="43" s="1"/>
  <c r="AK163" i="43"/>
  <c r="AJ163" i="43"/>
  <c r="AI163" i="43"/>
  <c r="AH163" i="43"/>
  <c r="AG163" i="43"/>
  <c r="AF163" i="43"/>
  <c r="AE163" i="43"/>
  <c r="AD163" i="43"/>
  <c r="AD90" i="43" s="1"/>
  <c r="AC163" i="43"/>
  <c r="AB163" i="43"/>
  <c r="AB90" i="43" s="1"/>
  <c r="AA163" i="43"/>
  <c r="AA90" i="43" s="1"/>
  <c r="Z163" i="43"/>
  <c r="Z90" i="43" s="1"/>
  <c r="Y163" i="43"/>
  <c r="Y90" i="43" s="1"/>
  <c r="X163" i="43"/>
  <c r="W163" i="43"/>
  <c r="W90" i="43" s="1"/>
  <c r="V163" i="43"/>
  <c r="V90" i="43" s="1"/>
  <c r="AO162" i="43"/>
  <c r="AN162" i="43"/>
  <c r="AM162" i="43"/>
  <c r="AL162" i="43"/>
  <c r="X89" i="43" s="1"/>
  <c r="AK162" i="43"/>
  <c r="AJ162" i="43"/>
  <c r="AI162" i="43"/>
  <c r="AH162" i="43"/>
  <c r="AG162" i="43"/>
  <c r="AF162" i="43"/>
  <c r="AE162" i="43"/>
  <c r="AD162" i="43"/>
  <c r="AD89" i="43" s="1"/>
  <c r="AC162" i="43"/>
  <c r="AB162" i="43"/>
  <c r="AB89" i="43" s="1"/>
  <c r="AA162" i="43"/>
  <c r="AA89" i="43" s="1"/>
  <c r="Z162" i="43"/>
  <c r="Z89" i="43" s="1"/>
  <c r="Y162" i="43"/>
  <c r="X162" i="43"/>
  <c r="W162" i="43"/>
  <c r="V162" i="43"/>
  <c r="V89" i="43" s="1"/>
  <c r="AO161" i="43"/>
  <c r="AN161" i="43"/>
  <c r="AM161" i="43"/>
  <c r="AL161" i="43"/>
  <c r="X88" i="43" s="1"/>
  <c r="AK161" i="43"/>
  <c r="AJ161" i="43"/>
  <c r="AI161" i="43"/>
  <c r="AH161" i="43"/>
  <c r="AG161" i="43"/>
  <c r="AF161" i="43"/>
  <c r="AE161" i="43"/>
  <c r="AD161" i="43"/>
  <c r="AD88" i="43" s="1"/>
  <c r="AC161" i="43"/>
  <c r="AC88" i="43" s="1"/>
  <c r="AB161" i="43"/>
  <c r="AA161" i="43"/>
  <c r="Z161" i="43"/>
  <c r="Y161" i="43"/>
  <c r="X161" i="43"/>
  <c r="W161" i="43"/>
  <c r="W88" i="43" s="1"/>
  <c r="V161" i="43"/>
  <c r="AO160" i="43"/>
  <c r="AN160" i="43"/>
  <c r="AM160" i="43"/>
  <c r="AL160" i="43"/>
  <c r="X87" i="43" s="1"/>
  <c r="AK160" i="43"/>
  <c r="AJ160" i="43"/>
  <c r="AI160" i="43"/>
  <c r="AH160" i="43"/>
  <c r="AG160" i="43"/>
  <c r="AF160" i="43"/>
  <c r="AE160" i="43"/>
  <c r="AD160" i="43"/>
  <c r="AC160" i="43"/>
  <c r="AB160" i="43"/>
  <c r="AB87" i="43" s="1"/>
  <c r="AA160" i="43"/>
  <c r="Z160" i="43"/>
  <c r="Z87" i="43" s="1"/>
  <c r="Y160" i="43"/>
  <c r="Y87" i="43" s="1"/>
  <c r="X160" i="43"/>
  <c r="V160" i="43"/>
  <c r="AO159" i="43"/>
  <c r="AN159" i="43"/>
  <c r="AM159" i="43"/>
  <c r="AL159" i="43"/>
  <c r="AK159" i="43"/>
  <c r="AJ159" i="43"/>
  <c r="AI159" i="43"/>
  <c r="AH159" i="43"/>
  <c r="AG159" i="43"/>
  <c r="AF159" i="43"/>
  <c r="AE159" i="43"/>
  <c r="AD159" i="43"/>
  <c r="AC159" i="43"/>
  <c r="AB159" i="43"/>
  <c r="AA159" i="43"/>
  <c r="Z159" i="43"/>
  <c r="Y159" i="43"/>
  <c r="X159" i="43"/>
  <c r="W159" i="43"/>
  <c r="V159" i="43"/>
  <c r="AO158" i="43"/>
  <c r="AN158" i="43"/>
  <c r="AM158" i="43"/>
  <c r="AL158" i="43"/>
  <c r="AK158" i="43"/>
  <c r="AJ158" i="43"/>
  <c r="AI158" i="43"/>
  <c r="AH158" i="43"/>
  <c r="AG158" i="43"/>
  <c r="AF158" i="43"/>
  <c r="AE158" i="43"/>
  <c r="AD158" i="43"/>
  <c r="AC158" i="43"/>
  <c r="AB158" i="43"/>
  <c r="AA158" i="43"/>
  <c r="Z158" i="43"/>
  <c r="Y158" i="43"/>
  <c r="X158" i="43"/>
  <c r="W158" i="43"/>
  <c r="V158" i="43"/>
  <c r="AO157" i="43"/>
  <c r="AN157" i="43"/>
  <c r="AM157" i="43"/>
  <c r="AL157" i="43"/>
  <c r="AK157" i="43"/>
  <c r="AJ157" i="43"/>
  <c r="AI157" i="43"/>
  <c r="AH157" i="43"/>
  <c r="AG157" i="43"/>
  <c r="AF157" i="43"/>
  <c r="AE157" i="43"/>
  <c r="AD157" i="43"/>
  <c r="AC157" i="43"/>
  <c r="AB157" i="43"/>
  <c r="AA157" i="43"/>
  <c r="Z157" i="43"/>
  <c r="Y157" i="43"/>
  <c r="X157" i="43"/>
  <c r="W157" i="43"/>
  <c r="V157" i="43"/>
  <c r="AO156" i="43"/>
  <c r="AN156" i="43"/>
  <c r="AM156" i="43"/>
  <c r="AL156" i="43"/>
  <c r="AK156" i="43"/>
  <c r="AJ156" i="43"/>
  <c r="AI156" i="43"/>
  <c r="AH156" i="43"/>
  <c r="AG156" i="43"/>
  <c r="AF156" i="43"/>
  <c r="AE156" i="43"/>
  <c r="AD156" i="43"/>
  <c r="AC156" i="43"/>
  <c r="AB156" i="43"/>
  <c r="AA156" i="43"/>
  <c r="Z156" i="43"/>
  <c r="Y156" i="43"/>
  <c r="X156" i="43"/>
  <c r="W156" i="43"/>
  <c r="V156" i="43"/>
  <c r="AO155" i="43"/>
  <c r="AN155" i="43"/>
  <c r="AM155" i="43"/>
  <c r="AL155" i="43"/>
  <c r="AK155" i="43"/>
  <c r="AJ155" i="43"/>
  <c r="AI155" i="43"/>
  <c r="AH155" i="43"/>
  <c r="AG155" i="43"/>
  <c r="AF155" i="43"/>
  <c r="AE155" i="43"/>
  <c r="AD155" i="43"/>
  <c r="AC155" i="43"/>
  <c r="AB155" i="43"/>
  <c r="AA155" i="43"/>
  <c r="Z155" i="43"/>
  <c r="Y155" i="43"/>
  <c r="X155" i="43"/>
  <c r="W155" i="43"/>
  <c r="V155" i="43"/>
  <c r="AO154" i="43"/>
  <c r="AN154" i="43"/>
  <c r="AM154" i="43"/>
  <c r="AL154" i="43"/>
  <c r="AK154" i="43"/>
  <c r="AJ154" i="43"/>
  <c r="AI154" i="43"/>
  <c r="AH154" i="43"/>
  <c r="AG154" i="43"/>
  <c r="AF154" i="43"/>
  <c r="AE154" i="43"/>
  <c r="AD154" i="43"/>
  <c r="AC154" i="43"/>
  <c r="AB154" i="43"/>
  <c r="AA154" i="43"/>
  <c r="Z154" i="43"/>
  <c r="Y154" i="43"/>
  <c r="X154" i="43"/>
  <c r="W154" i="43"/>
  <c r="V154" i="43"/>
  <c r="AO153" i="43"/>
  <c r="AN153" i="43"/>
  <c r="AM153" i="43"/>
  <c r="AL153" i="43"/>
  <c r="AK153" i="43"/>
  <c r="AJ153" i="43"/>
  <c r="AI153" i="43"/>
  <c r="AH153" i="43"/>
  <c r="AG153" i="43"/>
  <c r="AF153" i="43"/>
  <c r="AE153" i="43"/>
  <c r="AD153" i="43"/>
  <c r="AC153" i="43"/>
  <c r="AB153" i="43"/>
  <c r="AA153" i="43"/>
  <c r="Z153" i="43"/>
  <c r="Y153" i="43"/>
  <c r="X153" i="43"/>
  <c r="W153" i="43"/>
  <c r="V153" i="43"/>
  <c r="AO152" i="43"/>
  <c r="AN152" i="43"/>
  <c r="AM152" i="43"/>
  <c r="AL152" i="43"/>
  <c r="AK152" i="43"/>
  <c r="AJ152" i="43"/>
  <c r="AI152" i="43"/>
  <c r="AH152" i="43"/>
  <c r="AG152" i="43"/>
  <c r="AF152" i="43"/>
  <c r="AE152" i="43"/>
  <c r="AD152" i="43"/>
  <c r="AC152" i="43"/>
  <c r="AB152" i="43"/>
  <c r="AA152" i="43"/>
  <c r="Z152" i="43"/>
  <c r="Y152" i="43"/>
  <c r="X152" i="43"/>
  <c r="W152" i="43"/>
  <c r="V152" i="43"/>
  <c r="AO151" i="43"/>
  <c r="AN151" i="43"/>
  <c r="AM151" i="43"/>
  <c r="AL151" i="43"/>
  <c r="AK151" i="43"/>
  <c r="AJ151" i="43"/>
  <c r="AI151" i="43"/>
  <c r="AH151" i="43"/>
  <c r="AG151" i="43"/>
  <c r="AF151" i="43"/>
  <c r="AE151" i="43"/>
  <c r="AD151" i="43"/>
  <c r="AC151" i="43"/>
  <c r="AB151" i="43"/>
  <c r="AA151" i="43"/>
  <c r="Z151" i="43"/>
  <c r="Y151" i="43"/>
  <c r="X151" i="43"/>
  <c r="W151" i="43"/>
  <c r="V151" i="43"/>
  <c r="AO150" i="43"/>
  <c r="AN150" i="43"/>
  <c r="AM150" i="43"/>
  <c r="AL150" i="43"/>
  <c r="AK150" i="43"/>
  <c r="AJ150" i="43"/>
  <c r="AI150" i="43"/>
  <c r="AH150" i="43"/>
  <c r="AG150" i="43"/>
  <c r="AF150" i="43"/>
  <c r="AE150" i="43"/>
  <c r="AD150" i="43"/>
  <c r="AC150" i="43"/>
  <c r="AB150" i="43"/>
  <c r="AA150" i="43"/>
  <c r="Z150" i="43"/>
  <c r="Y150" i="43"/>
  <c r="X150" i="43"/>
  <c r="W150" i="43"/>
  <c r="V150" i="43"/>
  <c r="AO149" i="43"/>
  <c r="AN149" i="43"/>
  <c r="AM149" i="43"/>
  <c r="AL149" i="43"/>
  <c r="AK149" i="43"/>
  <c r="AJ149" i="43"/>
  <c r="AI149" i="43"/>
  <c r="AH149" i="43"/>
  <c r="AG149" i="43"/>
  <c r="AF149" i="43"/>
  <c r="AE149" i="43"/>
  <c r="AD149" i="43"/>
  <c r="AC149" i="43"/>
  <c r="AB149" i="43"/>
  <c r="AA149" i="43"/>
  <c r="Z149" i="43"/>
  <c r="Y149" i="43"/>
  <c r="X149" i="43"/>
  <c r="V149" i="43"/>
  <c r="AO148" i="43"/>
  <c r="AN148" i="43"/>
  <c r="AM148" i="43"/>
  <c r="AL148" i="43"/>
  <c r="AK148" i="43"/>
  <c r="AJ148" i="43"/>
  <c r="AI148" i="43"/>
  <c r="AH148" i="43"/>
  <c r="AG148" i="43"/>
  <c r="AF148" i="43"/>
  <c r="AE148" i="43"/>
  <c r="AD148" i="43"/>
  <c r="AC148" i="43"/>
  <c r="AB148" i="43"/>
  <c r="AA148" i="43"/>
  <c r="Z148" i="43"/>
  <c r="Y148" i="43"/>
  <c r="X148" i="43"/>
  <c r="V148" i="43"/>
  <c r="AO147" i="43"/>
  <c r="AN147" i="43"/>
  <c r="AM147" i="43"/>
  <c r="AL147" i="43"/>
  <c r="AK147" i="43"/>
  <c r="AJ147" i="43"/>
  <c r="AI147" i="43"/>
  <c r="AH147" i="43"/>
  <c r="AG147" i="43"/>
  <c r="AF147" i="43"/>
  <c r="AE147" i="43"/>
  <c r="AD147" i="43"/>
  <c r="AC147" i="43"/>
  <c r="AB147" i="43"/>
  <c r="AA147" i="43"/>
  <c r="Z147" i="43"/>
  <c r="Y147" i="43"/>
  <c r="X147" i="43"/>
  <c r="V147" i="43"/>
  <c r="AO146" i="43"/>
  <c r="AN146" i="43"/>
  <c r="AM146" i="43"/>
  <c r="AL146" i="43"/>
  <c r="AK146" i="43"/>
  <c r="AJ146" i="43"/>
  <c r="AI146" i="43"/>
  <c r="AH146" i="43"/>
  <c r="AG146" i="43"/>
  <c r="AF146" i="43"/>
  <c r="AE146" i="43"/>
  <c r="AD146" i="43"/>
  <c r="AC146" i="43"/>
  <c r="AB146" i="43"/>
  <c r="AA146" i="43"/>
  <c r="Z146" i="43"/>
  <c r="Y146" i="43"/>
  <c r="X146" i="43"/>
  <c r="V146" i="43"/>
  <c r="AO145" i="43"/>
  <c r="AN145" i="43"/>
  <c r="AM145" i="43"/>
  <c r="AL145" i="43"/>
  <c r="AK145" i="43"/>
  <c r="AJ145" i="43"/>
  <c r="AI145" i="43"/>
  <c r="AH145" i="43"/>
  <c r="AG145" i="43"/>
  <c r="AF145" i="43"/>
  <c r="AE145" i="43"/>
  <c r="AD145" i="43"/>
  <c r="AC145" i="43"/>
  <c r="AB145" i="43"/>
  <c r="AA145" i="43"/>
  <c r="Z145" i="43"/>
  <c r="Y145" i="43"/>
  <c r="X145" i="43"/>
  <c r="W145" i="43"/>
  <c r="V145" i="43"/>
  <c r="AO144" i="43"/>
  <c r="AN144" i="43"/>
  <c r="AM144" i="43"/>
  <c r="AL144" i="43"/>
  <c r="AK144" i="43"/>
  <c r="AJ144" i="43"/>
  <c r="AI144" i="43"/>
  <c r="AH144" i="43"/>
  <c r="AG144" i="43"/>
  <c r="AF144" i="43"/>
  <c r="AE144" i="43"/>
  <c r="AD144" i="43"/>
  <c r="AC144" i="43"/>
  <c r="AB144" i="43"/>
  <c r="AA144" i="43"/>
  <c r="Z144" i="43"/>
  <c r="Y144" i="43"/>
  <c r="X144" i="43"/>
  <c r="W144" i="43"/>
  <c r="V144" i="43"/>
  <c r="AO143" i="43"/>
  <c r="AN143" i="43"/>
  <c r="AM143" i="43"/>
  <c r="AL143" i="43"/>
  <c r="AK143" i="43"/>
  <c r="AJ143" i="43"/>
  <c r="AI143" i="43"/>
  <c r="AH143" i="43"/>
  <c r="AG143" i="43"/>
  <c r="AF143" i="43"/>
  <c r="AE143" i="43"/>
  <c r="AD143" i="43"/>
  <c r="AC143" i="43"/>
  <c r="AB143" i="43"/>
  <c r="AA143" i="43"/>
  <c r="Z143" i="43"/>
  <c r="Y143" i="43"/>
  <c r="X143" i="43"/>
  <c r="W143" i="43"/>
  <c r="V143" i="43"/>
  <c r="Q143" i="43"/>
  <c r="AO142" i="43"/>
  <c r="AN142" i="43"/>
  <c r="AM142" i="43"/>
  <c r="AL142" i="43"/>
  <c r="AK142" i="43"/>
  <c r="AJ142" i="43"/>
  <c r="AI142" i="43"/>
  <c r="AH142" i="43"/>
  <c r="AG142" i="43"/>
  <c r="AF142" i="43"/>
  <c r="AE142" i="43"/>
  <c r="AD142" i="43"/>
  <c r="AC142" i="43"/>
  <c r="AB142" i="43"/>
  <c r="AA142" i="43"/>
  <c r="Z142" i="43"/>
  <c r="Y142" i="43"/>
  <c r="X142" i="43"/>
  <c r="W142" i="43"/>
  <c r="V142" i="43"/>
  <c r="Q142" i="43"/>
  <c r="AO141" i="43"/>
  <c r="AN141" i="43"/>
  <c r="AM141" i="43"/>
  <c r="AL141" i="43"/>
  <c r="AK141" i="43"/>
  <c r="AJ141" i="43"/>
  <c r="AI141" i="43"/>
  <c r="AH141" i="43"/>
  <c r="AG141" i="43"/>
  <c r="AF141" i="43"/>
  <c r="AE141" i="43"/>
  <c r="AD141" i="43"/>
  <c r="AC141" i="43"/>
  <c r="AB141" i="43"/>
  <c r="AA141" i="43"/>
  <c r="Z141" i="43"/>
  <c r="Y141" i="43"/>
  <c r="X141" i="43"/>
  <c r="W141" i="43"/>
  <c r="V141" i="43"/>
  <c r="Q141" i="43"/>
  <c r="AO140" i="43"/>
  <c r="AN140" i="43"/>
  <c r="AM140" i="43"/>
  <c r="AL140" i="43"/>
  <c r="AK140" i="43"/>
  <c r="AJ140" i="43"/>
  <c r="AI140" i="43"/>
  <c r="AH140" i="43"/>
  <c r="AG140" i="43"/>
  <c r="AF140" i="43"/>
  <c r="AE140" i="43"/>
  <c r="AD140" i="43"/>
  <c r="AC140" i="43"/>
  <c r="AB140" i="43"/>
  <c r="AA140" i="43"/>
  <c r="Z140" i="43"/>
  <c r="Y140" i="43"/>
  <c r="X140" i="43"/>
  <c r="W140" i="43"/>
  <c r="V140" i="43"/>
  <c r="Q140" i="43"/>
  <c r="AO139" i="43"/>
  <c r="AN139" i="43"/>
  <c r="AM139" i="43"/>
  <c r="AL139" i="43"/>
  <c r="AK139" i="43"/>
  <c r="AJ139" i="43"/>
  <c r="AI139" i="43"/>
  <c r="AH139" i="43"/>
  <c r="AG139" i="43"/>
  <c r="AF139" i="43"/>
  <c r="AE139" i="43"/>
  <c r="AD139" i="43"/>
  <c r="AC139" i="43"/>
  <c r="AB139" i="43"/>
  <c r="AA139" i="43"/>
  <c r="Z139" i="43"/>
  <c r="Y139" i="43"/>
  <c r="X139" i="43"/>
  <c r="W139" i="43"/>
  <c r="V139" i="43"/>
  <c r="Q139" i="43"/>
  <c r="AO138" i="43"/>
  <c r="AN138" i="43"/>
  <c r="AM138" i="43"/>
  <c r="AL138" i="43"/>
  <c r="AK138" i="43"/>
  <c r="AJ138" i="43"/>
  <c r="AI138" i="43"/>
  <c r="AH138" i="43"/>
  <c r="AG138" i="43"/>
  <c r="AF138" i="43"/>
  <c r="AE138" i="43"/>
  <c r="AD138" i="43"/>
  <c r="AC138" i="43"/>
  <c r="AB138" i="43"/>
  <c r="AA138" i="43"/>
  <c r="Z138" i="43"/>
  <c r="Y138" i="43"/>
  <c r="X138" i="43"/>
  <c r="W138" i="43"/>
  <c r="V138" i="43"/>
  <c r="Q138" i="43"/>
  <c r="AO137" i="43"/>
  <c r="AN137" i="43"/>
  <c r="AM137" i="43"/>
  <c r="AL137" i="43"/>
  <c r="AK137" i="43"/>
  <c r="AJ137" i="43"/>
  <c r="AI137" i="43"/>
  <c r="AH137" i="43"/>
  <c r="AG137" i="43"/>
  <c r="AF137" i="43"/>
  <c r="AE137" i="43"/>
  <c r="AD137" i="43"/>
  <c r="AC137" i="43"/>
  <c r="AB137" i="43"/>
  <c r="AA137" i="43"/>
  <c r="Z137" i="43"/>
  <c r="Y137" i="43"/>
  <c r="X137" i="43"/>
  <c r="W137" i="43"/>
  <c r="V137" i="43"/>
  <c r="Q137" i="43"/>
  <c r="AO136" i="43"/>
  <c r="AN136" i="43"/>
  <c r="AM136" i="43"/>
  <c r="AL136" i="43"/>
  <c r="AK136" i="43"/>
  <c r="AJ136" i="43"/>
  <c r="AI136" i="43"/>
  <c r="AH136" i="43"/>
  <c r="AG136" i="43"/>
  <c r="AF136" i="43"/>
  <c r="AE136" i="43"/>
  <c r="AD136" i="43"/>
  <c r="AC136" i="43"/>
  <c r="AB136" i="43"/>
  <c r="AA136" i="43"/>
  <c r="Z136" i="43"/>
  <c r="Y136" i="43"/>
  <c r="X136" i="43"/>
  <c r="W136" i="43"/>
  <c r="V136" i="43"/>
  <c r="Q136" i="43"/>
  <c r="AO135" i="43"/>
  <c r="AN135" i="43"/>
  <c r="AM135" i="43"/>
  <c r="AL135" i="43"/>
  <c r="AK135" i="43"/>
  <c r="AJ135" i="43"/>
  <c r="AI135" i="43"/>
  <c r="AH135" i="43"/>
  <c r="AG135" i="43"/>
  <c r="AF135" i="43"/>
  <c r="AE135" i="43"/>
  <c r="AD135" i="43"/>
  <c r="AC135" i="43"/>
  <c r="AB135" i="43"/>
  <c r="AA135" i="43"/>
  <c r="Z135" i="43"/>
  <c r="Y135" i="43"/>
  <c r="X135" i="43"/>
  <c r="W135" i="43"/>
  <c r="V135" i="43"/>
  <c r="Q135" i="43"/>
  <c r="AO134" i="43"/>
  <c r="AN134" i="43"/>
  <c r="AM134" i="43"/>
  <c r="AL134" i="43"/>
  <c r="AK134" i="43"/>
  <c r="AJ134" i="43"/>
  <c r="AI134" i="43"/>
  <c r="AH134" i="43"/>
  <c r="AG134" i="43"/>
  <c r="AF134" i="43"/>
  <c r="AE134" i="43"/>
  <c r="AD134" i="43"/>
  <c r="AC134" i="43"/>
  <c r="AB134" i="43"/>
  <c r="AA134" i="43"/>
  <c r="Z134" i="43"/>
  <c r="Y134" i="43"/>
  <c r="X134" i="43"/>
  <c r="W134" i="43"/>
  <c r="V134" i="43"/>
  <c r="Q134" i="43"/>
  <c r="AO133" i="43"/>
  <c r="AN133" i="43"/>
  <c r="AM133" i="43"/>
  <c r="AL133" i="43"/>
  <c r="AK133" i="43"/>
  <c r="AJ133" i="43"/>
  <c r="AI133" i="43"/>
  <c r="AH133" i="43"/>
  <c r="AG133" i="43"/>
  <c r="AF133" i="43"/>
  <c r="AE133" i="43"/>
  <c r="AD133" i="43"/>
  <c r="AC133" i="43"/>
  <c r="AB133" i="43"/>
  <c r="AA133" i="43"/>
  <c r="Z133" i="43"/>
  <c r="Y133" i="43"/>
  <c r="X133" i="43"/>
  <c r="W133" i="43"/>
  <c r="V133" i="43"/>
  <c r="Q133" i="43"/>
  <c r="AO132" i="43"/>
  <c r="AN132" i="43"/>
  <c r="AM132" i="43"/>
  <c r="AL132" i="43"/>
  <c r="AK132" i="43"/>
  <c r="AJ132" i="43"/>
  <c r="AI132" i="43"/>
  <c r="AH132" i="43"/>
  <c r="AG132" i="43"/>
  <c r="AF132" i="43"/>
  <c r="AE132" i="43"/>
  <c r="AD132" i="43"/>
  <c r="AC132" i="43"/>
  <c r="AB132" i="43"/>
  <c r="AA132" i="43"/>
  <c r="Z132" i="43"/>
  <c r="Y132" i="43"/>
  <c r="X132" i="43"/>
  <c r="W132" i="43"/>
  <c r="V132" i="43"/>
  <c r="Q132" i="43"/>
  <c r="AO131" i="43"/>
  <c r="AN131" i="43"/>
  <c r="AM131" i="43"/>
  <c r="AL131" i="43"/>
  <c r="AK131" i="43"/>
  <c r="AJ131" i="43"/>
  <c r="AI131" i="43"/>
  <c r="AH131" i="43"/>
  <c r="AG131" i="43"/>
  <c r="AF131" i="43"/>
  <c r="AE131" i="43"/>
  <c r="AD131" i="43"/>
  <c r="AC131" i="43"/>
  <c r="AB131" i="43"/>
  <c r="AA131" i="43"/>
  <c r="Z131" i="43"/>
  <c r="Y131" i="43"/>
  <c r="X131" i="43"/>
  <c r="W131" i="43"/>
  <c r="V131" i="43"/>
  <c r="Q131" i="43"/>
  <c r="AO130" i="43"/>
  <c r="AN130" i="43"/>
  <c r="AM130" i="43"/>
  <c r="AL130" i="43"/>
  <c r="AK130" i="43"/>
  <c r="AJ130" i="43"/>
  <c r="AI130" i="43"/>
  <c r="AH130" i="43"/>
  <c r="AG130" i="43"/>
  <c r="AF130" i="43"/>
  <c r="AE130" i="43"/>
  <c r="AD130" i="43"/>
  <c r="AC130" i="43"/>
  <c r="AB130" i="43"/>
  <c r="AA130" i="43"/>
  <c r="Z130" i="43"/>
  <c r="Y130" i="43"/>
  <c r="X130" i="43"/>
  <c r="W130" i="43"/>
  <c r="V130" i="43"/>
  <c r="Q130" i="43"/>
  <c r="AO129" i="43"/>
  <c r="AN129" i="43"/>
  <c r="AM129" i="43"/>
  <c r="AL129" i="43"/>
  <c r="AK129" i="43"/>
  <c r="AJ129" i="43"/>
  <c r="AI129" i="43"/>
  <c r="AH129" i="43"/>
  <c r="AG129" i="43"/>
  <c r="AF129" i="43"/>
  <c r="AE129" i="43"/>
  <c r="AD129" i="43"/>
  <c r="AC129" i="43"/>
  <c r="AB129" i="43"/>
  <c r="AA129" i="43"/>
  <c r="Z129" i="43"/>
  <c r="Y129" i="43"/>
  <c r="X129" i="43"/>
  <c r="W129" i="43"/>
  <c r="V129" i="43"/>
  <c r="Q129" i="43"/>
  <c r="AO128" i="43"/>
  <c r="AN128" i="43"/>
  <c r="AM128" i="43"/>
  <c r="AL128" i="43"/>
  <c r="AK128" i="43"/>
  <c r="AJ128" i="43"/>
  <c r="AI128" i="43"/>
  <c r="AH128" i="43"/>
  <c r="AG128" i="43"/>
  <c r="AF128" i="43"/>
  <c r="AE128" i="43"/>
  <c r="AD128" i="43"/>
  <c r="AC128" i="43"/>
  <c r="AB128" i="43"/>
  <c r="AA128" i="43"/>
  <c r="Z128" i="43"/>
  <c r="Y128" i="43"/>
  <c r="X128" i="43"/>
  <c r="V128" i="43"/>
  <c r="Q128" i="43"/>
  <c r="AO127" i="43"/>
  <c r="AN127" i="43"/>
  <c r="AM127" i="43"/>
  <c r="AL127" i="43"/>
  <c r="AK127" i="43"/>
  <c r="AJ127" i="43"/>
  <c r="AI127" i="43"/>
  <c r="AH127" i="43"/>
  <c r="AG127" i="43"/>
  <c r="AF127" i="43"/>
  <c r="AE127" i="43"/>
  <c r="AD127" i="43"/>
  <c r="AC127" i="43"/>
  <c r="AB127" i="43"/>
  <c r="AA127" i="43"/>
  <c r="Z127" i="43"/>
  <c r="Y127" i="43"/>
  <c r="X127" i="43"/>
  <c r="V127" i="43"/>
  <c r="Q127" i="43"/>
  <c r="AO126" i="43"/>
  <c r="AN126" i="43"/>
  <c r="AM126" i="43"/>
  <c r="AL126" i="43"/>
  <c r="AK126" i="43"/>
  <c r="AJ126" i="43"/>
  <c r="AI126" i="43"/>
  <c r="AH126" i="43"/>
  <c r="AG126" i="43"/>
  <c r="AF126" i="43"/>
  <c r="AE126" i="43"/>
  <c r="AD126" i="43"/>
  <c r="AC126" i="43"/>
  <c r="AB126" i="43"/>
  <c r="AA126" i="43"/>
  <c r="Z126" i="43"/>
  <c r="Y126" i="43"/>
  <c r="X126" i="43"/>
  <c r="V126" i="43"/>
  <c r="Q126" i="43"/>
  <c r="AO125" i="43"/>
  <c r="AN125" i="43"/>
  <c r="AM125" i="43"/>
  <c r="AL125" i="43"/>
  <c r="AK125" i="43"/>
  <c r="AJ125" i="43"/>
  <c r="AI125" i="43"/>
  <c r="AH125" i="43"/>
  <c r="AG125" i="43"/>
  <c r="AF125" i="43"/>
  <c r="AE125" i="43"/>
  <c r="AD125" i="43"/>
  <c r="AC125" i="43"/>
  <c r="AB125" i="43"/>
  <c r="AA125" i="43"/>
  <c r="Z125" i="43"/>
  <c r="Y125" i="43"/>
  <c r="X125" i="43"/>
  <c r="V125" i="43"/>
  <c r="Q125" i="43"/>
  <c r="AO124" i="43"/>
  <c r="AN124" i="43"/>
  <c r="AM124" i="43"/>
  <c r="AL124" i="43"/>
  <c r="AK124" i="43"/>
  <c r="AJ124" i="43"/>
  <c r="AI124" i="43"/>
  <c r="AH124" i="43"/>
  <c r="AG124" i="43"/>
  <c r="AF124" i="43"/>
  <c r="AE124" i="43"/>
  <c r="AD124" i="43"/>
  <c r="AC124" i="43"/>
  <c r="AB124" i="43"/>
  <c r="AA124" i="43"/>
  <c r="Z124" i="43"/>
  <c r="Y124" i="43"/>
  <c r="X124" i="43"/>
  <c r="V124" i="43"/>
  <c r="Q124" i="43"/>
  <c r="AO123" i="43"/>
  <c r="AN123" i="43"/>
  <c r="AM123" i="43"/>
  <c r="AL123" i="43"/>
  <c r="AK123" i="43"/>
  <c r="AJ123" i="43"/>
  <c r="AI123" i="43"/>
  <c r="AH123" i="43"/>
  <c r="AG123" i="43"/>
  <c r="AF123" i="43"/>
  <c r="AE123" i="43"/>
  <c r="AD123" i="43"/>
  <c r="AC123" i="43"/>
  <c r="AB123" i="43"/>
  <c r="AA123" i="43"/>
  <c r="Z123" i="43"/>
  <c r="Y123" i="43"/>
  <c r="X123" i="43"/>
  <c r="W123" i="43"/>
  <c r="V123" i="43"/>
  <c r="Q123" i="43"/>
  <c r="AO122" i="43"/>
  <c r="AN122" i="43"/>
  <c r="AM122" i="43"/>
  <c r="AL122" i="43"/>
  <c r="AK122" i="43"/>
  <c r="AJ122" i="43"/>
  <c r="AI122" i="43"/>
  <c r="AH122" i="43"/>
  <c r="AG122" i="43"/>
  <c r="AF122" i="43"/>
  <c r="AE122" i="43"/>
  <c r="AD122" i="43"/>
  <c r="AC122" i="43"/>
  <c r="AB122" i="43"/>
  <c r="AA122" i="43"/>
  <c r="Z122" i="43"/>
  <c r="Y122" i="43"/>
  <c r="X122" i="43"/>
  <c r="V122" i="43"/>
  <c r="Q122" i="43"/>
  <c r="AO121" i="43"/>
  <c r="AN121" i="43"/>
  <c r="AM121" i="43"/>
  <c r="AL121" i="43"/>
  <c r="AK121" i="43"/>
  <c r="AJ121" i="43"/>
  <c r="AI121" i="43"/>
  <c r="AH121" i="43"/>
  <c r="AG121" i="43"/>
  <c r="AF121" i="43"/>
  <c r="AE121" i="43"/>
  <c r="AD121" i="43"/>
  <c r="AC121" i="43"/>
  <c r="AB121" i="43"/>
  <c r="AA121" i="43"/>
  <c r="Z121" i="43"/>
  <c r="Y121" i="43"/>
  <c r="X121" i="43"/>
  <c r="V121" i="43"/>
  <c r="Q121" i="43"/>
  <c r="AO120" i="43"/>
  <c r="AN120" i="43"/>
  <c r="AM120" i="43"/>
  <c r="AL120" i="43"/>
  <c r="AK120" i="43"/>
  <c r="AJ120" i="43"/>
  <c r="AI120" i="43"/>
  <c r="AH120" i="43"/>
  <c r="AG120" i="43"/>
  <c r="AF120" i="43"/>
  <c r="AE120" i="43"/>
  <c r="AD120" i="43"/>
  <c r="AC120" i="43"/>
  <c r="AB120" i="43"/>
  <c r="AA120" i="43"/>
  <c r="Z120" i="43"/>
  <c r="Y120" i="43"/>
  <c r="X120" i="43"/>
  <c r="W120" i="43"/>
  <c r="V120" i="43"/>
  <c r="Q120" i="43"/>
  <c r="AO119" i="43"/>
  <c r="AN119" i="43"/>
  <c r="AM119" i="43"/>
  <c r="AL119" i="43"/>
  <c r="AK119" i="43"/>
  <c r="AJ119" i="43"/>
  <c r="AI119" i="43"/>
  <c r="AH119" i="43"/>
  <c r="AG119" i="43"/>
  <c r="AF119" i="43"/>
  <c r="AE119" i="43"/>
  <c r="AD119" i="43"/>
  <c r="AC119" i="43"/>
  <c r="AB119" i="43"/>
  <c r="AA119" i="43"/>
  <c r="Z119" i="43"/>
  <c r="Y119" i="43"/>
  <c r="X119" i="43"/>
  <c r="V119" i="43"/>
  <c r="Q119" i="43"/>
  <c r="AO118" i="43"/>
  <c r="AN118" i="43"/>
  <c r="AM118" i="43"/>
  <c r="AL118" i="43"/>
  <c r="AK118" i="43"/>
  <c r="AJ118" i="43"/>
  <c r="AI118" i="43"/>
  <c r="AH118" i="43"/>
  <c r="AG118" i="43"/>
  <c r="AF118" i="43"/>
  <c r="AE118" i="43"/>
  <c r="AD118" i="43"/>
  <c r="AC118" i="43"/>
  <c r="AB118" i="43"/>
  <c r="AA118" i="43"/>
  <c r="Z118" i="43"/>
  <c r="Y118" i="43"/>
  <c r="X118" i="43"/>
  <c r="V118" i="43"/>
  <c r="Q118" i="43"/>
  <c r="AO117" i="43"/>
  <c r="AN117" i="43"/>
  <c r="AM117" i="43"/>
  <c r="AL117" i="43"/>
  <c r="AK117" i="43"/>
  <c r="AJ117" i="43"/>
  <c r="AI117" i="43"/>
  <c r="AH117" i="43"/>
  <c r="AG117" i="43"/>
  <c r="AF117" i="43"/>
  <c r="AE117" i="43"/>
  <c r="AD117" i="43"/>
  <c r="AC117" i="43"/>
  <c r="AB117" i="43"/>
  <c r="AA117" i="43"/>
  <c r="Z117" i="43"/>
  <c r="Y117" i="43"/>
  <c r="X117" i="43"/>
  <c r="V117" i="43"/>
  <c r="Q117" i="43"/>
  <c r="AO116" i="43"/>
  <c r="AN116" i="43"/>
  <c r="AM116" i="43"/>
  <c r="AL116" i="43"/>
  <c r="AK116" i="43"/>
  <c r="AJ116" i="43"/>
  <c r="AI116" i="43"/>
  <c r="AH116" i="43"/>
  <c r="AG116" i="43"/>
  <c r="AF116" i="43"/>
  <c r="AE116" i="43"/>
  <c r="AD116" i="43"/>
  <c r="AC116" i="43"/>
  <c r="AB116" i="43"/>
  <c r="AA116" i="43"/>
  <c r="Z116" i="43"/>
  <c r="Y116" i="43"/>
  <c r="X116" i="43"/>
  <c r="V116" i="43"/>
  <c r="AO115" i="43"/>
  <c r="AN115" i="43"/>
  <c r="AM115" i="43"/>
  <c r="AL115" i="43"/>
  <c r="AK115" i="43"/>
  <c r="AJ115" i="43"/>
  <c r="AI115" i="43"/>
  <c r="AH115" i="43"/>
  <c r="AG115" i="43"/>
  <c r="AF115" i="43"/>
  <c r="AE115" i="43"/>
  <c r="AD115" i="43"/>
  <c r="AC115" i="43"/>
  <c r="AB115" i="43"/>
  <c r="AA115" i="43"/>
  <c r="Z115" i="43"/>
  <c r="Y115" i="43"/>
  <c r="X115" i="43"/>
  <c r="W115" i="43"/>
  <c r="V115" i="43"/>
  <c r="AO114" i="43"/>
  <c r="AN114" i="43"/>
  <c r="AM114" i="43"/>
  <c r="AL114" i="43"/>
  <c r="AK114" i="43"/>
  <c r="AJ114" i="43"/>
  <c r="AI114" i="43"/>
  <c r="AH114" i="43"/>
  <c r="AG114" i="43"/>
  <c r="AF114" i="43"/>
  <c r="AE114" i="43"/>
  <c r="AD114" i="43"/>
  <c r="AC114" i="43"/>
  <c r="AB114" i="43"/>
  <c r="AA114" i="43"/>
  <c r="Z114" i="43"/>
  <c r="Y114" i="43"/>
  <c r="X114" i="43"/>
  <c r="W114" i="43"/>
  <c r="V114" i="43"/>
  <c r="AO113" i="43"/>
  <c r="AN113" i="43"/>
  <c r="AM113" i="43"/>
  <c r="AL113" i="43"/>
  <c r="AK113" i="43"/>
  <c r="AJ113" i="43"/>
  <c r="AI113" i="43"/>
  <c r="AH113" i="43"/>
  <c r="AG113" i="43"/>
  <c r="AF113" i="43"/>
  <c r="AE113" i="43"/>
  <c r="AD113" i="43"/>
  <c r="AC113" i="43"/>
  <c r="AB113" i="43"/>
  <c r="AA113" i="43"/>
  <c r="Z113" i="43"/>
  <c r="Y113" i="43"/>
  <c r="X113" i="43"/>
  <c r="W113" i="43"/>
  <c r="V113" i="43"/>
  <c r="AO112" i="43"/>
  <c r="AN112" i="43"/>
  <c r="AM112" i="43"/>
  <c r="AL112" i="43"/>
  <c r="AK112" i="43"/>
  <c r="AJ112" i="43"/>
  <c r="AI112" i="43"/>
  <c r="AH112" i="43"/>
  <c r="AG112" i="43"/>
  <c r="AF112" i="43"/>
  <c r="AE112" i="43"/>
  <c r="AD112" i="43"/>
  <c r="AC112" i="43"/>
  <c r="AB112" i="43"/>
  <c r="AA112" i="43"/>
  <c r="Z112" i="43"/>
  <c r="Y112" i="43"/>
  <c r="X112" i="43"/>
  <c r="V112" i="43"/>
  <c r="AO111" i="43"/>
  <c r="AN111" i="43"/>
  <c r="AM111" i="43"/>
  <c r="AL111" i="43"/>
  <c r="AK111" i="43"/>
  <c r="AJ111" i="43"/>
  <c r="AI111" i="43"/>
  <c r="AH111" i="43"/>
  <c r="AG111" i="43"/>
  <c r="AF111" i="43"/>
  <c r="AE111" i="43"/>
  <c r="AD111" i="43"/>
  <c r="AC111" i="43"/>
  <c r="AB111" i="43"/>
  <c r="AA111" i="43"/>
  <c r="Z111" i="43"/>
  <c r="Y111" i="43"/>
  <c r="X111" i="43"/>
  <c r="V111" i="43"/>
  <c r="AO110" i="43"/>
  <c r="AN110" i="43"/>
  <c r="AM110" i="43"/>
  <c r="AL110" i="43"/>
  <c r="AK110" i="43"/>
  <c r="AJ110" i="43"/>
  <c r="AI110" i="43"/>
  <c r="AH110" i="43"/>
  <c r="AG110" i="43"/>
  <c r="AF110" i="43"/>
  <c r="AE110" i="43"/>
  <c r="AD110" i="43"/>
  <c r="AC110" i="43"/>
  <c r="AB110" i="43"/>
  <c r="AA110" i="43"/>
  <c r="Z110" i="43"/>
  <c r="Y110" i="43"/>
  <c r="X110" i="43"/>
  <c r="V110" i="43"/>
  <c r="AO109" i="43"/>
  <c r="AN109" i="43"/>
  <c r="AM109" i="43"/>
  <c r="AL109" i="43"/>
  <c r="AK109" i="43"/>
  <c r="AJ109" i="43"/>
  <c r="AI109" i="43"/>
  <c r="AH109" i="43"/>
  <c r="AG109" i="43"/>
  <c r="AF109" i="43"/>
  <c r="AE109" i="43"/>
  <c r="AD109" i="43"/>
  <c r="AC109" i="43"/>
  <c r="AB109" i="43"/>
  <c r="AA109" i="43"/>
  <c r="Z109" i="43"/>
  <c r="Y109" i="43"/>
  <c r="X109" i="43"/>
  <c r="V109" i="43"/>
  <c r="AO108" i="43"/>
  <c r="AN108" i="43"/>
  <c r="AM108" i="43"/>
  <c r="AL108" i="43"/>
  <c r="AK108" i="43"/>
  <c r="AJ108" i="43"/>
  <c r="AI108" i="43"/>
  <c r="AH108" i="43"/>
  <c r="AG108" i="43"/>
  <c r="AF108" i="43"/>
  <c r="AE108" i="43"/>
  <c r="AD108" i="43"/>
  <c r="AC108" i="43"/>
  <c r="AB108" i="43"/>
  <c r="AA108" i="43"/>
  <c r="Z108" i="43"/>
  <c r="Y108" i="43"/>
  <c r="X108" i="43"/>
  <c r="V108" i="43"/>
  <c r="AO107" i="43"/>
  <c r="AN107" i="43"/>
  <c r="AM107" i="43"/>
  <c r="AL107" i="43"/>
  <c r="AK107" i="43"/>
  <c r="AJ107" i="43"/>
  <c r="AI107" i="43"/>
  <c r="AH107" i="43"/>
  <c r="AG107" i="43"/>
  <c r="AF107" i="43"/>
  <c r="AE107" i="43"/>
  <c r="AD107" i="43"/>
  <c r="AC107" i="43"/>
  <c r="AB107" i="43"/>
  <c r="AA107" i="43"/>
  <c r="Z107" i="43"/>
  <c r="Y107" i="43"/>
  <c r="X107" i="43"/>
  <c r="V107" i="43"/>
  <c r="AO106" i="43"/>
  <c r="AN106" i="43"/>
  <c r="AM106" i="43"/>
  <c r="AL106" i="43"/>
  <c r="AK106" i="43"/>
  <c r="AJ106" i="43"/>
  <c r="AI106" i="43"/>
  <c r="AH106" i="43"/>
  <c r="AG106" i="43"/>
  <c r="AF106" i="43"/>
  <c r="AE106" i="43"/>
  <c r="AD106" i="43"/>
  <c r="AC106" i="43"/>
  <c r="AB106" i="43"/>
  <c r="AA106" i="43"/>
  <c r="Z106" i="43"/>
  <c r="Y106" i="43"/>
  <c r="X106" i="43"/>
  <c r="V106" i="43"/>
  <c r="AO105" i="43"/>
  <c r="AN105" i="43"/>
  <c r="AM105" i="43"/>
  <c r="AL105" i="43"/>
  <c r="AK105" i="43"/>
  <c r="AJ105" i="43"/>
  <c r="AI105" i="43"/>
  <c r="AH105" i="43"/>
  <c r="AG105" i="43"/>
  <c r="AF105" i="43"/>
  <c r="AE105" i="43"/>
  <c r="AD105" i="43"/>
  <c r="AC105" i="43"/>
  <c r="AB105" i="43"/>
  <c r="AA105" i="43"/>
  <c r="Z105" i="43"/>
  <c r="Y105" i="43"/>
  <c r="X105" i="43"/>
  <c r="V105" i="43"/>
  <c r="AO104" i="43"/>
  <c r="AN104" i="43"/>
  <c r="AM104" i="43"/>
  <c r="AL104" i="43"/>
  <c r="AK104" i="43"/>
  <c r="AJ104" i="43"/>
  <c r="AI104" i="43"/>
  <c r="AH104" i="43"/>
  <c r="AG104" i="43"/>
  <c r="AF104" i="43"/>
  <c r="AE104" i="43"/>
  <c r="AD104" i="43"/>
  <c r="AC104" i="43"/>
  <c r="AB104" i="43"/>
  <c r="AA104" i="43"/>
  <c r="Z104" i="43"/>
  <c r="Y104" i="43"/>
  <c r="X104" i="43"/>
  <c r="W104" i="43"/>
  <c r="V104" i="43"/>
  <c r="AO103" i="43"/>
  <c r="AN103" i="43"/>
  <c r="AM103" i="43"/>
  <c r="AL103" i="43"/>
  <c r="AK103" i="43"/>
  <c r="AJ103" i="43"/>
  <c r="AI103" i="43"/>
  <c r="AH103" i="43"/>
  <c r="AG103" i="43"/>
  <c r="AF103" i="43"/>
  <c r="AE103" i="43"/>
  <c r="AD103" i="43"/>
  <c r="AC103" i="43"/>
  <c r="AB103" i="43"/>
  <c r="AA103" i="43"/>
  <c r="Z103" i="43"/>
  <c r="Y103" i="43"/>
  <c r="X103" i="43"/>
  <c r="V103" i="43"/>
  <c r="AO102" i="43"/>
  <c r="AN102" i="43"/>
  <c r="AM102" i="43"/>
  <c r="AL102" i="43"/>
  <c r="AK102" i="43"/>
  <c r="AJ102" i="43"/>
  <c r="AI102" i="43"/>
  <c r="AH102" i="43"/>
  <c r="AG102" i="43"/>
  <c r="AF102" i="43"/>
  <c r="AE102" i="43"/>
  <c r="AD102" i="43"/>
  <c r="AC102" i="43"/>
  <c r="AB102" i="43"/>
  <c r="AA102" i="43"/>
  <c r="Z102" i="43"/>
  <c r="Y102" i="43"/>
  <c r="X102" i="43"/>
  <c r="W102" i="43"/>
  <c r="V102" i="43"/>
  <c r="AO101" i="43"/>
  <c r="AN101" i="43"/>
  <c r="AM101" i="43"/>
  <c r="AL101" i="43"/>
  <c r="AK101" i="43"/>
  <c r="AJ101" i="43"/>
  <c r="AI101" i="43"/>
  <c r="AH101" i="43"/>
  <c r="AG101" i="43"/>
  <c r="AF101" i="43"/>
  <c r="AE101" i="43"/>
  <c r="AD101" i="43"/>
  <c r="AC101" i="43"/>
  <c r="AB101" i="43"/>
  <c r="AA101" i="43"/>
  <c r="Z101" i="43"/>
  <c r="Y101" i="43"/>
  <c r="X101" i="43"/>
  <c r="V101" i="43"/>
  <c r="AO100" i="43"/>
  <c r="AN100" i="43"/>
  <c r="AM100" i="43"/>
  <c r="AL100" i="43"/>
  <c r="AK100" i="43"/>
  <c r="AJ100" i="43"/>
  <c r="AI100" i="43"/>
  <c r="AH100" i="43"/>
  <c r="AG100" i="43"/>
  <c r="AF100" i="43"/>
  <c r="AE100" i="43"/>
  <c r="AD100" i="43"/>
  <c r="AC100" i="43"/>
  <c r="AB100" i="43"/>
  <c r="AA100" i="43"/>
  <c r="Z100" i="43"/>
  <c r="Y100" i="43"/>
  <c r="X100" i="43"/>
  <c r="V100" i="43"/>
  <c r="Y95" i="43"/>
  <c r="W95" i="43"/>
  <c r="AB94" i="43"/>
  <c r="Z94" i="43"/>
  <c r="Y94" i="43"/>
  <c r="V94" i="43"/>
  <c r="AC93" i="43"/>
  <c r="AA93" i="43"/>
  <c r="AD92" i="43"/>
  <c r="AC92" i="43"/>
  <c r="AB92" i="43"/>
  <c r="AA92" i="43"/>
  <c r="Z92" i="43"/>
  <c r="W92" i="43"/>
  <c r="X91" i="43"/>
  <c r="AC90" i="43"/>
  <c r="AC89" i="43"/>
  <c r="Y89" i="43"/>
  <c r="W89" i="43"/>
  <c r="AB88" i="43"/>
  <c r="AA88" i="43"/>
  <c r="Z88" i="43"/>
  <c r="Y88" i="43"/>
  <c r="V88" i="43"/>
  <c r="B88" i="43"/>
  <c r="AD87" i="43"/>
  <c r="AC87" i="43"/>
  <c r="AA87" i="43"/>
  <c r="V87" i="43"/>
  <c r="B85" i="43"/>
  <c r="Z82" i="43"/>
  <c r="Y82" i="43"/>
  <c r="X82" i="43"/>
  <c r="W82" i="43"/>
  <c r="V82" i="43"/>
  <c r="Z81" i="43"/>
  <c r="Y81" i="43"/>
  <c r="X81" i="43"/>
  <c r="W81" i="43"/>
  <c r="V81" i="43"/>
  <c r="Z80" i="43"/>
  <c r="Y80" i="43"/>
  <c r="X80" i="43"/>
  <c r="W80" i="43"/>
  <c r="V80" i="43"/>
  <c r="Z79" i="43"/>
  <c r="Y79" i="43"/>
  <c r="X79" i="43"/>
  <c r="W79" i="43"/>
  <c r="V79" i="43"/>
  <c r="Z78" i="43"/>
  <c r="Y78" i="43"/>
  <c r="X78" i="43"/>
  <c r="W78" i="43"/>
  <c r="V78" i="43"/>
  <c r="Z77" i="43"/>
  <c r="Y77" i="43"/>
  <c r="X77" i="43"/>
  <c r="W77" i="43"/>
  <c r="V77" i="43"/>
  <c r="Z76" i="43"/>
  <c r="Y76" i="43"/>
  <c r="X76" i="43"/>
  <c r="W76" i="43"/>
  <c r="V76" i="43"/>
  <c r="Z75" i="43"/>
  <c r="Y75" i="43"/>
  <c r="X75" i="43"/>
  <c r="V75" i="43"/>
  <c r="Z74" i="43"/>
  <c r="Y74" i="43"/>
  <c r="X74" i="43"/>
  <c r="W74" i="43"/>
  <c r="V74" i="43"/>
  <c r="Z73" i="43"/>
  <c r="Y73" i="43"/>
  <c r="X73" i="43"/>
  <c r="W73" i="43"/>
  <c r="V73" i="43"/>
  <c r="Z68" i="43"/>
  <c r="Y68" i="43"/>
  <c r="X68" i="43"/>
  <c r="W68" i="43"/>
  <c r="V68" i="43"/>
  <c r="Z67" i="43"/>
  <c r="Y67" i="43"/>
  <c r="X67" i="43"/>
  <c r="W67" i="43"/>
  <c r="V67" i="43"/>
  <c r="Z66" i="43"/>
  <c r="Y66" i="43"/>
  <c r="X66" i="43"/>
  <c r="V66" i="43"/>
  <c r="Z65" i="43"/>
  <c r="Y65" i="43"/>
  <c r="X65" i="43"/>
  <c r="W65" i="43"/>
  <c r="V65" i="43"/>
  <c r="Z64" i="43"/>
  <c r="Y64" i="43"/>
  <c r="X64" i="43"/>
  <c r="W64" i="43"/>
  <c r="V64" i="43"/>
  <c r="Z63" i="43"/>
  <c r="Y63" i="43"/>
  <c r="X63" i="43"/>
  <c r="W63" i="43"/>
  <c r="V63" i="43"/>
  <c r="B63" i="43"/>
  <c r="AQ33" i="43" s="1"/>
  <c r="Z62" i="43"/>
  <c r="Y62" i="43"/>
  <c r="X62" i="43"/>
  <c r="W62" i="43"/>
  <c r="V62" i="43"/>
  <c r="Z61" i="43"/>
  <c r="Y61" i="43"/>
  <c r="X61" i="43"/>
  <c r="W61" i="43"/>
  <c r="V61" i="43"/>
  <c r="Z60" i="43"/>
  <c r="Y60" i="43"/>
  <c r="X60" i="43"/>
  <c r="W60" i="43"/>
  <c r="V60" i="43"/>
  <c r="Z59" i="43"/>
  <c r="Y59" i="43"/>
  <c r="X59" i="43"/>
  <c r="W59" i="43"/>
  <c r="V59" i="43"/>
  <c r="Z58" i="43"/>
  <c r="Y58" i="43"/>
  <c r="X58" i="43"/>
  <c r="W58" i="43"/>
  <c r="V58" i="43"/>
  <c r="Z57" i="43"/>
  <c r="Y57" i="43"/>
  <c r="X57" i="43"/>
  <c r="W57" i="43"/>
  <c r="V57" i="43"/>
  <c r="Z56" i="43"/>
  <c r="Y56" i="43"/>
  <c r="X56" i="43"/>
  <c r="W56" i="43"/>
  <c r="V56" i="43"/>
  <c r="AC47" i="43"/>
  <c r="AC46" i="43"/>
  <c r="AE45" i="43"/>
  <c r="AC45" i="43"/>
  <c r="AE46" i="43" s="1"/>
  <c r="J38" i="43" s="1"/>
  <c r="B45" i="43"/>
  <c r="AP44" i="43"/>
  <c r="B94" i="43" s="1"/>
  <c r="AP43" i="43"/>
  <c r="B91" i="43" s="1"/>
  <c r="AP42" i="43"/>
  <c r="X42" i="43"/>
  <c r="AP41" i="43"/>
  <c r="X41" i="43"/>
  <c r="AP40" i="43"/>
  <c r="B82" i="43" s="1"/>
  <c r="X40" i="43"/>
  <c r="X39" i="43"/>
  <c r="X38" i="43"/>
  <c r="B38" i="43"/>
  <c r="AK37" i="43"/>
  <c r="AU59" i="43" s="1"/>
  <c r="X37" i="43"/>
  <c r="AL36" i="43"/>
  <c r="AK36" i="43"/>
  <c r="AU58" i="43" s="1"/>
  <c r="X36" i="43"/>
  <c r="AL35" i="43"/>
  <c r="AK35" i="43"/>
  <c r="AU57" i="43" s="1"/>
  <c r="X35" i="43"/>
  <c r="Q35" i="43"/>
  <c r="P35" i="43"/>
  <c r="AL34" i="43"/>
  <c r="AK34" i="43"/>
  <c r="AU56" i="43" s="1"/>
  <c r="X34" i="43"/>
  <c r="AL33" i="43"/>
  <c r="AK33" i="43"/>
  <c r="AU55" i="43" s="1"/>
  <c r="X33" i="43"/>
  <c r="AL32" i="43"/>
  <c r="AK32" i="43"/>
  <c r="AU54" i="43" s="1"/>
  <c r="X32" i="43"/>
  <c r="AL31" i="43"/>
  <c r="AK31" i="43"/>
  <c r="AU53" i="43" s="1"/>
  <c r="AG31" i="43"/>
  <c r="X31" i="43"/>
  <c r="AL30" i="43"/>
  <c r="AK30" i="43"/>
  <c r="AU52" i="43" s="1"/>
  <c r="X30" i="43"/>
  <c r="B30" i="43"/>
  <c r="AQ27" i="43" s="1"/>
  <c r="AQ29" i="43"/>
  <c r="AL29" i="43"/>
  <c r="AK29" i="43"/>
  <c r="AU51" i="43" s="1"/>
  <c r="X29" i="43"/>
  <c r="X28" i="43"/>
  <c r="B27" i="43"/>
  <c r="P25" i="43"/>
  <c r="P24" i="43" s="1"/>
  <c r="G20" i="43" s="1"/>
  <c r="G24" i="43"/>
  <c r="E24" i="43"/>
  <c r="C24" i="43"/>
  <c r="AC23" i="43"/>
  <c r="AB23" i="43"/>
  <c r="AA23" i="43"/>
  <c r="Z23" i="43"/>
  <c r="Y23" i="43"/>
  <c r="I23" i="43"/>
  <c r="G23" i="43"/>
  <c r="E23" i="43"/>
  <c r="C23" i="43"/>
  <c r="AB22" i="43"/>
  <c r="AA22" i="43"/>
  <c r="Z22" i="43"/>
  <c r="AC22" i="43" s="1"/>
  <c r="Y22" i="43"/>
  <c r="I22" i="43"/>
  <c r="G22" i="43"/>
  <c r="E22" i="43"/>
  <c r="C22" i="43"/>
  <c r="I21" i="43"/>
  <c r="G21" i="43"/>
  <c r="E21" i="43"/>
  <c r="C21" i="43"/>
  <c r="AQ20" i="43"/>
  <c r="AI20" i="43"/>
  <c r="I20" i="43"/>
  <c r="AQ19" i="43"/>
  <c r="B69" i="43" s="1"/>
  <c r="AQ35" i="43" s="1"/>
  <c r="AI19" i="43"/>
  <c r="AQ18" i="43"/>
  <c r="B66" i="43" s="1"/>
  <c r="AQ34" i="43" s="1"/>
  <c r="AJ18" i="43"/>
  <c r="AK18" i="43" s="1"/>
  <c r="AV26" i="43" s="1"/>
  <c r="AI18" i="43"/>
  <c r="I18" i="43"/>
  <c r="AI17" i="43"/>
  <c r="AJ15" i="43" s="1"/>
  <c r="AK15" i="43" s="1"/>
  <c r="AU26" i="43" s="1"/>
  <c r="AI16" i="43"/>
  <c r="AI15" i="43"/>
  <c r="AQ14" i="43"/>
  <c r="AI14" i="43"/>
  <c r="I14" i="43"/>
  <c r="AQ13" i="43"/>
  <c r="B60" i="43" s="1"/>
  <c r="AQ32" i="43" s="1"/>
  <c r="AI13" i="43"/>
  <c r="AQ12" i="43"/>
  <c r="AI12" i="43"/>
  <c r="AJ12" i="43" s="1"/>
  <c r="AK12" i="43" s="1"/>
  <c r="AT26" i="43" s="1"/>
  <c r="AI11" i="43"/>
  <c r="AB11" i="43"/>
  <c r="AA11" i="43"/>
  <c r="Z11" i="43"/>
  <c r="AC11" i="43" s="1"/>
  <c r="Y11" i="43"/>
  <c r="AI10" i="43"/>
  <c r="AB10" i="43"/>
  <c r="AA10" i="43"/>
  <c r="Z10" i="43"/>
  <c r="AC10" i="43" s="1"/>
  <c r="Y10" i="43"/>
  <c r="AI9" i="43"/>
  <c r="AJ9" i="43" s="1"/>
  <c r="AB9" i="43"/>
  <c r="AA9" i="43"/>
  <c r="Z9" i="43"/>
  <c r="AC9" i="43" s="1"/>
  <c r="Y9" i="43"/>
  <c r="AQ8" i="43"/>
  <c r="B54" i="43" s="1"/>
  <c r="AQ30" i="43" s="1"/>
  <c r="AC8" i="43"/>
  <c r="AB8" i="43"/>
  <c r="AA8" i="43"/>
  <c r="Z8" i="43"/>
  <c r="Y8" i="43"/>
  <c r="AD8" i="43" s="1"/>
  <c r="AB36" i="43" s="1"/>
  <c r="AQ7" i="43"/>
  <c r="B51" i="43" s="1"/>
  <c r="AQ6" i="43"/>
  <c r="V46" i="42"/>
  <c r="AD31" i="42"/>
  <c r="AD32" i="42"/>
  <c r="AD30" i="42"/>
  <c r="AA215" i="42"/>
  <c r="V214" i="42"/>
  <c r="V213" i="42"/>
  <c r="V212" i="42"/>
  <c r="V211" i="42"/>
  <c r="V210" i="42"/>
  <c r="V209" i="42"/>
  <c r="V208" i="42"/>
  <c r="V207" i="42"/>
  <c r="V206" i="42"/>
  <c r="V205" i="42"/>
  <c r="V204" i="42"/>
  <c r="V203" i="42"/>
  <c r="V202" i="42"/>
  <c r="V201" i="42"/>
  <c r="V200" i="42"/>
  <c r="V199" i="42"/>
  <c r="V198" i="42"/>
  <c r="V197" i="42"/>
  <c r="V196" i="42"/>
  <c r="V195" i="42"/>
  <c r="V194" i="42"/>
  <c r="V193" i="42"/>
  <c r="V192" i="42"/>
  <c r="V191" i="42"/>
  <c r="V190" i="42"/>
  <c r="V189" i="42"/>
  <c r="V188" i="42"/>
  <c r="AO179" i="42"/>
  <c r="AN179" i="42"/>
  <c r="AM179" i="42"/>
  <c r="AL179" i="42"/>
  <c r="AK179" i="42"/>
  <c r="AJ179" i="42"/>
  <c r="AI179" i="42"/>
  <c r="AH179" i="42"/>
  <c r="AG179" i="42"/>
  <c r="AF179" i="42"/>
  <c r="AE179" i="42"/>
  <c r="AD179" i="42"/>
  <c r="AC179" i="42"/>
  <c r="AB179" i="42"/>
  <c r="AA179" i="42"/>
  <c r="Z179" i="42"/>
  <c r="Y179" i="42"/>
  <c r="X179" i="42"/>
  <c r="W179" i="42"/>
  <c r="V179" i="42"/>
  <c r="AO178" i="42"/>
  <c r="AN178" i="42"/>
  <c r="AM178" i="42"/>
  <c r="AL178" i="42"/>
  <c r="AK178" i="42"/>
  <c r="AJ178" i="42"/>
  <c r="AI178" i="42"/>
  <c r="AH178" i="42"/>
  <c r="AG178" i="42"/>
  <c r="AF178" i="42"/>
  <c r="AE178" i="42"/>
  <c r="AD178" i="42"/>
  <c r="AC178" i="42"/>
  <c r="AB178" i="42"/>
  <c r="AA178" i="42"/>
  <c r="Z178" i="42"/>
  <c r="Y178" i="42"/>
  <c r="X178" i="42"/>
  <c r="W178" i="42"/>
  <c r="V178" i="42"/>
  <c r="AO177" i="42"/>
  <c r="AN177" i="42"/>
  <c r="AM177" i="42"/>
  <c r="AL177" i="42"/>
  <c r="AK177" i="42"/>
  <c r="AJ177" i="42"/>
  <c r="AI177" i="42"/>
  <c r="AH177" i="42"/>
  <c r="AG177" i="42"/>
  <c r="AF177" i="42"/>
  <c r="AE177" i="42"/>
  <c r="AD177" i="42"/>
  <c r="AC177" i="42"/>
  <c r="AB177" i="42"/>
  <c r="AA177" i="42"/>
  <c r="Z177" i="42"/>
  <c r="Y177" i="42"/>
  <c r="X177" i="42"/>
  <c r="W177" i="42"/>
  <c r="V177" i="42"/>
  <c r="AO176" i="42"/>
  <c r="AN176" i="42"/>
  <c r="AM176" i="42"/>
  <c r="AL176" i="42"/>
  <c r="AK176" i="42"/>
  <c r="AJ176" i="42"/>
  <c r="AI176" i="42"/>
  <c r="AH176" i="42"/>
  <c r="AG176" i="42"/>
  <c r="AF176" i="42"/>
  <c r="AE176" i="42"/>
  <c r="AD176" i="42"/>
  <c r="AC176" i="42"/>
  <c r="AB176" i="42"/>
  <c r="AA176" i="42"/>
  <c r="Z176" i="42"/>
  <c r="Y176" i="42"/>
  <c r="X176" i="42"/>
  <c r="V176" i="42"/>
  <c r="AO175" i="42"/>
  <c r="AN175" i="42"/>
  <c r="AM175" i="42"/>
  <c r="AL175" i="42"/>
  <c r="AK175" i="42"/>
  <c r="AJ175" i="42"/>
  <c r="AI175" i="42"/>
  <c r="AH175" i="42"/>
  <c r="AG175" i="42"/>
  <c r="AF175" i="42"/>
  <c r="AE175" i="42"/>
  <c r="AD175" i="42"/>
  <c r="AC175" i="42"/>
  <c r="AB175" i="42"/>
  <c r="AA175" i="42"/>
  <c r="Z175" i="42"/>
  <c r="Y175" i="42"/>
  <c r="X175" i="42"/>
  <c r="V175" i="42"/>
  <c r="AO174" i="42"/>
  <c r="AN174" i="42"/>
  <c r="AM174" i="42"/>
  <c r="AL174" i="42"/>
  <c r="AK174" i="42"/>
  <c r="AJ174" i="42"/>
  <c r="AI174" i="42"/>
  <c r="AH174" i="42"/>
  <c r="AG174" i="42"/>
  <c r="AF174" i="42"/>
  <c r="AE174" i="42"/>
  <c r="AD174" i="42"/>
  <c r="AC174" i="42"/>
  <c r="AB174" i="42"/>
  <c r="AA174" i="42"/>
  <c r="Z174" i="42"/>
  <c r="Y174" i="42"/>
  <c r="X174" i="42"/>
  <c r="V174" i="42"/>
  <c r="AO173" i="42"/>
  <c r="AN173" i="42"/>
  <c r="AM173" i="42"/>
  <c r="AL173" i="42"/>
  <c r="AK173" i="42"/>
  <c r="AJ173" i="42"/>
  <c r="AI173" i="42"/>
  <c r="AH173" i="42"/>
  <c r="AG173" i="42"/>
  <c r="AF173" i="42"/>
  <c r="AE173" i="42"/>
  <c r="AD173" i="42"/>
  <c r="AC173" i="42"/>
  <c r="AB173" i="42"/>
  <c r="AA173" i="42"/>
  <c r="Z173" i="42"/>
  <c r="Y173" i="42"/>
  <c r="X173" i="42"/>
  <c r="V173" i="42"/>
  <c r="AO172" i="42"/>
  <c r="AN172" i="42"/>
  <c r="AM172" i="42"/>
  <c r="AL172" i="42"/>
  <c r="AK172" i="42"/>
  <c r="AJ172" i="42"/>
  <c r="AI172" i="42"/>
  <c r="AH172" i="42"/>
  <c r="AG172" i="42"/>
  <c r="AF172" i="42"/>
  <c r="AE172" i="42"/>
  <c r="AD172" i="42"/>
  <c r="AC172" i="42"/>
  <c r="AB172" i="42"/>
  <c r="AA172" i="42"/>
  <c r="Z172" i="42"/>
  <c r="Y172" i="42"/>
  <c r="X172" i="42"/>
  <c r="W172" i="42"/>
  <c r="V172" i="42"/>
  <c r="AO171" i="42"/>
  <c r="AN171" i="42"/>
  <c r="AM171" i="42"/>
  <c r="AL171" i="42"/>
  <c r="AK171" i="42"/>
  <c r="AJ171" i="42"/>
  <c r="AI171" i="42"/>
  <c r="AH171" i="42"/>
  <c r="AG171" i="42"/>
  <c r="AF171" i="42"/>
  <c r="AE171" i="42"/>
  <c r="AD171" i="42"/>
  <c r="AC171" i="42"/>
  <c r="AB171" i="42"/>
  <c r="AA171" i="42"/>
  <c r="Z171" i="42"/>
  <c r="Y171" i="42"/>
  <c r="X171" i="42"/>
  <c r="V171" i="42"/>
  <c r="AO170" i="42"/>
  <c r="AN170" i="42"/>
  <c r="AM170" i="42"/>
  <c r="AL170" i="42"/>
  <c r="AK170" i="42"/>
  <c r="AJ170" i="42"/>
  <c r="AI170" i="42"/>
  <c r="AH170" i="42"/>
  <c r="AG170" i="42"/>
  <c r="AF170" i="42"/>
  <c r="AE170" i="42"/>
  <c r="AD170" i="42"/>
  <c r="AC170" i="42"/>
  <c r="AB170" i="42"/>
  <c r="AA170" i="42"/>
  <c r="Z170" i="42"/>
  <c r="Y170" i="42"/>
  <c r="X170" i="42"/>
  <c r="V170" i="42"/>
  <c r="AO169" i="42"/>
  <c r="AN169" i="42"/>
  <c r="AM169" i="42"/>
  <c r="AL169" i="42"/>
  <c r="AK169" i="42"/>
  <c r="AJ169" i="42"/>
  <c r="AI169" i="42"/>
  <c r="AH169" i="42"/>
  <c r="AG169" i="42"/>
  <c r="AF169" i="42"/>
  <c r="AE169" i="42"/>
  <c r="AD169" i="42"/>
  <c r="AC169" i="42"/>
  <c r="AB169" i="42"/>
  <c r="AA169" i="42"/>
  <c r="Z169" i="42"/>
  <c r="Y169" i="42"/>
  <c r="X169" i="42"/>
  <c r="W169" i="42"/>
  <c r="V169" i="42"/>
  <c r="AO168" i="42"/>
  <c r="AN168" i="42"/>
  <c r="AM168" i="42"/>
  <c r="AL168" i="42"/>
  <c r="X95" i="42" s="1"/>
  <c r="AK168" i="42"/>
  <c r="AJ168" i="42"/>
  <c r="AI168" i="42"/>
  <c r="AH168" i="42"/>
  <c r="AG168" i="42"/>
  <c r="AF168" i="42"/>
  <c r="AE168" i="42"/>
  <c r="AD168" i="42"/>
  <c r="AD95" i="42" s="1"/>
  <c r="AC168" i="42"/>
  <c r="AB168" i="42"/>
  <c r="AA168" i="42"/>
  <c r="Z168" i="42"/>
  <c r="Z95" i="42" s="1"/>
  <c r="Y168" i="42"/>
  <c r="Y95" i="42" s="1"/>
  <c r="X168" i="42"/>
  <c r="W168" i="42"/>
  <c r="V168" i="42"/>
  <c r="AO167" i="42"/>
  <c r="AN167" i="42"/>
  <c r="AM167" i="42"/>
  <c r="AL167" i="42"/>
  <c r="X94" i="42" s="1"/>
  <c r="AK167" i="42"/>
  <c r="AJ167" i="42"/>
  <c r="AI167" i="42"/>
  <c r="AH167" i="42"/>
  <c r="AG167" i="42"/>
  <c r="AF167" i="42"/>
  <c r="AE167" i="42"/>
  <c r="AD167" i="42"/>
  <c r="AD94" i="42" s="1"/>
  <c r="AC167" i="42"/>
  <c r="AB167" i="42"/>
  <c r="AB94" i="42" s="1"/>
  <c r="AA167" i="42"/>
  <c r="AA94" i="42" s="1"/>
  <c r="Z167" i="42"/>
  <c r="Z94" i="42" s="1"/>
  <c r="Y167" i="42"/>
  <c r="X167" i="42"/>
  <c r="W167" i="42"/>
  <c r="V167" i="42"/>
  <c r="V94" i="42" s="1"/>
  <c r="AO166" i="42"/>
  <c r="AN166" i="42"/>
  <c r="AM166" i="42"/>
  <c r="AL166" i="42"/>
  <c r="AK166" i="42"/>
  <c r="AJ166" i="42"/>
  <c r="AI166" i="42"/>
  <c r="AH166" i="42"/>
  <c r="AG166" i="42"/>
  <c r="AF166" i="42"/>
  <c r="AE166" i="42"/>
  <c r="AD166" i="42"/>
  <c r="AD93" i="42" s="1"/>
  <c r="AC166" i="42"/>
  <c r="AC93" i="42" s="1"/>
  <c r="AB166" i="42"/>
  <c r="AA166" i="42"/>
  <c r="Z166" i="42"/>
  <c r="Z93" i="42" s="1"/>
  <c r="Y166" i="42"/>
  <c r="X166" i="42"/>
  <c r="W166" i="42"/>
  <c r="W93" i="42" s="1"/>
  <c r="V166" i="42"/>
  <c r="AO165" i="42"/>
  <c r="AN165" i="42"/>
  <c r="AM165" i="42"/>
  <c r="AL165" i="42"/>
  <c r="AK165" i="42"/>
  <c r="AJ165" i="42"/>
  <c r="AI165" i="42"/>
  <c r="AH165" i="42"/>
  <c r="AG165" i="42"/>
  <c r="AF165" i="42"/>
  <c r="AE165" i="42"/>
  <c r="AD165" i="42"/>
  <c r="AD92" i="42" s="1"/>
  <c r="AC165" i="42"/>
  <c r="AB165" i="42"/>
  <c r="AB92" i="42" s="1"/>
  <c r="AA165" i="42"/>
  <c r="Z165" i="42"/>
  <c r="Z92" i="42" s="1"/>
  <c r="Y165" i="42"/>
  <c r="Y92" i="42" s="1"/>
  <c r="X165" i="42"/>
  <c r="W165" i="42"/>
  <c r="V165" i="42"/>
  <c r="V92" i="42" s="1"/>
  <c r="AO164" i="42"/>
  <c r="AN164" i="42"/>
  <c r="AM164" i="42"/>
  <c r="AL164" i="42"/>
  <c r="X91" i="42" s="1"/>
  <c r="AK164" i="42"/>
  <c r="AJ164" i="42"/>
  <c r="AI164" i="42"/>
  <c r="AH164" i="42"/>
  <c r="AG164" i="42"/>
  <c r="AF164" i="42"/>
  <c r="AE164" i="42"/>
  <c r="AD164" i="42"/>
  <c r="AD91" i="42" s="1"/>
  <c r="AC164" i="42"/>
  <c r="AB164" i="42"/>
  <c r="AB91" i="42" s="1"/>
  <c r="AA164" i="42"/>
  <c r="AA91" i="42" s="1"/>
  <c r="Z164" i="42"/>
  <c r="Z91" i="42" s="1"/>
  <c r="Y164" i="42"/>
  <c r="X164" i="42"/>
  <c r="W164" i="42"/>
  <c r="V164" i="42"/>
  <c r="V91" i="42" s="1"/>
  <c r="AO163" i="42"/>
  <c r="AN163" i="42"/>
  <c r="AM163" i="42"/>
  <c r="AL163" i="42"/>
  <c r="X90" i="42" s="1"/>
  <c r="AK163" i="42"/>
  <c r="AJ163" i="42"/>
  <c r="AI163" i="42"/>
  <c r="AH163" i="42"/>
  <c r="AG163" i="42"/>
  <c r="AF163" i="42"/>
  <c r="AE163" i="42"/>
  <c r="AD163" i="42"/>
  <c r="AD90" i="42" s="1"/>
  <c r="AC163" i="42"/>
  <c r="AC90" i="42" s="1"/>
  <c r="AB163" i="42"/>
  <c r="AB90" i="42" s="1"/>
  <c r="AA163" i="42"/>
  <c r="Z163" i="42"/>
  <c r="Z90" i="42" s="1"/>
  <c r="Y163" i="42"/>
  <c r="X163" i="42"/>
  <c r="W163" i="42"/>
  <c r="W90" i="42" s="1"/>
  <c r="V163" i="42"/>
  <c r="V90" i="42" s="1"/>
  <c r="AO162" i="42"/>
  <c r="AN162" i="42"/>
  <c r="AM162" i="42"/>
  <c r="AL162" i="42"/>
  <c r="X89" i="42" s="1"/>
  <c r="AK162" i="42"/>
  <c r="AJ162" i="42"/>
  <c r="AI162" i="42"/>
  <c r="AH162" i="42"/>
  <c r="AG162" i="42"/>
  <c r="AF162" i="42"/>
  <c r="AE162" i="42"/>
  <c r="AD162" i="42"/>
  <c r="AD89" i="42" s="1"/>
  <c r="AC162" i="42"/>
  <c r="AB162" i="42"/>
  <c r="AB89" i="42" s="1"/>
  <c r="AA162" i="42"/>
  <c r="Z162" i="42"/>
  <c r="Z89" i="42" s="1"/>
  <c r="Y162" i="42"/>
  <c r="Y89" i="42" s="1"/>
  <c r="X162" i="42"/>
  <c r="W162" i="42"/>
  <c r="V162" i="42"/>
  <c r="V89" i="42" s="1"/>
  <c r="AO161" i="42"/>
  <c r="AN161" i="42"/>
  <c r="AM161" i="42"/>
  <c r="AL161" i="42"/>
  <c r="X88" i="42" s="1"/>
  <c r="AK161" i="42"/>
  <c r="AJ161" i="42"/>
  <c r="AI161" i="42"/>
  <c r="AH161" i="42"/>
  <c r="AG161" i="42"/>
  <c r="AF161" i="42"/>
  <c r="AE161" i="42"/>
  <c r="AD161" i="42"/>
  <c r="AD88" i="42" s="1"/>
  <c r="AC161" i="42"/>
  <c r="AB161" i="42"/>
  <c r="AB88" i="42" s="1"/>
  <c r="AA161" i="42"/>
  <c r="AA88" i="42" s="1"/>
  <c r="Z161" i="42"/>
  <c r="Z88" i="42" s="1"/>
  <c r="Y161" i="42"/>
  <c r="X161" i="42"/>
  <c r="W161" i="42"/>
  <c r="V161" i="42"/>
  <c r="V88" i="42" s="1"/>
  <c r="AO160" i="42"/>
  <c r="AN160" i="42"/>
  <c r="AM160" i="42"/>
  <c r="AL160" i="42"/>
  <c r="X87" i="42" s="1"/>
  <c r="AK160" i="42"/>
  <c r="AJ160" i="42"/>
  <c r="AI160" i="42"/>
  <c r="AH160" i="42"/>
  <c r="AG160" i="42"/>
  <c r="AF160" i="42"/>
  <c r="AE160" i="42"/>
  <c r="AD160" i="42"/>
  <c r="AD87" i="42" s="1"/>
  <c r="AC160" i="42"/>
  <c r="AC87" i="42" s="1"/>
  <c r="AB160" i="42"/>
  <c r="AB87" i="42" s="1"/>
  <c r="AA160" i="42"/>
  <c r="Z160" i="42"/>
  <c r="Z87" i="42" s="1"/>
  <c r="Y160" i="42"/>
  <c r="X160" i="42"/>
  <c r="V160" i="42"/>
  <c r="V87" i="42" s="1"/>
  <c r="AO159" i="42"/>
  <c r="AN159" i="42"/>
  <c r="AM159" i="42"/>
  <c r="AL159" i="42"/>
  <c r="AK159" i="42"/>
  <c r="AJ159" i="42"/>
  <c r="AI159" i="42"/>
  <c r="AH159" i="42"/>
  <c r="AG159" i="42"/>
  <c r="AF159" i="42"/>
  <c r="AE159" i="42"/>
  <c r="AD159" i="42"/>
  <c r="AC159" i="42"/>
  <c r="AB159" i="42"/>
  <c r="AA159" i="42"/>
  <c r="Z159" i="42"/>
  <c r="Y159" i="42"/>
  <c r="X159" i="42"/>
  <c r="W159" i="42"/>
  <c r="V159" i="42"/>
  <c r="AO158" i="42"/>
  <c r="AN158" i="42"/>
  <c r="AM158" i="42"/>
  <c r="AL158" i="42"/>
  <c r="AK158" i="42"/>
  <c r="AJ158" i="42"/>
  <c r="AI158" i="42"/>
  <c r="AH158" i="42"/>
  <c r="AG158" i="42"/>
  <c r="AF158" i="42"/>
  <c r="AE158" i="42"/>
  <c r="AD158" i="42"/>
  <c r="AC158" i="42"/>
  <c r="AB158" i="42"/>
  <c r="AA158" i="42"/>
  <c r="Z158" i="42"/>
  <c r="Y158" i="42"/>
  <c r="X158" i="42"/>
  <c r="W158" i="42"/>
  <c r="V158" i="42"/>
  <c r="AO157" i="42"/>
  <c r="AN157" i="42"/>
  <c r="AM157" i="42"/>
  <c r="AL157" i="42"/>
  <c r="AK157" i="42"/>
  <c r="AJ157" i="42"/>
  <c r="AI157" i="42"/>
  <c r="AH157" i="42"/>
  <c r="AG157" i="42"/>
  <c r="AF157" i="42"/>
  <c r="AE157" i="42"/>
  <c r="AD157" i="42"/>
  <c r="AC157" i="42"/>
  <c r="AB157" i="42"/>
  <c r="AA157" i="42"/>
  <c r="Z157" i="42"/>
  <c r="Y157" i="42"/>
  <c r="X157" i="42"/>
  <c r="W157" i="42"/>
  <c r="V157" i="42"/>
  <c r="AO156" i="42"/>
  <c r="AN156" i="42"/>
  <c r="AM156" i="42"/>
  <c r="AL156" i="42"/>
  <c r="AK156" i="42"/>
  <c r="AJ156" i="42"/>
  <c r="AI156" i="42"/>
  <c r="AH156" i="42"/>
  <c r="AG156" i="42"/>
  <c r="AF156" i="42"/>
  <c r="AE156" i="42"/>
  <c r="AD156" i="42"/>
  <c r="AC156" i="42"/>
  <c r="AB156" i="42"/>
  <c r="AA156" i="42"/>
  <c r="Z156" i="42"/>
  <c r="Y156" i="42"/>
  <c r="X156" i="42"/>
  <c r="W156" i="42"/>
  <c r="V156" i="42"/>
  <c r="AO155" i="42"/>
  <c r="AN155" i="42"/>
  <c r="AM155" i="42"/>
  <c r="AL155" i="42"/>
  <c r="AK155" i="42"/>
  <c r="AJ155" i="42"/>
  <c r="AI155" i="42"/>
  <c r="AH155" i="42"/>
  <c r="AG155" i="42"/>
  <c r="AF155" i="42"/>
  <c r="AE155" i="42"/>
  <c r="AD155" i="42"/>
  <c r="AC155" i="42"/>
  <c r="AB155" i="42"/>
  <c r="AA155" i="42"/>
  <c r="Z155" i="42"/>
  <c r="Y155" i="42"/>
  <c r="X155" i="42"/>
  <c r="W155" i="42"/>
  <c r="V155" i="42"/>
  <c r="AO154" i="42"/>
  <c r="AN154" i="42"/>
  <c r="AM154" i="42"/>
  <c r="AL154" i="42"/>
  <c r="AK154" i="42"/>
  <c r="AJ154" i="42"/>
  <c r="AI154" i="42"/>
  <c r="AH154" i="42"/>
  <c r="AG154" i="42"/>
  <c r="AF154" i="42"/>
  <c r="AE154" i="42"/>
  <c r="AD154" i="42"/>
  <c r="AC154" i="42"/>
  <c r="AB154" i="42"/>
  <c r="AA154" i="42"/>
  <c r="Z154" i="42"/>
  <c r="Y154" i="42"/>
  <c r="X154" i="42"/>
  <c r="W154" i="42"/>
  <c r="V154" i="42"/>
  <c r="AO153" i="42"/>
  <c r="AN153" i="42"/>
  <c r="AM153" i="42"/>
  <c r="AL153" i="42"/>
  <c r="AK153" i="42"/>
  <c r="AJ153" i="42"/>
  <c r="AI153" i="42"/>
  <c r="AH153" i="42"/>
  <c r="AG153" i="42"/>
  <c r="AF153" i="42"/>
  <c r="AE153" i="42"/>
  <c r="AD153" i="42"/>
  <c r="AC153" i="42"/>
  <c r="AB153" i="42"/>
  <c r="AA153" i="42"/>
  <c r="Z153" i="42"/>
  <c r="Y153" i="42"/>
  <c r="X153" i="42"/>
  <c r="W153" i="42"/>
  <c r="V153" i="42"/>
  <c r="AO152" i="42"/>
  <c r="AN152" i="42"/>
  <c r="AM152" i="42"/>
  <c r="AL152" i="42"/>
  <c r="AK152" i="42"/>
  <c r="AJ152" i="42"/>
  <c r="AI152" i="42"/>
  <c r="AH152" i="42"/>
  <c r="AG152" i="42"/>
  <c r="AF152" i="42"/>
  <c r="AE152" i="42"/>
  <c r="AD152" i="42"/>
  <c r="AC152" i="42"/>
  <c r="AB152" i="42"/>
  <c r="AA152" i="42"/>
  <c r="Z152" i="42"/>
  <c r="Y152" i="42"/>
  <c r="X152" i="42"/>
  <c r="W152" i="42"/>
  <c r="V152" i="42"/>
  <c r="AO151" i="42"/>
  <c r="AN151" i="42"/>
  <c r="AM151" i="42"/>
  <c r="AL151" i="42"/>
  <c r="AK151" i="42"/>
  <c r="AJ151" i="42"/>
  <c r="AI151" i="42"/>
  <c r="AH151" i="42"/>
  <c r="AG151" i="42"/>
  <c r="AF151" i="42"/>
  <c r="AE151" i="42"/>
  <c r="AD151" i="42"/>
  <c r="AC151" i="42"/>
  <c r="AB151" i="42"/>
  <c r="AA151" i="42"/>
  <c r="Z151" i="42"/>
  <c r="Y151" i="42"/>
  <c r="X151" i="42"/>
  <c r="W151" i="42"/>
  <c r="V151" i="42"/>
  <c r="AO150" i="42"/>
  <c r="AN150" i="42"/>
  <c r="AM150" i="42"/>
  <c r="AL150" i="42"/>
  <c r="AK150" i="42"/>
  <c r="AJ150" i="42"/>
  <c r="AI150" i="42"/>
  <c r="AH150" i="42"/>
  <c r="AG150" i="42"/>
  <c r="AF150" i="42"/>
  <c r="AE150" i="42"/>
  <c r="AD150" i="42"/>
  <c r="AC150" i="42"/>
  <c r="AB150" i="42"/>
  <c r="AA150" i="42"/>
  <c r="Z150" i="42"/>
  <c r="Y150" i="42"/>
  <c r="X150" i="42"/>
  <c r="W150" i="42"/>
  <c r="V150" i="42"/>
  <c r="AO149" i="42"/>
  <c r="AN149" i="42"/>
  <c r="AM149" i="42"/>
  <c r="AL149" i="42"/>
  <c r="AK149" i="42"/>
  <c r="AJ149" i="42"/>
  <c r="AI149" i="42"/>
  <c r="AH149" i="42"/>
  <c r="AG149" i="42"/>
  <c r="AF149" i="42"/>
  <c r="AE149" i="42"/>
  <c r="AD149" i="42"/>
  <c r="AC149" i="42"/>
  <c r="AB149" i="42"/>
  <c r="AA149" i="42"/>
  <c r="Z149" i="42"/>
  <c r="Y149" i="42"/>
  <c r="X149" i="42"/>
  <c r="V149" i="42"/>
  <c r="AO148" i="42"/>
  <c r="AN148" i="42"/>
  <c r="AM148" i="42"/>
  <c r="AL148" i="42"/>
  <c r="AK148" i="42"/>
  <c r="AJ148" i="42"/>
  <c r="AI148" i="42"/>
  <c r="AH148" i="42"/>
  <c r="AG148" i="42"/>
  <c r="AF148" i="42"/>
  <c r="AE148" i="42"/>
  <c r="AD148" i="42"/>
  <c r="AC148" i="42"/>
  <c r="AB148" i="42"/>
  <c r="AA148" i="42"/>
  <c r="Z148" i="42"/>
  <c r="Y148" i="42"/>
  <c r="X148" i="42"/>
  <c r="V148" i="42"/>
  <c r="AO147" i="42"/>
  <c r="AN147" i="42"/>
  <c r="AM147" i="42"/>
  <c r="AL147" i="42"/>
  <c r="AK147" i="42"/>
  <c r="AJ147" i="42"/>
  <c r="AI147" i="42"/>
  <c r="AH147" i="42"/>
  <c r="AG147" i="42"/>
  <c r="AF147" i="42"/>
  <c r="AE147" i="42"/>
  <c r="AD147" i="42"/>
  <c r="AC147" i="42"/>
  <c r="AB147" i="42"/>
  <c r="AA147" i="42"/>
  <c r="Z147" i="42"/>
  <c r="Y147" i="42"/>
  <c r="X147" i="42"/>
  <c r="V147" i="42"/>
  <c r="AO146" i="42"/>
  <c r="AN146" i="42"/>
  <c r="AM146" i="42"/>
  <c r="AL146" i="42"/>
  <c r="AK146" i="42"/>
  <c r="AJ146" i="42"/>
  <c r="AI146" i="42"/>
  <c r="AH146" i="42"/>
  <c r="AG146" i="42"/>
  <c r="AF146" i="42"/>
  <c r="AE146" i="42"/>
  <c r="AD146" i="42"/>
  <c r="AC146" i="42"/>
  <c r="AB146" i="42"/>
  <c r="AA146" i="42"/>
  <c r="Z146" i="42"/>
  <c r="Y146" i="42"/>
  <c r="X146" i="42"/>
  <c r="V146" i="42"/>
  <c r="AO145" i="42"/>
  <c r="AN145" i="42"/>
  <c r="AM145" i="42"/>
  <c r="AL145" i="42"/>
  <c r="AK145" i="42"/>
  <c r="AJ145" i="42"/>
  <c r="AI145" i="42"/>
  <c r="AH145" i="42"/>
  <c r="AG145" i="42"/>
  <c r="AF145" i="42"/>
  <c r="AE145" i="42"/>
  <c r="AD145" i="42"/>
  <c r="AC145" i="42"/>
  <c r="AB145" i="42"/>
  <c r="AA145" i="42"/>
  <c r="Z145" i="42"/>
  <c r="Y145" i="42"/>
  <c r="X145" i="42"/>
  <c r="W145" i="42"/>
  <c r="V145" i="42"/>
  <c r="AO144" i="42"/>
  <c r="AN144" i="42"/>
  <c r="AM144" i="42"/>
  <c r="AL144" i="42"/>
  <c r="AK144" i="42"/>
  <c r="AJ144" i="42"/>
  <c r="AI144" i="42"/>
  <c r="AH144" i="42"/>
  <c r="AG144" i="42"/>
  <c r="AF144" i="42"/>
  <c r="AE144" i="42"/>
  <c r="AD144" i="42"/>
  <c r="AC144" i="42"/>
  <c r="AB144" i="42"/>
  <c r="AA144" i="42"/>
  <c r="Z144" i="42"/>
  <c r="Y144" i="42"/>
  <c r="X144" i="42"/>
  <c r="W144" i="42"/>
  <c r="V144" i="42"/>
  <c r="AO143" i="42"/>
  <c r="AN143" i="42"/>
  <c r="AM143" i="42"/>
  <c r="AL143" i="42"/>
  <c r="AK143" i="42"/>
  <c r="AJ143" i="42"/>
  <c r="AI143" i="42"/>
  <c r="AH143" i="42"/>
  <c r="AG143" i="42"/>
  <c r="AF143" i="42"/>
  <c r="AE143" i="42"/>
  <c r="AD143" i="42"/>
  <c r="AC143" i="42"/>
  <c r="AB143" i="42"/>
  <c r="AA143" i="42"/>
  <c r="Z143" i="42"/>
  <c r="Y143" i="42"/>
  <c r="X143" i="42"/>
  <c r="W143" i="42"/>
  <c r="V143" i="42"/>
  <c r="Q143" i="42"/>
  <c r="AO142" i="42"/>
  <c r="AN142" i="42"/>
  <c r="AM142" i="42"/>
  <c r="AL142" i="42"/>
  <c r="AK142" i="42"/>
  <c r="AJ142" i="42"/>
  <c r="AI142" i="42"/>
  <c r="AH142" i="42"/>
  <c r="AG142" i="42"/>
  <c r="AF142" i="42"/>
  <c r="AE142" i="42"/>
  <c r="AD142" i="42"/>
  <c r="AC142" i="42"/>
  <c r="AB142" i="42"/>
  <c r="AA142" i="42"/>
  <c r="Z142" i="42"/>
  <c r="Y142" i="42"/>
  <c r="X142" i="42"/>
  <c r="W142" i="42"/>
  <c r="V142" i="42"/>
  <c r="Q142" i="42"/>
  <c r="AO141" i="42"/>
  <c r="AN141" i="42"/>
  <c r="AM141" i="42"/>
  <c r="AL141" i="42"/>
  <c r="AK141" i="42"/>
  <c r="AJ141" i="42"/>
  <c r="AI141" i="42"/>
  <c r="AH141" i="42"/>
  <c r="AG141" i="42"/>
  <c r="AF141" i="42"/>
  <c r="AE141" i="42"/>
  <c r="AD141" i="42"/>
  <c r="AC141" i="42"/>
  <c r="AB141" i="42"/>
  <c r="AA141" i="42"/>
  <c r="Z141" i="42"/>
  <c r="Y141" i="42"/>
  <c r="X141" i="42"/>
  <c r="W141" i="42"/>
  <c r="V141" i="42"/>
  <c r="Q141" i="42"/>
  <c r="AO140" i="42"/>
  <c r="AN140" i="42"/>
  <c r="AM140" i="42"/>
  <c r="AL140" i="42"/>
  <c r="AK140" i="42"/>
  <c r="AJ140" i="42"/>
  <c r="AI140" i="42"/>
  <c r="AH140" i="42"/>
  <c r="AG140" i="42"/>
  <c r="AF140" i="42"/>
  <c r="AE140" i="42"/>
  <c r="AD140" i="42"/>
  <c r="AC140" i="42"/>
  <c r="AB140" i="42"/>
  <c r="AA140" i="42"/>
  <c r="Z140" i="42"/>
  <c r="Y140" i="42"/>
  <c r="X140" i="42"/>
  <c r="W140" i="42"/>
  <c r="V140" i="42"/>
  <c r="Q140" i="42"/>
  <c r="AO139" i="42"/>
  <c r="AN139" i="42"/>
  <c r="AM139" i="42"/>
  <c r="AL139" i="42"/>
  <c r="AK139" i="42"/>
  <c r="AJ139" i="42"/>
  <c r="AI139" i="42"/>
  <c r="AH139" i="42"/>
  <c r="AG139" i="42"/>
  <c r="AF139" i="42"/>
  <c r="AE139" i="42"/>
  <c r="AD139" i="42"/>
  <c r="AC139" i="42"/>
  <c r="AB139" i="42"/>
  <c r="AA139" i="42"/>
  <c r="Z139" i="42"/>
  <c r="Y139" i="42"/>
  <c r="X139" i="42"/>
  <c r="W139" i="42"/>
  <c r="V139" i="42"/>
  <c r="Q139" i="42"/>
  <c r="AO138" i="42"/>
  <c r="AN138" i="42"/>
  <c r="AM138" i="42"/>
  <c r="AL138" i="42"/>
  <c r="AK138" i="42"/>
  <c r="AJ138" i="42"/>
  <c r="AI138" i="42"/>
  <c r="AH138" i="42"/>
  <c r="AG138" i="42"/>
  <c r="AF138" i="42"/>
  <c r="AE138" i="42"/>
  <c r="AD138" i="42"/>
  <c r="AC138" i="42"/>
  <c r="AB138" i="42"/>
  <c r="AA138" i="42"/>
  <c r="Z138" i="42"/>
  <c r="Y138" i="42"/>
  <c r="X138" i="42"/>
  <c r="W138" i="42"/>
  <c r="V138" i="42"/>
  <c r="Q138" i="42"/>
  <c r="AO137" i="42"/>
  <c r="AN137" i="42"/>
  <c r="AM137" i="42"/>
  <c r="AL137" i="42"/>
  <c r="AK137" i="42"/>
  <c r="AJ137" i="42"/>
  <c r="AI137" i="42"/>
  <c r="AH137" i="42"/>
  <c r="AG137" i="42"/>
  <c r="AF137" i="42"/>
  <c r="AE137" i="42"/>
  <c r="AD137" i="42"/>
  <c r="AC137" i="42"/>
  <c r="AB137" i="42"/>
  <c r="AA137" i="42"/>
  <c r="Z137" i="42"/>
  <c r="Y137" i="42"/>
  <c r="X137" i="42"/>
  <c r="W137" i="42"/>
  <c r="V137" i="42"/>
  <c r="Q137" i="42"/>
  <c r="AO136" i="42"/>
  <c r="AN136" i="42"/>
  <c r="AM136" i="42"/>
  <c r="AL136" i="42"/>
  <c r="AK136" i="42"/>
  <c r="AJ136" i="42"/>
  <c r="AI136" i="42"/>
  <c r="AH136" i="42"/>
  <c r="AG136" i="42"/>
  <c r="AF136" i="42"/>
  <c r="AE136" i="42"/>
  <c r="AD136" i="42"/>
  <c r="AC136" i="42"/>
  <c r="AB136" i="42"/>
  <c r="AA136" i="42"/>
  <c r="Z136" i="42"/>
  <c r="Y136" i="42"/>
  <c r="X136" i="42"/>
  <c r="W136" i="42"/>
  <c r="V136" i="42"/>
  <c r="Q136" i="42"/>
  <c r="AO135" i="42"/>
  <c r="AN135" i="42"/>
  <c r="AM135" i="42"/>
  <c r="AL135" i="42"/>
  <c r="AK135" i="42"/>
  <c r="AJ135" i="42"/>
  <c r="AI135" i="42"/>
  <c r="AH135" i="42"/>
  <c r="AG135" i="42"/>
  <c r="AF135" i="42"/>
  <c r="AE135" i="42"/>
  <c r="AD135" i="42"/>
  <c r="AC135" i="42"/>
  <c r="AB135" i="42"/>
  <c r="AA135" i="42"/>
  <c r="Z135" i="42"/>
  <c r="Y135" i="42"/>
  <c r="X135" i="42"/>
  <c r="W135" i="42"/>
  <c r="V135" i="42"/>
  <c r="Q135" i="42"/>
  <c r="AO134" i="42"/>
  <c r="AN134" i="42"/>
  <c r="AM134" i="42"/>
  <c r="AL134" i="42"/>
  <c r="AK134" i="42"/>
  <c r="AJ134" i="42"/>
  <c r="AI134" i="42"/>
  <c r="AH134" i="42"/>
  <c r="AG134" i="42"/>
  <c r="AF134" i="42"/>
  <c r="AE134" i="42"/>
  <c r="AD134" i="42"/>
  <c r="AC134" i="42"/>
  <c r="AB134" i="42"/>
  <c r="AA134" i="42"/>
  <c r="Z134" i="42"/>
  <c r="Y134" i="42"/>
  <c r="X134" i="42"/>
  <c r="W134" i="42"/>
  <c r="V134" i="42"/>
  <c r="Q134" i="42"/>
  <c r="AO133" i="42"/>
  <c r="AN133" i="42"/>
  <c r="AM133" i="42"/>
  <c r="AL133" i="42"/>
  <c r="AK133" i="42"/>
  <c r="AJ133" i="42"/>
  <c r="AI133" i="42"/>
  <c r="AH133" i="42"/>
  <c r="AG133" i="42"/>
  <c r="AF133" i="42"/>
  <c r="AE133" i="42"/>
  <c r="AD133" i="42"/>
  <c r="AC133" i="42"/>
  <c r="AB133" i="42"/>
  <c r="AA133" i="42"/>
  <c r="Z133" i="42"/>
  <c r="Y133" i="42"/>
  <c r="X133" i="42"/>
  <c r="W133" i="42"/>
  <c r="V133" i="42"/>
  <c r="Q133" i="42"/>
  <c r="AO132" i="42"/>
  <c r="AN132" i="42"/>
  <c r="AM132" i="42"/>
  <c r="AL132" i="42"/>
  <c r="AK132" i="42"/>
  <c r="AJ132" i="42"/>
  <c r="AI132" i="42"/>
  <c r="AH132" i="42"/>
  <c r="AG132" i="42"/>
  <c r="AF132" i="42"/>
  <c r="AE132" i="42"/>
  <c r="AD132" i="42"/>
  <c r="AC132" i="42"/>
  <c r="AB132" i="42"/>
  <c r="AA132" i="42"/>
  <c r="Z132" i="42"/>
  <c r="Y132" i="42"/>
  <c r="X132" i="42"/>
  <c r="W132" i="42"/>
  <c r="V132" i="42"/>
  <c r="Q132" i="42"/>
  <c r="AO131" i="42"/>
  <c r="AN131" i="42"/>
  <c r="AM131" i="42"/>
  <c r="AL131" i="42"/>
  <c r="AK131" i="42"/>
  <c r="AJ131" i="42"/>
  <c r="AI131" i="42"/>
  <c r="AH131" i="42"/>
  <c r="AG131" i="42"/>
  <c r="AF131" i="42"/>
  <c r="AE131" i="42"/>
  <c r="AD131" i="42"/>
  <c r="AC131" i="42"/>
  <c r="AB131" i="42"/>
  <c r="AA131" i="42"/>
  <c r="Z131" i="42"/>
  <c r="Y131" i="42"/>
  <c r="X131" i="42"/>
  <c r="W131" i="42"/>
  <c r="V131" i="42"/>
  <c r="Q131" i="42"/>
  <c r="AO130" i="42"/>
  <c r="AN130" i="42"/>
  <c r="AM130" i="42"/>
  <c r="AL130" i="42"/>
  <c r="AK130" i="42"/>
  <c r="AJ130" i="42"/>
  <c r="AI130" i="42"/>
  <c r="AH130" i="42"/>
  <c r="AG130" i="42"/>
  <c r="AF130" i="42"/>
  <c r="AE130" i="42"/>
  <c r="AD130" i="42"/>
  <c r="AC130" i="42"/>
  <c r="AB130" i="42"/>
  <c r="AA130" i="42"/>
  <c r="Z130" i="42"/>
  <c r="Y130" i="42"/>
  <c r="X130" i="42"/>
  <c r="W130" i="42"/>
  <c r="V130" i="42"/>
  <c r="Q130" i="42"/>
  <c r="AO129" i="42"/>
  <c r="AN129" i="42"/>
  <c r="AM129" i="42"/>
  <c r="AL129" i="42"/>
  <c r="AK129" i="42"/>
  <c r="AJ129" i="42"/>
  <c r="AI129" i="42"/>
  <c r="AH129" i="42"/>
  <c r="AG129" i="42"/>
  <c r="AF129" i="42"/>
  <c r="AE129" i="42"/>
  <c r="AD129" i="42"/>
  <c r="AC129" i="42"/>
  <c r="AB129" i="42"/>
  <c r="AA129" i="42"/>
  <c r="Z129" i="42"/>
  <c r="Y129" i="42"/>
  <c r="X129" i="42"/>
  <c r="W129" i="42"/>
  <c r="V129" i="42"/>
  <c r="Q129" i="42"/>
  <c r="AO128" i="42"/>
  <c r="AN128" i="42"/>
  <c r="AM128" i="42"/>
  <c r="AL128" i="42"/>
  <c r="AK128" i="42"/>
  <c r="AJ128" i="42"/>
  <c r="AI128" i="42"/>
  <c r="AH128" i="42"/>
  <c r="AG128" i="42"/>
  <c r="AF128" i="42"/>
  <c r="AE128" i="42"/>
  <c r="AD128" i="42"/>
  <c r="AC128" i="42"/>
  <c r="AB128" i="42"/>
  <c r="AA128" i="42"/>
  <c r="Z128" i="42"/>
  <c r="Y128" i="42"/>
  <c r="X128" i="42"/>
  <c r="V128" i="42"/>
  <c r="Q128" i="42"/>
  <c r="AO127" i="42"/>
  <c r="AN127" i="42"/>
  <c r="AM127" i="42"/>
  <c r="AL127" i="42"/>
  <c r="AK127" i="42"/>
  <c r="AJ127" i="42"/>
  <c r="AI127" i="42"/>
  <c r="AH127" i="42"/>
  <c r="AG127" i="42"/>
  <c r="AF127" i="42"/>
  <c r="AE127" i="42"/>
  <c r="AD127" i="42"/>
  <c r="AC127" i="42"/>
  <c r="AB127" i="42"/>
  <c r="AA127" i="42"/>
  <c r="Z127" i="42"/>
  <c r="Y127" i="42"/>
  <c r="X127" i="42"/>
  <c r="V127" i="42"/>
  <c r="Q127" i="42"/>
  <c r="AO126" i="42"/>
  <c r="AN126" i="42"/>
  <c r="AM126" i="42"/>
  <c r="AL126" i="42"/>
  <c r="AK126" i="42"/>
  <c r="AJ126" i="42"/>
  <c r="AI126" i="42"/>
  <c r="AH126" i="42"/>
  <c r="AG126" i="42"/>
  <c r="AF126" i="42"/>
  <c r="AE126" i="42"/>
  <c r="AD126" i="42"/>
  <c r="AC126" i="42"/>
  <c r="AB126" i="42"/>
  <c r="AA126" i="42"/>
  <c r="Z126" i="42"/>
  <c r="Y126" i="42"/>
  <c r="X126" i="42"/>
  <c r="V126" i="42"/>
  <c r="Q126" i="42"/>
  <c r="AO125" i="42"/>
  <c r="AN125" i="42"/>
  <c r="AM125" i="42"/>
  <c r="AL125" i="42"/>
  <c r="AK125" i="42"/>
  <c r="AJ125" i="42"/>
  <c r="AI125" i="42"/>
  <c r="AH125" i="42"/>
  <c r="AG125" i="42"/>
  <c r="AF125" i="42"/>
  <c r="AE125" i="42"/>
  <c r="AD125" i="42"/>
  <c r="AC125" i="42"/>
  <c r="AB125" i="42"/>
  <c r="AA125" i="42"/>
  <c r="Z125" i="42"/>
  <c r="Y125" i="42"/>
  <c r="X125" i="42"/>
  <c r="V125" i="42"/>
  <c r="Q125" i="42"/>
  <c r="AO124" i="42"/>
  <c r="AN124" i="42"/>
  <c r="AM124" i="42"/>
  <c r="AL124" i="42"/>
  <c r="AK124" i="42"/>
  <c r="AJ124" i="42"/>
  <c r="AI124" i="42"/>
  <c r="AH124" i="42"/>
  <c r="AG124" i="42"/>
  <c r="AF124" i="42"/>
  <c r="AE124" i="42"/>
  <c r="AD124" i="42"/>
  <c r="AC124" i="42"/>
  <c r="AB124" i="42"/>
  <c r="AA124" i="42"/>
  <c r="Z124" i="42"/>
  <c r="Y124" i="42"/>
  <c r="X124" i="42"/>
  <c r="V124" i="42"/>
  <c r="Q124" i="42"/>
  <c r="AO123" i="42"/>
  <c r="AN123" i="42"/>
  <c r="AM123" i="42"/>
  <c r="AL123" i="42"/>
  <c r="AK123" i="42"/>
  <c r="AJ123" i="42"/>
  <c r="AI123" i="42"/>
  <c r="AH123" i="42"/>
  <c r="AG123" i="42"/>
  <c r="AF123" i="42"/>
  <c r="AE123" i="42"/>
  <c r="AD123" i="42"/>
  <c r="AC123" i="42"/>
  <c r="AB123" i="42"/>
  <c r="AA123" i="42"/>
  <c r="Z123" i="42"/>
  <c r="Y123" i="42"/>
  <c r="X123" i="42"/>
  <c r="W123" i="42"/>
  <c r="V123" i="42"/>
  <c r="Q123" i="42"/>
  <c r="AO122" i="42"/>
  <c r="AN122" i="42"/>
  <c r="AM122" i="42"/>
  <c r="AL122" i="42"/>
  <c r="AK122" i="42"/>
  <c r="AJ122" i="42"/>
  <c r="AI122" i="42"/>
  <c r="AH122" i="42"/>
  <c r="AG122" i="42"/>
  <c r="AF122" i="42"/>
  <c r="AE122" i="42"/>
  <c r="AD122" i="42"/>
  <c r="AC122" i="42"/>
  <c r="AB122" i="42"/>
  <c r="AA122" i="42"/>
  <c r="Z122" i="42"/>
  <c r="Y122" i="42"/>
  <c r="X122" i="42"/>
  <c r="V122" i="42"/>
  <c r="Q122" i="42"/>
  <c r="AO121" i="42"/>
  <c r="AN121" i="42"/>
  <c r="AM121" i="42"/>
  <c r="AL121" i="42"/>
  <c r="AK121" i="42"/>
  <c r="AJ121" i="42"/>
  <c r="AI121" i="42"/>
  <c r="AH121" i="42"/>
  <c r="AG121" i="42"/>
  <c r="AF121" i="42"/>
  <c r="AE121" i="42"/>
  <c r="AD121" i="42"/>
  <c r="AC121" i="42"/>
  <c r="AB121" i="42"/>
  <c r="AA121" i="42"/>
  <c r="Z121" i="42"/>
  <c r="Y121" i="42"/>
  <c r="X121" i="42"/>
  <c r="V121" i="42"/>
  <c r="Q121" i="42"/>
  <c r="AO120" i="42"/>
  <c r="AN120" i="42"/>
  <c r="AM120" i="42"/>
  <c r="AL120" i="42"/>
  <c r="AK120" i="42"/>
  <c r="AJ120" i="42"/>
  <c r="AI120" i="42"/>
  <c r="AH120" i="42"/>
  <c r="AG120" i="42"/>
  <c r="AF120" i="42"/>
  <c r="AE120" i="42"/>
  <c r="AD120" i="42"/>
  <c r="AC120" i="42"/>
  <c r="AB120" i="42"/>
  <c r="AA120" i="42"/>
  <c r="Z120" i="42"/>
  <c r="Y120" i="42"/>
  <c r="X120" i="42"/>
  <c r="W120" i="42"/>
  <c r="V120" i="42"/>
  <c r="Q120" i="42"/>
  <c r="AO119" i="42"/>
  <c r="AN119" i="42"/>
  <c r="AM119" i="42"/>
  <c r="AL119" i="42"/>
  <c r="AK119" i="42"/>
  <c r="AJ119" i="42"/>
  <c r="AI119" i="42"/>
  <c r="AH119" i="42"/>
  <c r="AG119" i="42"/>
  <c r="AF119" i="42"/>
  <c r="AE119" i="42"/>
  <c r="AD119" i="42"/>
  <c r="AC119" i="42"/>
  <c r="AB119" i="42"/>
  <c r="AA119" i="42"/>
  <c r="Z119" i="42"/>
  <c r="Y119" i="42"/>
  <c r="X119" i="42"/>
  <c r="V119" i="42"/>
  <c r="Q119" i="42"/>
  <c r="AO118" i="42"/>
  <c r="AN118" i="42"/>
  <c r="AM118" i="42"/>
  <c r="AL118" i="42"/>
  <c r="AK118" i="42"/>
  <c r="AJ118" i="42"/>
  <c r="AI118" i="42"/>
  <c r="AH118" i="42"/>
  <c r="AG118" i="42"/>
  <c r="AF118" i="42"/>
  <c r="AE118" i="42"/>
  <c r="AD118" i="42"/>
  <c r="AC118" i="42"/>
  <c r="AB118" i="42"/>
  <c r="AA118" i="42"/>
  <c r="Z118" i="42"/>
  <c r="Y118" i="42"/>
  <c r="X118" i="42"/>
  <c r="V118" i="42"/>
  <c r="Q118" i="42"/>
  <c r="AO117" i="42"/>
  <c r="AN117" i="42"/>
  <c r="AM117" i="42"/>
  <c r="AL117" i="42"/>
  <c r="AK117" i="42"/>
  <c r="AJ117" i="42"/>
  <c r="AI117" i="42"/>
  <c r="AH117" i="42"/>
  <c r="AG117" i="42"/>
  <c r="AF117" i="42"/>
  <c r="AE117" i="42"/>
  <c r="AD117" i="42"/>
  <c r="AC117" i="42"/>
  <c r="AB117" i="42"/>
  <c r="AA117" i="42"/>
  <c r="Z117" i="42"/>
  <c r="Y117" i="42"/>
  <c r="X117" i="42"/>
  <c r="V117" i="42"/>
  <c r="Q117" i="42"/>
  <c r="AO116" i="42"/>
  <c r="AN116" i="42"/>
  <c r="AM116" i="42"/>
  <c r="AL116" i="42"/>
  <c r="AK116" i="42"/>
  <c r="AJ116" i="42"/>
  <c r="AI116" i="42"/>
  <c r="AH116" i="42"/>
  <c r="AG116" i="42"/>
  <c r="AF116" i="42"/>
  <c r="AE116" i="42"/>
  <c r="AD116" i="42"/>
  <c r="AC116" i="42"/>
  <c r="AB116" i="42"/>
  <c r="AA116" i="42"/>
  <c r="Z116" i="42"/>
  <c r="Y116" i="42"/>
  <c r="X116" i="42"/>
  <c r="V116" i="42"/>
  <c r="AO115" i="42"/>
  <c r="AN115" i="42"/>
  <c r="AM115" i="42"/>
  <c r="AL115" i="42"/>
  <c r="AK115" i="42"/>
  <c r="AJ115" i="42"/>
  <c r="AI115" i="42"/>
  <c r="AH115" i="42"/>
  <c r="AG115" i="42"/>
  <c r="AF115" i="42"/>
  <c r="AE115" i="42"/>
  <c r="AD115" i="42"/>
  <c r="AC115" i="42"/>
  <c r="AB115" i="42"/>
  <c r="AA115" i="42"/>
  <c r="Z115" i="42"/>
  <c r="Y115" i="42"/>
  <c r="X115" i="42"/>
  <c r="W115" i="42"/>
  <c r="V115" i="42"/>
  <c r="AO114" i="42"/>
  <c r="AN114" i="42"/>
  <c r="AM114" i="42"/>
  <c r="AL114" i="42"/>
  <c r="AK114" i="42"/>
  <c r="AJ114" i="42"/>
  <c r="AI114" i="42"/>
  <c r="AH114" i="42"/>
  <c r="AG114" i="42"/>
  <c r="AF114" i="42"/>
  <c r="AE114" i="42"/>
  <c r="AD114" i="42"/>
  <c r="AC114" i="42"/>
  <c r="AB114" i="42"/>
  <c r="AA114" i="42"/>
  <c r="Z114" i="42"/>
  <c r="Y114" i="42"/>
  <c r="X114" i="42"/>
  <c r="W114" i="42"/>
  <c r="V114" i="42"/>
  <c r="AO113" i="42"/>
  <c r="AN113" i="42"/>
  <c r="AM113" i="42"/>
  <c r="AL113" i="42"/>
  <c r="AK113" i="42"/>
  <c r="AJ113" i="42"/>
  <c r="AI113" i="42"/>
  <c r="AH113" i="42"/>
  <c r="AG113" i="42"/>
  <c r="AF113" i="42"/>
  <c r="AE113" i="42"/>
  <c r="AD113" i="42"/>
  <c r="AC113" i="42"/>
  <c r="AB113" i="42"/>
  <c r="AA113" i="42"/>
  <c r="Z113" i="42"/>
  <c r="Y113" i="42"/>
  <c r="X113" i="42"/>
  <c r="W113" i="42"/>
  <c r="V113" i="42"/>
  <c r="AO112" i="42"/>
  <c r="AN112" i="42"/>
  <c r="AM112" i="42"/>
  <c r="AL112" i="42"/>
  <c r="AK112" i="42"/>
  <c r="AJ112" i="42"/>
  <c r="AI112" i="42"/>
  <c r="AH112" i="42"/>
  <c r="AG112" i="42"/>
  <c r="AF112" i="42"/>
  <c r="AE112" i="42"/>
  <c r="AD112" i="42"/>
  <c r="AC112" i="42"/>
  <c r="AB112" i="42"/>
  <c r="AA112" i="42"/>
  <c r="Z112" i="42"/>
  <c r="Y112" i="42"/>
  <c r="X112" i="42"/>
  <c r="V112" i="42"/>
  <c r="AO111" i="42"/>
  <c r="AN111" i="42"/>
  <c r="AM111" i="42"/>
  <c r="AL111" i="42"/>
  <c r="AK111" i="42"/>
  <c r="AJ111" i="42"/>
  <c r="AI111" i="42"/>
  <c r="AH111" i="42"/>
  <c r="AG111" i="42"/>
  <c r="AF111" i="42"/>
  <c r="AE111" i="42"/>
  <c r="AD111" i="42"/>
  <c r="AC111" i="42"/>
  <c r="AB111" i="42"/>
  <c r="AA111" i="42"/>
  <c r="Z111" i="42"/>
  <c r="Y111" i="42"/>
  <c r="X111" i="42"/>
  <c r="V111" i="42"/>
  <c r="AO110" i="42"/>
  <c r="AN110" i="42"/>
  <c r="AM110" i="42"/>
  <c r="AL110" i="42"/>
  <c r="AK110" i="42"/>
  <c r="AJ110" i="42"/>
  <c r="AI110" i="42"/>
  <c r="AH110" i="42"/>
  <c r="AG110" i="42"/>
  <c r="AF110" i="42"/>
  <c r="AE110" i="42"/>
  <c r="AD110" i="42"/>
  <c r="AC110" i="42"/>
  <c r="AB110" i="42"/>
  <c r="AA110" i="42"/>
  <c r="Z110" i="42"/>
  <c r="Y110" i="42"/>
  <c r="X110" i="42"/>
  <c r="V110" i="42"/>
  <c r="AO109" i="42"/>
  <c r="AN109" i="42"/>
  <c r="AM109" i="42"/>
  <c r="AL109" i="42"/>
  <c r="AK109" i="42"/>
  <c r="AJ109" i="42"/>
  <c r="AI109" i="42"/>
  <c r="AH109" i="42"/>
  <c r="AG109" i="42"/>
  <c r="AF109" i="42"/>
  <c r="AE109" i="42"/>
  <c r="AD109" i="42"/>
  <c r="AC109" i="42"/>
  <c r="AB109" i="42"/>
  <c r="AA109" i="42"/>
  <c r="Z109" i="42"/>
  <c r="Y109" i="42"/>
  <c r="X109" i="42"/>
  <c r="V109" i="42"/>
  <c r="AO108" i="42"/>
  <c r="AN108" i="42"/>
  <c r="AM108" i="42"/>
  <c r="AL108" i="42"/>
  <c r="AK108" i="42"/>
  <c r="AJ108" i="42"/>
  <c r="AI108" i="42"/>
  <c r="AH108" i="42"/>
  <c r="AG108" i="42"/>
  <c r="AF108" i="42"/>
  <c r="AE108" i="42"/>
  <c r="AD108" i="42"/>
  <c r="AC108" i="42"/>
  <c r="AB108" i="42"/>
  <c r="AA108" i="42"/>
  <c r="Z108" i="42"/>
  <c r="Y108" i="42"/>
  <c r="X108" i="42"/>
  <c r="V108" i="42"/>
  <c r="AO107" i="42"/>
  <c r="AN107" i="42"/>
  <c r="AM107" i="42"/>
  <c r="AL107" i="42"/>
  <c r="AK107" i="42"/>
  <c r="AJ107" i="42"/>
  <c r="AI107" i="42"/>
  <c r="AH107" i="42"/>
  <c r="AG107" i="42"/>
  <c r="AF107" i="42"/>
  <c r="AE107" i="42"/>
  <c r="AD107" i="42"/>
  <c r="AC107" i="42"/>
  <c r="AB107" i="42"/>
  <c r="AA107" i="42"/>
  <c r="Z107" i="42"/>
  <c r="Y107" i="42"/>
  <c r="X107" i="42"/>
  <c r="V107" i="42"/>
  <c r="AO106" i="42"/>
  <c r="AN106" i="42"/>
  <c r="AM106" i="42"/>
  <c r="AL106" i="42"/>
  <c r="AK106" i="42"/>
  <c r="AJ106" i="42"/>
  <c r="AI106" i="42"/>
  <c r="AH106" i="42"/>
  <c r="AG106" i="42"/>
  <c r="AF106" i="42"/>
  <c r="AE106" i="42"/>
  <c r="AD106" i="42"/>
  <c r="AC106" i="42"/>
  <c r="AB106" i="42"/>
  <c r="AA106" i="42"/>
  <c r="Z106" i="42"/>
  <c r="Y106" i="42"/>
  <c r="X106" i="42"/>
  <c r="V106" i="42"/>
  <c r="AO105" i="42"/>
  <c r="AN105" i="42"/>
  <c r="AM105" i="42"/>
  <c r="AL105" i="42"/>
  <c r="AK105" i="42"/>
  <c r="AJ105" i="42"/>
  <c r="AI105" i="42"/>
  <c r="AH105" i="42"/>
  <c r="AG105" i="42"/>
  <c r="AF105" i="42"/>
  <c r="AE105" i="42"/>
  <c r="AD105" i="42"/>
  <c r="AC105" i="42"/>
  <c r="AB105" i="42"/>
  <c r="AA105" i="42"/>
  <c r="Z105" i="42"/>
  <c r="Y105" i="42"/>
  <c r="X105" i="42"/>
  <c r="V105" i="42"/>
  <c r="AO104" i="42"/>
  <c r="AN104" i="42"/>
  <c r="AM104" i="42"/>
  <c r="AL104" i="42"/>
  <c r="AK104" i="42"/>
  <c r="AJ104" i="42"/>
  <c r="AI104" i="42"/>
  <c r="AH104" i="42"/>
  <c r="AG104" i="42"/>
  <c r="AF104" i="42"/>
  <c r="AE104" i="42"/>
  <c r="AD104" i="42"/>
  <c r="AC104" i="42"/>
  <c r="AB104" i="42"/>
  <c r="AA104" i="42"/>
  <c r="Z104" i="42"/>
  <c r="Y104" i="42"/>
  <c r="X104" i="42"/>
  <c r="W104" i="42"/>
  <c r="V104" i="42"/>
  <c r="AO103" i="42"/>
  <c r="AN103" i="42"/>
  <c r="AM103" i="42"/>
  <c r="AL103" i="42"/>
  <c r="AK103" i="42"/>
  <c r="AJ103" i="42"/>
  <c r="AI103" i="42"/>
  <c r="AH103" i="42"/>
  <c r="AG103" i="42"/>
  <c r="AF103" i="42"/>
  <c r="AE103" i="42"/>
  <c r="AD103" i="42"/>
  <c r="AC103" i="42"/>
  <c r="AB103" i="42"/>
  <c r="AA103" i="42"/>
  <c r="Z103" i="42"/>
  <c r="Y103" i="42"/>
  <c r="X103" i="42"/>
  <c r="V103" i="42"/>
  <c r="AO102" i="42"/>
  <c r="AN102" i="42"/>
  <c r="AM102" i="42"/>
  <c r="AL102" i="42"/>
  <c r="AK102" i="42"/>
  <c r="AJ102" i="42"/>
  <c r="AI102" i="42"/>
  <c r="AH102" i="42"/>
  <c r="AG102" i="42"/>
  <c r="AF102" i="42"/>
  <c r="AE102" i="42"/>
  <c r="AD102" i="42"/>
  <c r="AC102" i="42"/>
  <c r="AB102" i="42"/>
  <c r="AA102" i="42"/>
  <c r="Z102" i="42"/>
  <c r="Y102" i="42"/>
  <c r="X102" i="42"/>
  <c r="W102" i="42"/>
  <c r="V102" i="42"/>
  <c r="AO101" i="42"/>
  <c r="AN101" i="42"/>
  <c r="AM101" i="42"/>
  <c r="AL101" i="42"/>
  <c r="AK101" i="42"/>
  <c r="AJ101" i="42"/>
  <c r="AI101" i="42"/>
  <c r="AH101" i="42"/>
  <c r="AG101" i="42"/>
  <c r="AF101" i="42"/>
  <c r="AE101" i="42"/>
  <c r="AD101" i="42"/>
  <c r="AC101" i="42"/>
  <c r="AB101" i="42"/>
  <c r="AA101" i="42"/>
  <c r="Z101" i="42"/>
  <c r="Y101" i="42"/>
  <c r="X101" i="42"/>
  <c r="V101" i="42"/>
  <c r="AO100" i="42"/>
  <c r="AN100" i="42"/>
  <c r="AM100" i="42"/>
  <c r="AL100" i="42"/>
  <c r="AK100" i="42"/>
  <c r="AJ100" i="42"/>
  <c r="AI100" i="42"/>
  <c r="AH100" i="42"/>
  <c r="AG100" i="42"/>
  <c r="AF100" i="42"/>
  <c r="AE100" i="42"/>
  <c r="AD100" i="42"/>
  <c r="AC100" i="42"/>
  <c r="AB100" i="42"/>
  <c r="AA100" i="42"/>
  <c r="Z100" i="42"/>
  <c r="Y100" i="42"/>
  <c r="X100" i="42"/>
  <c r="V100" i="42"/>
  <c r="AC95" i="42"/>
  <c r="AB95" i="42"/>
  <c r="AA95" i="42"/>
  <c r="W95" i="42"/>
  <c r="V95" i="42"/>
  <c r="AC94" i="42"/>
  <c r="Y94" i="42"/>
  <c r="W94" i="42"/>
  <c r="AB93" i="42"/>
  <c r="AA93" i="42"/>
  <c r="Y93" i="42"/>
  <c r="X93" i="42"/>
  <c r="V93" i="42"/>
  <c r="AC92" i="42"/>
  <c r="AA92" i="42"/>
  <c r="X92" i="42"/>
  <c r="W92" i="42"/>
  <c r="AC91" i="42"/>
  <c r="Y91" i="42"/>
  <c r="W91" i="42"/>
  <c r="AA90" i="42"/>
  <c r="Y90" i="42"/>
  <c r="AC89" i="42"/>
  <c r="AA89" i="42"/>
  <c r="W89" i="42"/>
  <c r="AC88" i="42"/>
  <c r="Y88" i="42"/>
  <c r="W88" i="42"/>
  <c r="AA87" i="42"/>
  <c r="Y87" i="42"/>
  <c r="Z82" i="42"/>
  <c r="Y82" i="42"/>
  <c r="X82" i="42"/>
  <c r="W82" i="42"/>
  <c r="V82" i="42"/>
  <c r="Z81" i="42"/>
  <c r="Y81" i="42"/>
  <c r="X81" i="42"/>
  <c r="W81" i="42"/>
  <c r="V81" i="42"/>
  <c r="Z80" i="42"/>
  <c r="Y80" i="42"/>
  <c r="X80" i="42"/>
  <c r="W80" i="42"/>
  <c r="V80" i="42"/>
  <c r="Z79" i="42"/>
  <c r="Y79" i="42"/>
  <c r="X79" i="42"/>
  <c r="W79" i="42"/>
  <c r="V79" i="42"/>
  <c r="Z78" i="42"/>
  <c r="Y78" i="42"/>
  <c r="X78" i="42"/>
  <c r="W78" i="42"/>
  <c r="V78" i="42"/>
  <c r="Z77" i="42"/>
  <c r="Y77" i="42"/>
  <c r="X77" i="42"/>
  <c r="W77" i="42"/>
  <c r="V77" i="42"/>
  <c r="Z76" i="42"/>
  <c r="Y76" i="42"/>
  <c r="X76" i="42"/>
  <c r="W76" i="42"/>
  <c r="V76" i="42"/>
  <c r="Z75" i="42"/>
  <c r="Y75" i="42"/>
  <c r="X75" i="42"/>
  <c r="V75" i="42"/>
  <c r="Z74" i="42"/>
  <c r="Y74" i="42"/>
  <c r="X74" i="42"/>
  <c r="W74" i="42"/>
  <c r="V74" i="42"/>
  <c r="Z73" i="42"/>
  <c r="Y73" i="42"/>
  <c r="X73" i="42"/>
  <c r="W73" i="42"/>
  <c r="V73" i="42"/>
  <c r="Z68" i="42"/>
  <c r="Y68" i="42"/>
  <c r="X68" i="42"/>
  <c r="W68" i="42"/>
  <c r="V68" i="42"/>
  <c r="Z67" i="42"/>
  <c r="Y67" i="42"/>
  <c r="X67" i="42"/>
  <c r="W67" i="42"/>
  <c r="V67" i="42"/>
  <c r="Z66" i="42"/>
  <c r="Y66" i="42"/>
  <c r="X66" i="42"/>
  <c r="V66" i="42"/>
  <c r="Z65" i="42"/>
  <c r="Y65" i="42"/>
  <c r="X65" i="42"/>
  <c r="W65" i="42"/>
  <c r="V65" i="42"/>
  <c r="Z64" i="42"/>
  <c r="Y64" i="42"/>
  <c r="X64" i="42"/>
  <c r="W64" i="42"/>
  <c r="V64" i="42"/>
  <c r="Z63" i="42"/>
  <c r="Y63" i="42"/>
  <c r="X63" i="42"/>
  <c r="W63" i="42"/>
  <c r="V63" i="42"/>
  <c r="Z62" i="42"/>
  <c r="Y62" i="42"/>
  <c r="X62" i="42"/>
  <c r="W62" i="42"/>
  <c r="V62" i="42"/>
  <c r="Z61" i="42"/>
  <c r="Y61" i="42"/>
  <c r="X61" i="42"/>
  <c r="W61" i="42"/>
  <c r="V61" i="42"/>
  <c r="Z60" i="42"/>
  <c r="Y60" i="42"/>
  <c r="X60" i="42"/>
  <c r="W60" i="42"/>
  <c r="V60" i="42"/>
  <c r="Z59" i="42"/>
  <c r="Y59" i="42"/>
  <c r="X59" i="42"/>
  <c r="W59" i="42"/>
  <c r="V59" i="42"/>
  <c r="Z58" i="42"/>
  <c r="Y58" i="42"/>
  <c r="X58" i="42"/>
  <c r="W58" i="42"/>
  <c r="V58" i="42"/>
  <c r="Z57" i="42"/>
  <c r="Y57" i="42"/>
  <c r="X57" i="42"/>
  <c r="W57" i="42"/>
  <c r="V57" i="42"/>
  <c r="Z56" i="42"/>
  <c r="Y56" i="42"/>
  <c r="X56" i="42"/>
  <c r="W56" i="42"/>
  <c r="V56" i="42"/>
  <c r="AC47" i="42"/>
  <c r="AC46" i="42"/>
  <c r="AE45" i="42"/>
  <c r="AC45" i="42"/>
  <c r="AE46" i="42" s="1"/>
  <c r="J38" i="42" s="1"/>
  <c r="B45" i="42"/>
  <c r="AP44" i="42"/>
  <c r="B94" i="42" s="1"/>
  <c r="AP43" i="42"/>
  <c r="B91" i="42" s="1"/>
  <c r="AP42" i="42"/>
  <c r="B88" i="42" s="1"/>
  <c r="X42" i="42"/>
  <c r="AP41" i="42"/>
  <c r="B85" i="42" s="1"/>
  <c r="X41" i="42"/>
  <c r="AP40" i="42"/>
  <c r="B82" i="42" s="1"/>
  <c r="X40" i="42"/>
  <c r="X39" i="42"/>
  <c r="X38" i="42"/>
  <c r="B38" i="42"/>
  <c r="AK37" i="42"/>
  <c r="AU59" i="42" s="1"/>
  <c r="X37" i="42"/>
  <c r="AL36" i="42"/>
  <c r="AK36" i="42"/>
  <c r="AU58" i="42" s="1"/>
  <c r="X36" i="42"/>
  <c r="AQ35" i="42"/>
  <c r="AL35" i="42"/>
  <c r="AK35" i="42"/>
  <c r="AU57" i="42" s="1"/>
  <c r="X35" i="42"/>
  <c r="Q35" i="42"/>
  <c r="P35" i="42"/>
  <c r="O35" i="42"/>
  <c r="E18" i="42" s="1"/>
  <c r="AL34" i="42"/>
  <c r="AK34" i="42"/>
  <c r="AU56" i="42" s="1"/>
  <c r="X34" i="42"/>
  <c r="AL33" i="42"/>
  <c r="AK33" i="42"/>
  <c r="AU55" i="42" s="1"/>
  <c r="X33" i="42"/>
  <c r="AL32" i="42"/>
  <c r="AK32" i="42"/>
  <c r="AU54" i="42" s="1"/>
  <c r="X32" i="42"/>
  <c r="AQ31" i="42"/>
  <c r="AL31" i="42"/>
  <c r="AK31" i="42"/>
  <c r="AU53" i="42" s="1"/>
  <c r="AG31" i="42"/>
  <c r="X31" i="42"/>
  <c r="AL30" i="42"/>
  <c r="AK30" i="42"/>
  <c r="AU52" i="42" s="1"/>
  <c r="X30" i="42"/>
  <c r="B30" i="42"/>
  <c r="AL29" i="42"/>
  <c r="AK29" i="42"/>
  <c r="AU51" i="42" s="1"/>
  <c r="X29" i="42"/>
  <c r="X28" i="42"/>
  <c r="AQ27" i="42"/>
  <c r="B27" i="42"/>
  <c r="P25" i="42"/>
  <c r="P24" i="42"/>
  <c r="G20" i="42" s="1"/>
  <c r="I24" i="42"/>
  <c r="G24" i="42"/>
  <c r="E24" i="42"/>
  <c r="C24" i="42"/>
  <c r="AC23" i="42"/>
  <c r="AB23" i="42"/>
  <c r="AA23" i="42"/>
  <c r="Z23" i="42"/>
  <c r="Y23" i="42"/>
  <c r="I23" i="42"/>
  <c r="G23" i="42"/>
  <c r="E23" i="42"/>
  <c r="C23" i="42"/>
  <c r="AB22" i="42"/>
  <c r="AA22" i="42"/>
  <c r="Z22" i="42"/>
  <c r="AC22" i="42" s="1"/>
  <c r="Y22" i="42"/>
  <c r="AD22" i="42" s="1"/>
  <c r="AB39" i="42" s="1"/>
  <c r="AC32" i="42" s="1"/>
  <c r="I22" i="42"/>
  <c r="G22" i="42"/>
  <c r="E22" i="42"/>
  <c r="C22" i="42"/>
  <c r="I21" i="42"/>
  <c r="G21" i="42"/>
  <c r="E21" i="42"/>
  <c r="C21" i="42"/>
  <c r="AQ20" i="42"/>
  <c r="B72" i="42" s="1"/>
  <c r="AQ36" i="42" s="1"/>
  <c r="AI20" i="42"/>
  <c r="I20" i="42"/>
  <c r="AQ19" i="42"/>
  <c r="B69" i="42" s="1"/>
  <c r="AI19" i="42"/>
  <c r="AQ18" i="42"/>
  <c r="B66" i="42" s="1"/>
  <c r="AQ34" i="42" s="1"/>
  <c r="AI18" i="42"/>
  <c r="AJ18" i="42" s="1"/>
  <c r="AK18" i="42" s="1"/>
  <c r="AV26" i="42" s="1"/>
  <c r="I18" i="42"/>
  <c r="AI17" i="42"/>
  <c r="AJ15" i="42" s="1"/>
  <c r="AK15" i="42" s="1"/>
  <c r="AU26" i="42" s="1"/>
  <c r="AI16" i="42"/>
  <c r="AI15" i="42"/>
  <c r="AQ14" i="42"/>
  <c r="B63" i="42" s="1"/>
  <c r="AQ33" i="42" s="1"/>
  <c r="AI14" i="42"/>
  <c r="I14" i="42"/>
  <c r="AQ13" i="42"/>
  <c r="B60" i="42" s="1"/>
  <c r="AQ32" i="42" s="1"/>
  <c r="AI13" i="42"/>
  <c r="AQ12" i="42"/>
  <c r="B57" i="42" s="1"/>
  <c r="AI12" i="42"/>
  <c r="AJ12" i="42" s="1"/>
  <c r="AK12" i="42" s="1"/>
  <c r="AT26" i="42" s="1"/>
  <c r="AI11" i="42"/>
  <c r="AB11" i="42"/>
  <c r="AA11" i="42"/>
  <c r="Z11" i="42"/>
  <c r="AC11" i="42" s="1"/>
  <c r="Y11" i="42"/>
  <c r="AI10" i="42"/>
  <c r="AB10" i="42"/>
  <c r="AA10" i="42"/>
  <c r="Z10" i="42"/>
  <c r="AC10" i="42" s="1"/>
  <c r="Y10" i="42"/>
  <c r="AJ9" i="42"/>
  <c r="AI9" i="42"/>
  <c r="AB9" i="42"/>
  <c r="AA9" i="42"/>
  <c r="Z9" i="42"/>
  <c r="AC9" i="42" s="1"/>
  <c r="Y9" i="42"/>
  <c r="AQ8" i="42"/>
  <c r="B54" i="42" s="1"/>
  <c r="AQ30" i="42" s="1"/>
  <c r="AB8" i="42"/>
  <c r="AA8" i="42"/>
  <c r="Z8" i="42"/>
  <c r="AC8" i="42" s="1"/>
  <c r="Y8" i="42"/>
  <c r="AD8" i="42" s="1"/>
  <c r="AB36" i="42" s="1"/>
  <c r="AC31" i="42" s="1"/>
  <c r="AQ7" i="42"/>
  <c r="B51" i="42" s="1"/>
  <c r="AQ29" i="42" s="1"/>
  <c r="AQ6" i="42"/>
  <c r="B31" i="41"/>
  <c r="B28" i="41"/>
  <c r="B27" i="41"/>
  <c r="B25" i="41"/>
  <c r="B24" i="41"/>
  <c r="B22" i="41"/>
  <c r="B21" i="41"/>
  <c r="I14" i="41"/>
  <c r="AU9" i="54" l="1"/>
  <c r="AU11" i="54" s="1"/>
  <c r="AT9" i="54"/>
  <c r="AT11" i="54" s="1"/>
  <c r="AS9" i="54"/>
  <c r="AS11" i="54" s="1"/>
  <c r="AV12" i="54"/>
  <c r="AV14" i="54"/>
  <c r="AV13" i="54"/>
  <c r="E49" i="54"/>
  <c r="E48" i="54"/>
  <c r="D49" i="54"/>
  <c r="E31" i="54"/>
  <c r="D31" i="54"/>
  <c r="E55" i="54"/>
  <c r="D55" i="54"/>
  <c r="E54" i="54"/>
  <c r="E52" i="54"/>
  <c r="E51" i="54"/>
  <c r="D52" i="54"/>
  <c r="AS28" i="54"/>
  <c r="AV30" i="54"/>
  <c r="AU36" i="54"/>
  <c r="AV36" i="54"/>
  <c r="AS30" i="54"/>
  <c r="AT36" i="54"/>
  <c r="AU28" i="54"/>
  <c r="AU30" i="54"/>
  <c r="AS36" i="54"/>
  <c r="AV28" i="54"/>
  <c r="AT30" i="54"/>
  <c r="AT28" i="54"/>
  <c r="AU33" i="54"/>
  <c r="AT33" i="54"/>
  <c r="AT35" i="54"/>
  <c r="AS35" i="54"/>
  <c r="AU32" i="54"/>
  <c r="AT32" i="54"/>
  <c r="AS33" i="54"/>
  <c r="AV33" i="54"/>
  <c r="AV32" i="54"/>
  <c r="AV35" i="54"/>
  <c r="AS32" i="54"/>
  <c r="AU35" i="54"/>
  <c r="Z213" i="45"/>
  <c r="AE213" i="45" s="1"/>
  <c r="AE94" i="42"/>
  <c r="AE90" i="43"/>
  <c r="AE89" i="44"/>
  <c r="Z46" i="44" s="1"/>
  <c r="AE89" i="45"/>
  <c r="AE94" i="44"/>
  <c r="AE91" i="42"/>
  <c r="AE91" i="45"/>
  <c r="X208" i="42"/>
  <c r="AC208" i="42" s="1"/>
  <c r="W206" i="44"/>
  <c r="AB206" i="44" s="1"/>
  <c r="AE92" i="45"/>
  <c r="AE92" i="44"/>
  <c r="AE93" i="44"/>
  <c r="AE92" i="43"/>
  <c r="AE95" i="43"/>
  <c r="Z213" i="44"/>
  <c r="AE213" i="44" s="1"/>
  <c r="AS9" i="47"/>
  <c r="AS11" i="47" s="1"/>
  <c r="AE95" i="42"/>
  <c r="X196" i="42"/>
  <c r="AC196" i="42" s="1"/>
  <c r="X210" i="42"/>
  <c r="AC210" i="42" s="1"/>
  <c r="AE89" i="42"/>
  <c r="AE93" i="42"/>
  <c r="V49" i="43"/>
  <c r="V47" i="43" s="1"/>
  <c r="V48" i="43" s="1"/>
  <c r="V51" i="43" s="1"/>
  <c r="J27" i="43" s="1"/>
  <c r="AE89" i="43"/>
  <c r="AE90" i="44"/>
  <c r="Y199" i="44"/>
  <c r="AD199" i="44" s="1"/>
  <c r="Z204" i="44"/>
  <c r="AE204" i="44" s="1"/>
  <c r="W194" i="45"/>
  <c r="AB194" i="45" s="1"/>
  <c r="AE94" i="43"/>
  <c r="Y213" i="42"/>
  <c r="AD213" i="42" s="1"/>
  <c r="Z189" i="44"/>
  <c r="AE189" i="44" s="1"/>
  <c r="W194" i="44"/>
  <c r="AB194" i="44" s="1"/>
  <c r="AE88" i="45"/>
  <c r="W206" i="45"/>
  <c r="AB206" i="45" s="1"/>
  <c r="AE94" i="45"/>
  <c r="W194" i="42"/>
  <c r="AB194" i="42" s="1"/>
  <c r="AE93" i="43"/>
  <c r="Z210" i="43"/>
  <c r="AE210" i="43" s="1"/>
  <c r="Z212" i="43"/>
  <c r="AE212" i="43" s="1"/>
  <c r="AE87" i="44"/>
  <c r="AE91" i="44"/>
  <c r="W208" i="44"/>
  <c r="AB208" i="44" s="1"/>
  <c r="Y211" i="44"/>
  <c r="AD211" i="44" s="1"/>
  <c r="Z46" i="45"/>
  <c r="AE87" i="45"/>
  <c r="Z213" i="42"/>
  <c r="AE213" i="42" s="1"/>
  <c r="AE88" i="42"/>
  <c r="Z189" i="42"/>
  <c r="AE189" i="42" s="1"/>
  <c r="W206" i="42"/>
  <c r="AB206" i="42" s="1"/>
  <c r="Z201" i="44"/>
  <c r="AE201" i="44" s="1"/>
  <c r="X210" i="45"/>
  <c r="AC210" i="45" s="1"/>
  <c r="X196" i="45"/>
  <c r="AC196" i="45" s="1"/>
  <c r="AE87" i="42"/>
  <c r="AE92" i="42"/>
  <c r="Z201" i="42"/>
  <c r="AE201" i="42" s="1"/>
  <c r="AE88" i="43"/>
  <c r="AE88" i="44"/>
  <c r="Z192" i="44"/>
  <c r="AE192" i="44" s="1"/>
  <c r="AE93" i="45"/>
  <c r="X208" i="45"/>
  <c r="AC208" i="45" s="1"/>
  <c r="AU9" i="51"/>
  <c r="AU11" i="51" s="1"/>
  <c r="AV14" i="51" s="1"/>
  <c r="AU9" i="52"/>
  <c r="AU11" i="52" s="1"/>
  <c r="AV14" i="52" s="1"/>
  <c r="J45" i="53"/>
  <c r="AU7" i="53"/>
  <c r="AT7" i="53"/>
  <c r="AS7" i="53"/>
  <c r="J46" i="53"/>
  <c r="AU8" i="53"/>
  <c r="AS8" i="53"/>
  <c r="AT8" i="53"/>
  <c r="AU6" i="53"/>
  <c r="J44" i="53"/>
  <c r="AS6" i="53"/>
  <c r="AT6" i="53"/>
  <c r="AT9" i="52"/>
  <c r="AT11" i="52" s="1"/>
  <c r="D49" i="52"/>
  <c r="E49" i="52"/>
  <c r="E48" i="52"/>
  <c r="E55" i="52"/>
  <c r="D55" i="52"/>
  <c r="E54" i="52"/>
  <c r="AS9" i="52"/>
  <c r="AS11" i="52" s="1"/>
  <c r="D52" i="52"/>
  <c r="E51" i="52"/>
  <c r="E52" i="52"/>
  <c r="AV35" i="52"/>
  <c r="AV30" i="52"/>
  <c r="AT36" i="52"/>
  <c r="AU32" i="52"/>
  <c r="AT30" i="52"/>
  <c r="AS35" i="52"/>
  <c r="AU28" i="52"/>
  <c r="AV32" i="52"/>
  <c r="AS30" i="52"/>
  <c r="AV36" i="52"/>
  <c r="AV28" i="52"/>
  <c r="AT32" i="52"/>
  <c r="AU30" i="52"/>
  <c r="AT35" i="52"/>
  <c r="AT28" i="52"/>
  <c r="AS32" i="52"/>
  <c r="AU36" i="52"/>
  <c r="AU35" i="52"/>
  <c r="AS28" i="52"/>
  <c r="AS36" i="52"/>
  <c r="AV33" i="52"/>
  <c r="AT33" i="52"/>
  <c r="AU33" i="52"/>
  <c r="AS33" i="52"/>
  <c r="AT9" i="51"/>
  <c r="AT11" i="51" s="1"/>
  <c r="E49" i="51"/>
  <c r="E48" i="51"/>
  <c r="D49" i="51"/>
  <c r="E55" i="51"/>
  <c r="D55" i="51"/>
  <c r="E54" i="51"/>
  <c r="E52" i="51"/>
  <c r="E51" i="51"/>
  <c r="D52" i="51"/>
  <c r="AT28" i="51"/>
  <c r="AT30" i="51"/>
  <c r="AU33" i="51"/>
  <c r="AT36" i="51"/>
  <c r="AT32" i="51"/>
  <c r="AS28" i="51"/>
  <c r="AT33" i="51"/>
  <c r="AU32" i="51"/>
  <c r="AS36" i="51"/>
  <c r="AV36" i="51"/>
  <c r="AV32" i="51"/>
  <c r="AV30" i="51"/>
  <c r="AU28" i="51"/>
  <c r="AS30" i="51"/>
  <c r="AS33" i="51"/>
  <c r="AS32" i="51"/>
  <c r="AV28" i="51"/>
  <c r="AU30" i="51"/>
  <c r="AV33" i="51"/>
  <c r="AU36" i="51"/>
  <c r="AT35" i="51"/>
  <c r="AV35" i="51"/>
  <c r="AU35" i="51"/>
  <c r="AS35" i="51"/>
  <c r="AS9" i="51"/>
  <c r="AS11" i="51" s="1"/>
  <c r="AU9" i="50"/>
  <c r="AU11" i="50" s="1"/>
  <c r="AV14" i="50" s="1"/>
  <c r="AU9" i="49"/>
  <c r="AU11" i="49" s="1"/>
  <c r="AV13" i="49" s="1"/>
  <c r="AT9" i="49"/>
  <c r="AT11" i="49" s="1"/>
  <c r="J28" i="50"/>
  <c r="D27" i="50"/>
  <c r="E27" i="50"/>
  <c r="D49" i="50"/>
  <c r="E48" i="50"/>
  <c r="E49" i="50"/>
  <c r="AS9" i="50"/>
  <c r="AS11" i="50" s="1"/>
  <c r="E52" i="50"/>
  <c r="E51" i="50"/>
  <c r="AU33" i="50"/>
  <c r="D52" i="50"/>
  <c r="AU36" i="50"/>
  <c r="AT30" i="50"/>
  <c r="AS33" i="50"/>
  <c r="AV36" i="50"/>
  <c r="AS32" i="50"/>
  <c r="AS36" i="50"/>
  <c r="AU30" i="50"/>
  <c r="AV32" i="50"/>
  <c r="AT32" i="50"/>
  <c r="AV30" i="50"/>
  <c r="AV33" i="50"/>
  <c r="AT33" i="50"/>
  <c r="AT36" i="50"/>
  <c r="AS30" i="50"/>
  <c r="AU32" i="50"/>
  <c r="AT35" i="50"/>
  <c r="AV28" i="50"/>
  <c r="AU28" i="50"/>
  <c r="AT28" i="50"/>
  <c r="AU35" i="50"/>
  <c r="AS28" i="50"/>
  <c r="AV35" i="50"/>
  <c r="AS35" i="50"/>
  <c r="AT9" i="50"/>
  <c r="AT11" i="50" s="1"/>
  <c r="E54" i="50"/>
  <c r="E55" i="50"/>
  <c r="D55" i="50"/>
  <c r="AS9" i="49"/>
  <c r="AS11" i="49" s="1"/>
  <c r="E49" i="49"/>
  <c r="E48" i="49"/>
  <c r="D49" i="49"/>
  <c r="E55" i="49"/>
  <c r="D55" i="49"/>
  <c r="E54" i="49"/>
  <c r="D52" i="49"/>
  <c r="E51" i="49"/>
  <c r="E52" i="49"/>
  <c r="AV36" i="49"/>
  <c r="AU33" i="49"/>
  <c r="AU28" i="49"/>
  <c r="AS35" i="49"/>
  <c r="AU35" i="49"/>
  <c r="AS36" i="49"/>
  <c r="AT32" i="49"/>
  <c r="AT35" i="49"/>
  <c r="AS28" i="49"/>
  <c r="AV30" i="49"/>
  <c r="AU30" i="49"/>
  <c r="AV35" i="49"/>
  <c r="AS32" i="49"/>
  <c r="AV32" i="49"/>
  <c r="AS33" i="49"/>
  <c r="AT36" i="49"/>
  <c r="AT33" i="49"/>
  <c r="AT30" i="49"/>
  <c r="AT28" i="49"/>
  <c r="AU32" i="49"/>
  <c r="AU36" i="49"/>
  <c r="AV33" i="49"/>
  <c r="AS30" i="49"/>
  <c r="AV28" i="49"/>
  <c r="AU9" i="48"/>
  <c r="AU11" i="48" s="1"/>
  <c r="AV12" i="48" s="1"/>
  <c r="AT9" i="48"/>
  <c r="AT11" i="48" s="1"/>
  <c r="AS9" i="48"/>
  <c r="AS11" i="48" s="1"/>
  <c r="E55" i="48"/>
  <c r="D55" i="48"/>
  <c r="E54" i="48"/>
  <c r="E52" i="48"/>
  <c r="E51" i="48"/>
  <c r="D52" i="48"/>
  <c r="AT33" i="48"/>
  <c r="AS28" i="48"/>
  <c r="AS30" i="48"/>
  <c r="AT35" i="48"/>
  <c r="AT32" i="48"/>
  <c r="AT36" i="48"/>
  <c r="AV28" i="48"/>
  <c r="AS32" i="48"/>
  <c r="AU33" i="48"/>
  <c r="AV36" i="48"/>
  <c r="AS33" i="48"/>
  <c r="AV32" i="48"/>
  <c r="AU36" i="48"/>
  <c r="AV33" i="48"/>
  <c r="AV30" i="48"/>
  <c r="AV35" i="48"/>
  <c r="AS36" i="48"/>
  <c r="AU28" i="48"/>
  <c r="AU30" i="48"/>
  <c r="AU35" i="48"/>
  <c r="AT28" i="48"/>
  <c r="AT30" i="48"/>
  <c r="AS35" i="48"/>
  <c r="AU32" i="48"/>
  <c r="E49" i="48"/>
  <c r="E48" i="48"/>
  <c r="D49" i="48"/>
  <c r="E55" i="47"/>
  <c r="D55" i="47"/>
  <c r="E54" i="47"/>
  <c r="E52" i="47"/>
  <c r="E51" i="47"/>
  <c r="D52" i="47"/>
  <c r="AV33" i="47"/>
  <c r="AS36" i="47"/>
  <c r="AU32" i="47"/>
  <c r="AT28" i="47"/>
  <c r="AU33" i="47"/>
  <c r="AV36" i="47"/>
  <c r="AS32" i="47"/>
  <c r="AS28" i="47"/>
  <c r="AT30" i="47"/>
  <c r="AT35" i="47"/>
  <c r="AT33" i="47"/>
  <c r="AT36" i="47"/>
  <c r="AV32" i="47"/>
  <c r="AV30" i="47"/>
  <c r="AS35" i="47"/>
  <c r="AT32" i="47"/>
  <c r="AU30" i="47"/>
  <c r="AU35" i="47"/>
  <c r="AU36" i="47"/>
  <c r="AU28" i="47"/>
  <c r="AS30" i="47"/>
  <c r="AV35" i="47"/>
  <c r="AS33" i="47"/>
  <c r="AV28" i="47"/>
  <c r="E28" i="47"/>
  <c r="D28" i="47"/>
  <c r="AT9" i="47"/>
  <c r="AT11" i="47" s="1"/>
  <c r="AU9" i="47"/>
  <c r="AU11" i="47" s="1"/>
  <c r="E49" i="47"/>
  <c r="E48" i="47"/>
  <c r="D49" i="47"/>
  <c r="AC31" i="45"/>
  <c r="O111" i="45"/>
  <c r="AU31" i="45"/>
  <c r="AV31" i="45"/>
  <c r="AT31" i="45"/>
  <c r="AS31" i="45"/>
  <c r="Q111" i="45"/>
  <c r="P111" i="45"/>
  <c r="AQ27" i="45"/>
  <c r="AT34" i="45"/>
  <c r="B63" i="45"/>
  <c r="AQ33" i="45" s="1"/>
  <c r="W192" i="45"/>
  <c r="AB192" i="45" s="1"/>
  <c r="X194" i="45"/>
  <c r="AC194" i="45" s="1"/>
  <c r="X206" i="45"/>
  <c r="AC206" i="45" s="1"/>
  <c r="AS34" i="45"/>
  <c r="V49" i="45"/>
  <c r="W190" i="45"/>
  <c r="AB190" i="45" s="1"/>
  <c r="X192" i="45"/>
  <c r="AC192" i="45" s="1"/>
  <c r="X204" i="45"/>
  <c r="AC204" i="45" s="1"/>
  <c r="W214" i="45"/>
  <c r="AB214" i="45" s="1"/>
  <c r="B72" i="45"/>
  <c r="AQ36" i="45" s="1"/>
  <c r="AU34" i="45"/>
  <c r="AQ58" i="45"/>
  <c r="W188" i="45"/>
  <c r="AB188" i="45" s="1"/>
  <c r="X190" i="45"/>
  <c r="AC190" i="45" s="1"/>
  <c r="W200" i="45"/>
  <c r="AB200" i="45" s="1"/>
  <c r="X202" i="45"/>
  <c r="AC202" i="45" s="1"/>
  <c r="W212" i="45"/>
  <c r="AB212" i="45" s="1"/>
  <c r="X214" i="45"/>
  <c r="AC214" i="45" s="1"/>
  <c r="AV34" i="45"/>
  <c r="X188" i="45"/>
  <c r="AC188" i="45" s="1"/>
  <c r="W198" i="45"/>
  <c r="AB198" i="45" s="1"/>
  <c r="X200" i="45"/>
  <c r="AC200" i="45" s="1"/>
  <c r="W210" i="45"/>
  <c r="AB210" i="45" s="1"/>
  <c r="X212" i="45"/>
  <c r="AC212" i="45" s="1"/>
  <c r="AD22" i="45"/>
  <c r="AB39" i="45" s="1"/>
  <c r="AC32" i="45" s="1"/>
  <c r="O35" i="45"/>
  <c r="E18" i="45" s="1"/>
  <c r="AE46" i="45"/>
  <c r="J38" i="45" s="1"/>
  <c r="V47" i="45"/>
  <c r="V48" i="45" s="1"/>
  <c r="V51" i="45" s="1"/>
  <c r="J27" i="45" s="1"/>
  <c r="AE90" i="45"/>
  <c r="W196" i="45"/>
  <c r="AB196" i="45" s="1"/>
  <c r="X198" i="45"/>
  <c r="AC198" i="45" s="1"/>
  <c r="W208" i="45"/>
  <c r="AB208" i="45" s="1"/>
  <c r="Y188" i="45"/>
  <c r="AD188" i="45" s="1"/>
  <c r="Y190" i="45"/>
  <c r="AD190" i="45" s="1"/>
  <c r="Y192" i="45"/>
  <c r="AD192" i="45" s="1"/>
  <c r="Y194" i="45"/>
  <c r="AD194" i="45" s="1"/>
  <c r="Y196" i="45"/>
  <c r="AD196" i="45" s="1"/>
  <c r="Y198" i="45"/>
  <c r="AD198" i="45" s="1"/>
  <c r="Y200" i="45"/>
  <c r="AD200" i="45" s="1"/>
  <c r="Y202" i="45"/>
  <c r="AD202" i="45" s="1"/>
  <c r="Y204" i="45"/>
  <c r="AD204" i="45" s="1"/>
  <c r="Y206" i="45"/>
  <c r="AD206" i="45" s="1"/>
  <c r="Y208" i="45"/>
  <c r="AD208" i="45" s="1"/>
  <c r="Y210" i="45"/>
  <c r="AD210" i="45" s="1"/>
  <c r="Y212" i="45"/>
  <c r="AD212" i="45" s="1"/>
  <c r="Y214" i="45"/>
  <c r="AD214" i="45" s="1"/>
  <c r="Z188" i="45"/>
  <c r="AE188" i="45" s="1"/>
  <c r="W189" i="45"/>
  <c r="AB189" i="45" s="1"/>
  <c r="Z190" i="45"/>
  <c r="AE190" i="45" s="1"/>
  <c r="W191" i="45"/>
  <c r="AB191" i="45" s="1"/>
  <c r="Z192" i="45"/>
  <c r="AE192" i="45" s="1"/>
  <c r="W193" i="45"/>
  <c r="AB193" i="45" s="1"/>
  <c r="Z194" i="45"/>
  <c r="AE194" i="45" s="1"/>
  <c r="W195" i="45"/>
  <c r="AB195" i="45" s="1"/>
  <c r="Z196" i="45"/>
  <c r="AE196" i="45" s="1"/>
  <c r="W197" i="45"/>
  <c r="AB197" i="45" s="1"/>
  <c r="Z198" i="45"/>
  <c r="AE198" i="45" s="1"/>
  <c r="W199" i="45"/>
  <c r="AB199" i="45" s="1"/>
  <c r="Z200" i="45"/>
  <c r="AE200" i="45" s="1"/>
  <c r="Z202" i="45"/>
  <c r="AE202" i="45" s="1"/>
  <c r="Z204" i="45"/>
  <c r="AE204" i="45" s="1"/>
  <c r="W205" i="45"/>
  <c r="AB205" i="45" s="1"/>
  <c r="Z206" i="45"/>
  <c r="AE206" i="45" s="1"/>
  <c r="W207" i="45"/>
  <c r="AB207" i="45" s="1"/>
  <c r="Z208" i="45"/>
  <c r="AE208" i="45" s="1"/>
  <c r="W209" i="45"/>
  <c r="AB209" i="45" s="1"/>
  <c r="Z210" i="45"/>
  <c r="AE210" i="45" s="1"/>
  <c r="W211" i="45"/>
  <c r="AB211" i="45" s="1"/>
  <c r="Z212" i="45"/>
  <c r="AE212" i="45" s="1"/>
  <c r="W213" i="45"/>
  <c r="AB213" i="45" s="1"/>
  <c r="Z214" i="45"/>
  <c r="AE214" i="45" s="1"/>
  <c r="X189" i="45"/>
  <c r="AC189" i="45" s="1"/>
  <c r="X191" i="45"/>
  <c r="AC191" i="45" s="1"/>
  <c r="X193" i="45"/>
  <c r="AC193" i="45" s="1"/>
  <c r="X195" i="45"/>
  <c r="AC195" i="45" s="1"/>
  <c r="X197" i="45"/>
  <c r="AC197" i="45" s="1"/>
  <c r="X199" i="45"/>
  <c r="AC199" i="45" s="1"/>
  <c r="X201" i="45"/>
  <c r="AC201" i="45" s="1"/>
  <c r="X203" i="45"/>
  <c r="AC203" i="45" s="1"/>
  <c r="X205" i="45"/>
  <c r="AC205" i="45" s="1"/>
  <c r="X207" i="45"/>
  <c r="AC207" i="45" s="1"/>
  <c r="X209" i="45"/>
  <c r="AC209" i="45" s="1"/>
  <c r="X211" i="45"/>
  <c r="AC211" i="45" s="1"/>
  <c r="X213" i="45"/>
  <c r="AC213" i="45" s="1"/>
  <c r="Y189" i="45"/>
  <c r="AD189" i="45" s="1"/>
  <c r="Y191" i="45"/>
  <c r="AD191" i="45" s="1"/>
  <c r="Y193" i="45"/>
  <c r="AD193" i="45" s="1"/>
  <c r="Y195" i="45"/>
  <c r="AD195" i="45" s="1"/>
  <c r="Y197" i="45"/>
  <c r="AD197" i="45" s="1"/>
  <c r="Y199" i="45"/>
  <c r="AD199" i="45" s="1"/>
  <c r="Y201" i="45"/>
  <c r="AD201" i="45" s="1"/>
  <c r="Y203" i="45"/>
  <c r="AD203" i="45" s="1"/>
  <c r="Y205" i="45"/>
  <c r="AD205" i="45" s="1"/>
  <c r="Y207" i="45"/>
  <c r="AD207" i="45" s="1"/>
  <c r="Y209" i="45"/>
  <c r="AD209" i="45" s="1"/>
  <c r="Y211" i="45"/>
  <c r="AD211" i="45" s="1"/>
  <c r="Y213" i="45"/>
  <c r="AD213" i="45" s="1"/>
  <c r="Z189" i="45"/>
  <c r="AE189" i="45" s="1"/>
  <c r="Z191" i="45"/>
  <c r="AE191" i="45" s="1"/>
  <c r="Z193" i="45"/>
  <c r="AE193" i="45" s="1"/>
  <c r="Z195" i="45"/>
  <c r="AE195" i="45" s="1"/>
  <c r="Z197" i="45"/>
  <c r="AE197" i="45" s="1"/>
  <c r="Z199" i="45"/>
  <c r="AE199" i="45" s="1"/>
  <c r="Z201" i="45"/>
  <c r="AE201" i="45" s="1"/>
  <c r="Z203" i="45"/>
  <c r="AE203" i="45" s="1"/>
  <c r="Z205" i="45"/>
  <c r="AE205" i="45" s="1"/>
  <c r="Z207" i="45"/>
  <c r="AE207" i="45" s="1"/>
  <c r="Z209" i="45"/>
  <c r="AE209" i="45" s="1"/>
  <c r="Z211" i="45"/>
  <c r="AE211" i="45" s="1"/>
  <c r="AC31" i="44"/>
  <c r="AT5" i="44" s="1"/>
  <c r="AC32" i="44"/>
  <c r="AU5" i="44" s="1"/>
  <c r="AU31" i="44"/>
  <c r="AT31" i="44"/>
  <c r="AS31" i="44"/>
  <c r="AV31" i="44"/>
  <c r="P111" i="44"/>
  <c r="AT34" i="44"/>
  <c r="AS34" i="44"/>
  <c r="AV34" i="44"/>
  <c r="AU34" i="44"/>
  <c r="E38" i="44"/>
  <c r="J39" i="44"/>
  <c r="D38" i="44"/>
  <c r="O111" i="44"/>
  <c r="Q111" i="44"/>
  <c r="AL18" i="44"/>
  <c r="AL12" i="44"/>
  <c r="AC30" i="44"/>
  <c r="AL15" i="44"/>
  <c r="AL9" i="44"/>
  <c r="AK9" i="44" s="1"/>
  <c r="AS26" i="44" s="1"/>
  <c r="I24" i="44"/>
  <c r="Z190" i="44"/>
  <c r="AE190" i="44" s="1"/>
  <c r="W192" i="44"/>
  <c r="AB192" i="44" s="1"/>
  <c r="Y197" i="44"/>
  <c r="AD197" i="44" s="1"/>
  <c r="Z199" i="44"/>
  <c r="AE199" i="44" s="1"/>
  <c r="Z202" i="44"/>
  <c r="AE202" i="44" s="1"/>
  <c r="Y209" i="44"/>
  <c r="AD209" i="44" s="1"/>
  <c r="Z211" i="44"/>
  <c r="AE211" i="44" s="1"/>
  <c r="Z214" i="44"/>
  <c r="AE214" i="44" s="1"/>
  <c r="AQ58" i="44"/>
  <c r="AE95" i="44"/>
  <c r="Z188" i="44"/>
  <c r="AE188" i="44" s="1"/>
  <c r="W190" i="44"/>
  <c r="AB190" i="44" s="1"/>
  <c r="Y195" i="44"/>
  <c r="AD195" i="44" s="1"/>
  <c r="Z197" i="44"/>
  <c r="AE197" i="44" s="1"/>
  <c r="Z200" i="44"/>
  <c r="AE200" i="44" s="1"/>
  <c r="Y207" i="44"/>
  <c r="AD207" i="44" s="1"/>
  <c r="Z209" i="44"/>
  <c r="AE209" i="44" s="1"/>
  <c r="Z212" i="44"/>
  <c r="AE212" i="44" s="1"/>
  <c r="W214" i="44"/>
  <c r="AB214" i="44" s="1"/>
  <c r="B72" i="44"/>
  <c r="AQ36" i="44" s="1"/>
  <c r="W188" i="44"/>
  <c r="AB188" i="44" s="1"/>
  <c r="Y193" i="44"/>
  <c r="AD193" i="44" s="1"/>
  <c r="Z195" i="44"/>
  <c r="AE195" i="44" s="1"/>
  <c r="Z198" i="44"/>
  <c r="AE198" i="44" s="1"/>
  <c r="W200" i="44"/>
  <c r="AB200" i="44" s="1"/>
  <c r="Y205" i="44"/>
  <c r="AD205" i="44" s="1"/>
  <c r="Z207" i="44"/>
  <c r="AE207" i="44" s="1"/>
  <c r="Z210" i="44"/>
  <c r="AE210" i="44" s="1"/>
  <c r="W212" i="44"/>
  <c r="AB212" i="44" s="1"/>
  <c r="V49" i="44"/>
  <c r="V47" i="44" s="1"/>
  <c r="V48" i="44" s="1"/>
  <c r="V51" i="44" s="1"/>
  <c r="J27" i="44" s="1"/>
  <c r="Y191" i="44"/>
  <c r="AD191" i="44" s="1"/>
  <c r="Z193" i="44"/>
  <c r="AE193" i="44" s="1"/>
  <c r="Z196" i="44"/>
  <c r="AE196" i="44" s="1"/>
  <c r="W198" i="44"/>
  <c r="AB198" i="44" s="1"/>
  <c r="Y203" i="44"/>
  <c r="AD203" i="44" s="1"/>
  <c r="Z205" i="44"/>
  <c r="AE205" i="44" s="1"/>
  <c r="Z208" i="44"/>
  <c r="AE208" i="44" s="1"/>
  <c r="W210" i="44"/>
  <c r="AB210" i="44" s="1"/>
  <c r="Y214" i="44"/>
  <c r="AD214" i="44" s="1"/>
  <c r="Y189" i="44"/>
  <c r="AD189" i="44" s="1"/>
  <c r="Z191" i="44"/>
  <c r="AE191" i="44" s="1"/>
  <c r="Z194" i="44"/>
  <c r="AE194" i="44" s="1"/>
  <c r="W196" i="44"/>
  <c r="AB196" i="44" s="1"/>
  <c r="Y201" i="44"/>
  <c r="AD201" i="44" s="1"/>
  <c r="Z203" i="44"/>
  <c r="AE203" i="44" s="1"/>
  <c r="Z206" i="44"/>
  <c r="AE206" i="44" s="1"/>
  <c r="Y213" i="44"/>
  <c r="AD213" i="44" s="1"/>
  <c r="X188" i="44"/>
  <c r="AC188" i="44" s="1"/>
  <c r="X190" i="44"/>
  <c r="AC190" i="44" s="1"/>
  <c r="X192" i="44"/>
  <c r="AC192" i="44" s="1"/>
  <c r="X194" i="44"/>
  <c r="AC194" i="44" s="1"/>
  <c r="X196" i="44"/>
  <c r="AC196" i="44" s="1"/>
  <c r="X198" i="44"/>
  <c r="AC198" i="44" s="1"/>
  <c r="X200" i="44"/>
  <c r="AC200" i="44" s="1"/>
  <c r="X202" i="44"/>
  <c r="AC202" i="44" s="1"/>
  <c r="X204" i="44"/>
  <c r="AC204" i="44" s="1"/>
  <c r="X206" i="44"/>
  <c r="AC206" i="44" s="1"/>
  <c r="X208" i="44"/>
  <c r="AC208" i="44" s="1"/>
  <c r="X210" i="44"/>
  <c r="AC210" i="44" s="1"/>
  <c r="X212" i="44"/>
  <c r="AC212" i="44" s="1"/>
  <c r="X214" i="44"/>
  <c r="AC214" i="44" s="1"/>
  <c r="Y188" i="44"/>
  <c r="AD188" i="44" s="1"/>
  <c r="Y190" i="44"/>
  <c r="AD190" i="44" s="1"/>
  <c r="Y192" i="44"/>
  <c r="AD192" i="44" s="1"/>
  <c r="Y194" i="44"/>
  <c r="AD194" i="44" s="1"/>
  <c r="Y196" i="44"/>
  <c r="AD196" i="44" s="1"/>
  <c r="Y198" i="44"/>
  <c r="AD198" i="44" s="1"/>
  <c r="Y200" i="44"/>
  <c r="AD200" i="44" s="1"/>
  <c r="Y202" i="44"/>
  <c r="AD202" i="44" s="1"/>
  <c r="Y204" i="44"/>
  <c r="AD204" i="44" s="1"/>
  <c r="Y206" i="44"/>
  <c r="AD206" i="44" s="1"/>
  <c r="Y208" i="44"/>
  <c r="AD208" i="44" s="1"/>
  <c r="Y210" i="44"/>
  <c r="AD210" i="44" s="1"/>
  <c r="Y212" i="44"/>
  <c r="AD212" i="44" s="1"/>
  <c r="W189" i="44"/>
  <c r="AB189" i="44" s="1"/>
  <c r="W191" i="44"/>
  <c r="AB191" i="44" s="1"/>
  <c r="W193" i="44"/>
  <c r="AB193" i="44" s="1"/>
  <c r="W195" i="44"/>
  <c r="AB195" i="44" s="1"/>
  <c r="W197" i="44"/>
  <c r="AB197" i="44" s="1"/>
  <c r="W199" i="44"/>
  <c r="AB199" i="44" s="1"/>
  <c r="W205" i="44"/>
  <c r="AB205" i="44" s="1"/>
  <c r="W207" i="44"/>
  <c r="AB207" i="44" s="1"/>
  <c r="W209" i="44"/>
  <c r="AB209" i="44" s="1"/>
  <c r="W211" i="44"/>
  <c r="AB211" i="44" s="1"/>
  <c r="W213" i="44"/>
  <c r="AB213" i="44" s="1"/>
  <c r="X189" i="44"/>
  <c r="AC189" i="44" s="1"/>
  <c r="X191" i="44"/>
  <c r="AC191" i="44" s="1"/>
  <c r="X193" i="44"/>
  <c r="AC193" i="44" s="1"/>
  <c r="X195" i="44"/>
  <c r="AC195" i="44" s="1"/>
  <c r="X197" i="44"/>
  <c r="AC197" i="44" s="1"/>
  <c r="X199" i="44"/>
  <c r="AC199" i="44" s="1"/>
  <c r="X201" i="44"/>
  <c r="AC201" i="44" s="1"/>
  <c r="X203" i="44"/>
  <c r="AC203" i="44" s="1"/>
  <c r="X205" i="44"/>
  <c r="AC205" i="44" s="1"/>
  <c r="X207" i="44"/>
  <c r="AC207" i="44" s="1"/>
  <c r="X209" i="44"/>
  <c r="AC209" i="44" s="1"/>
  <c r="X211" i="44"/>
  <c r="AC211" i="44" s="1"/>
  <c r="X213" i="44"/>
  <c r="AC213" i="44" s="1"/>
  <c r="O111" i="43"/>
  <c r="Q111" i="43"/>
  <c r="J39" i="43"/>
  <c r="E38" i="43"/>
  <c r="D38" i="43"/>
  <c r="P111" i="43"/>
  <c r="AC31" i="43"/>
  <c r="W189" i="43"/>
  <c r="AB189" i="43" s="1"/>
  <c r="Y194" i="43"/>
  <c r="AD194" i="43" s="1"/>
  <c r="Z196" i="43"/>
  <c r="AE196" i="43" s="1"/>
  <c r="Y206" i="43"/>
  <c r="AD206" i="43" s="1"/>
  <c r="Z208" i="43"/>
  <c r="AE208" i="43" s="1"/>
  <c r="W213" i="43"/>
  <c r="AB213" i="43" s="1"/>
  <c r="B48" i="43"/>
  <c r="AE87" i="43"/>
  <c r="W214" i="43"/>
  <c r="AB214" i="43" s="1"/>
  <c r="AE91" i="43"/>
  <c r="Y192" i="43"/>
  <c r="AD192" i="43" s="1"/>
  <c r="Z194" i="43"/>
  <c r="AE194" i="43" s="1"/>
  <c r="W199" i="43"/>
  <c r="AB199" i="43" s="1"/>
  <c r="Y204" i="43"/>
  <c r="AD204" i="43" s="1"/>
  <c r="Z206" i="43"/>
  <c r="AE206" i="43" s="1"/>
  <c r="W211" i="43"/>
  <c r="AB211" i="43" s="1"/>
  <c r="AQ58" i="43"/>
  <c r="B57" i="43"/>
  <c r="AQ31" i="43" s="1"/>
  <c r="Y190" i="43"/>
  <c r="AD190" i="43" s="1"/>
  <c r="Z192" i="43"/>
  <c r="AE192" i="43" s="1"/>
  <c r="W197" i="43"/>
  <c r="AB197" i="43" s="1"/>
  <c r="Y202" i="43"/>
  <c r="AD202" i="43" s="1"/>
  <c r="Z204" i="43"/>
  <c r="AE204" i="43" s="1"/>
  <c r="W209" i="43"/>
  <c r="AB209" i="43" s="1"/>
  <c r="Y214" i="43"/>
  <c r="AD214" i="43" s="1"/>
  <c r="B72" i="43"/>
  <c r="AQ36" i="43" s="1"/>
  <c r="Y188" i="43"/>
  <c r="AD188" i="43" s="1"/>
  <c r="Z190" i="43"/>
  <c r="AE190" i="43" s="1"/>
  <c r="W195" i="43"/>
  <c r="AB195" i="43" s="1"/>
  <c r="Y200" i="43"/>
  <c r="AD200" i="43" s="1"/>
  <c r="Z202" i="43"/>
  <c r="AE202" i="43" s="1"/>
  <c r="W207" i="43"/>
  <c r="AB207" i="43" s="1"/>
  <c r="Y212" i="43"/>
  <c r="AD212" i="43" s="1"/>
  <c r="Z214" i="43"/>
  <c r="AE214" i="43" s="1"/>
  <c r="I24" i="43"/>
  <c r="Z188" i="43"/>
  <c r="AE188" i="43" s="1"/>
  <c r="W193" i="43"/>
  <c r="AB193" i="43" s="1"/>
  <c r="Y198" i="43"/>
  <c r="AD198" i="43" s="1"/>
  <c r="Z200" i="43"/>
  <c r="AE200" i="43" s="1"/>
  <c r="W205" i="43"/>
  <c r="AB205" i="43" s="1"/>
  <c r="Y210" i="43"/>
  <c r="AD210" i="43" s="1"/>
  <c r="AD22" i="43"/>
  <c r="AB39" i="43" s="1"/>
  <c r="AC32" i="43" s="1"/>
  <c r="O35" i="43"/>
  <c r="E18" i="43" s="1"/>
  <c r="Z46" i="43"/>
  <c r="W191" i="43"/>
  <c r="AB191" i="43" s="1"/>
  <c r="Y196" i="43"/>
  <c r="AD196" i="43" s="1"/>
  <c r="Z198" i="43"/>
  <c r="AE198" i="43" s="1"/>
  <c r="Y208" i="43"/>
  <c r="AD208" i="43" s="1"/>
  <c r="X188" i="43"/>
  <c r="AC188" i="43" s="1"/>
  <c r="X190" i="43"/>
  <c r="AC190" i="43" s="1"/>
  <c r="X192" i="43"/>
  <c r="AC192" i="43" s="1"/>
  <c r="X194" i="43"/>
  <c r="AC194" i="43" s="1"/>
  <c r="X196" i="43"/>
  <c r="AC196" i="43" s="1"/>
  <c r="X198" i="43"/>
  <c r="AC198" i="43" s="1"/>
  <c r="X200" i="43"/>
  <c r="AC200" i="43" s="1"/>
  <c r="X202" i="43"/>
  <c r="AC202" i="43" s="1"/>
  <c r="X204" i="43"/>
  <c r="AC204" i="43" s="1"/>
  <c r="X206" i="43"/>
  <c r="AC206" i="43" s="1"/>
  <c r="X208" i="43"/>
  <c r="AC208" i="43" s="1"/>
  <c r="X210" i="43"/>
  <c r="AC210" i="43" s="1"/>
  <c r="X212" i="43"/>
  <c r="AC212" i="43" s="1"/>
  <c r="X214" i="43"/>
  <c r="AC214" i="43" s="1"/>
  <c r="X189" i="43"/>
  <c r="AC189" i="43" s="1"/>
  <c r="X191" i="43"/>
  <c r="AC191" i="43" s="1"/>
  <c r="X193" i="43"/>
  <c r="AC193" i="43" s="1"/>
  <c r="X195" i="43"/>
  <c r="AC195" i="43" s="1"/>
  <c r="X197" i="43"/>
  <c r="AC197" i="43" s="1"/>
  <c r="X199" i="43"/>
  <c r="AC199" i="43" s="1"/>
  <c r="X201" i="43"/>
  <c r="AC201" i="43" s="1"/>
  <c r="X203" i="43"/>
  <c r="AC203" i="43" s="1"/>
  <c r="X205" i="43"/>
  <c r="AC205" i="43" s="1"/>
  <c r="X207" i="43"/>
  <c r="AC207" i="43" s="1"/>
  <c r="X209" i="43"/>
  <c r="AC209" i="43" s="1"/>
  <c r="X211" i="43"/>
  <c r="AC211" i="43" s="1"/>
  <c r="X213" i="43"/>
  <c r="AC213" i="43" s="1"/>
  <c r="Y189" i="43"/>
  <c r="AD189" i="43" s="1"/>
  <c r="Y191" i="43"/>
  <c r="AD191" i="43" s="1"/>
  <c r="Y193" i="43"/>
  <c r="AD193" i="43" s="1"/>
  <c r="Y195" i="43"/>
  <c r="AD195" i="43" s="1"/>
  <c r="Y197" i="43"/>
  <c r="AD197" i="43" s="1"/>
  <c r="Y199" i="43"/>
  <c r="AD199" i="43" s="1"/>
  <c r="Y201" i="43"/>
  <c r="AD201" i="43" s="1"/>
  <c r="Y203" i="43"/>
  <c r="AD203" i="43" s="1"/>
  <c r="Y205" i="43"/>
  <c r="AD205" i="43" s="1"/>
  <c r="Y207" i="43"/>
  <c r="AD207" i="43" s="1"/>
  <c r="Y209" i="43"/>
  <c r="AD209" i="43" s="1"/>
  <c r="Y211" i="43"/>
  <c r="AD211" i="43" s="1"/>
  <c r="Y213" i="43"/>
  <c r="AD213" i="43" s="1"/>
  <c r="W188" i="43"/>
  <c r="AB188" i="43" s="1"/>
  <c r="Z189" i="43"/>
  <c r="AE189" i="43" s="1"/>
  <c r="W190" i="43"/>
  <c r="AB190" i="43" s="1"/>
  <c r="Z191" i="43"/>
  <c r="AE191" i="43" s="1"/>
  <c r="W192" i="43"/>
  <c r="AB192" i="43" s="1"/>
  <c r="Z193" i="43"/>
  <c r="AE193" i="43" s="1"/>
  <c r="W194" i="43"/>
  <c r="AB194" i="43" s="1"/>
  <c r="Z195" i="43"/>
  <c r="AE195" i="43" s="1"/>
  <c r="W196" i="43"/>
  <c r="AB196" i="43" s="1"/>
  <c r="Z197" i="43"/>
  <c r="AE197" i="43" s="1"/>
  <c r="W198" i="43"/>
  <c r="AB198" i="43" s="1"/>
  <c r="Z199" i="43"/>
  <c r="AE199" i="43" s="1"/>
  <c r="W200" i="43"/>
  <c r="AB200" i="43" s="1"/>
  <c r="Z201" i="43"/>
  <c r="AE201" i="43" s="1"/>
  <c r="Z203" i="43"/>
  <c r="AE203" i="43" s="1"/>
  <c r="Z205" i="43"/>
  <c r="AE205" i="43" s="1"/>
  <c r="W206" i="43"/>
  <c r="AB206" i="43" s="1"/>
  <c r="Z207" i="43"/>
  <c r="AE207" i="43" s="1"/>
  <c r="W208" i="43"/>
  <c r="AB208" i="43" s="1"/>
  <c r="Z209" i="43"/>
  <c r="AE209" i="43" s="1"/>
  <c r="W210" i="43"/>
  <c r="AB210" i="43" s="1"/>
  <c r="Z211" i="43"/>
  <c r="AE211" i="43" s="1"/>
  <c r="W212" i="43"/>
  <c r="AB212" i="43" s="1"/>
  <c r="Z213" i="43"/>
  <c r="AE213" i="43" s="1"/>
  <c r="P96" i="42"/>
  <c r="AT5" i="42"/>
  <c r="P111" i="42"/>
  <c r="AL9" i="42"/>
  <c r="AK9" i="42" s="1"/>
  <c r="AS26" i="42" s="1"/>
  <c r="AL18" i="42"/>
  <c r="AL12" i="42"/>
  <c r="AC30" i="42"/>
  <c r="AL15" i="42"/>
  <c r="J39" i="42"/>
  <c r="E38" i="42"/>
  <c r="D38" i="42"/>
  <c r="Q111" i="42"/>
  <c r="AV31" i="42"/>
  <c r="O111" i="42"/>
  <c r="AV34" i="42"/>
  <c r="AS34" i="42"/>
  <c r="Q96" i="42"/>
  <c r="AU5" i="42"/>
  <c r="B48" i="42"/>
  <c r="AQ28" i="42" s="1"/>
  <c r="AS31" i="42"/>
  <c r="V49" i="42"/>
  <c r="V47" i="42" s="1"/>
  <c r="V48" i="42" s="1"/>
  <c r="V51" i="42" s="1"/>
  <c r="J27" i="42" s="1"/>
  <c r="W192" i="42"/>
  <c r="AB192" i="42" s="1"/>
  <c r="X194" i="42"/>
  <c r="AC194" i="42" s="1"/>
  <c r="Z199" i="42"/>
  <c r="AE199" i="42" s="1"/>
  <c r="X206" i="42"/>
  <c r="AC206" i="42" s="1"/>
  <c r="Z211" i="42"/>
  <c r="AE211" i="42" s="1"/>
  <c r="AT31" i="42"/>
  <c r="W190" i="42"/>
  <c r="AB190" i="42" s="1"/>
  <c r="X192" i="42"/>
  <c r="AC192" i="42" s="1"/>
  <c r="Z197" i="42"/>
  <c r="AE197" i="42" s="1"/>
  <c r="X204" i="42"/>
  <c r="AC204" i="42" s="1"/>
  <c r="Z209" i="42"/>
  <c r="AE209" i="42" s="1"/>
  <c r="W214" i="42"/>
  <c r="AB214" i="42" s="1"/>
  <c r="AU31" i="42"/>
  <c r="W188" i="42"/>
  <c r="AB188" i="42" s="1"/>
  <c r="X190" i="42"/>
  <c r="AC190" i="42" s="1"/>
  <c r="Z195" i="42"/>
  <c r="AE195" i="42" s="1"/>
  <c r="W200" i="42"/>
  <c r="AB200" i="42" s="1"/>
  <c r="X202" i="42"/>
  <c r="AC202" i="42" s="1"/>
  <c r="Z207" i="42"/>
  <c r="AE207" i="42" s="1"/>
  <c r="W212" i="42"/>
  <c r="AB212" i="42" s="1"/>
  <c r="X214" i="42"/>
  <c r="AC214" i="42" s="1"/>
  <c r="AQ58" i="42"/>
  <c r="X188" i="42"/>
  <c r="AC188" i="42" s="1"/>
  <c r="Z193" i="42"/>
  <c r="AE193" i="42" s="1"/>
  <c r="W198" i="42"/>
  <c r="AB198" i="42" s="1"/>
  <c r="X200" i="42"/>
  <c r="AC200" i="42" s="1"/>
  <c r="Z205" i="42"/>
  <c r="AE205" i="42" s="1"/>
  <c r="W210" i="42"/>
  <c r="AB210" i="42" s="1"/>
  <c r="X212" i="42"/>
  <c r="AC212" i="42" s="1"/>
  <c r="Z46" i="42"/>
  <c r="AE90" i="42"/>
  <c r="Z191" i="42"/>
  <c r="AE191" i="42" s="1"/>
  <c r="W196" i="42"/>
  <c r="AB196" i="42" s="1"/>
  <c r="X198" i="42"/>
  <c r="AC198" i="42" s="1"/>
  <c r="Z203" i="42"/>
  <c r="AE203" i="42" s="1"/>
  <c r="W208" i="42"/>
  <c r="AB208" i="42" s="1"/>
  <c r="Y188" i="42"/>
  <c r="AD188" i="42" s="1"/>
  <c r="Y190" i="42"/>
  <c r="AD190" i="42" s="1"/>
  <c r="Y192" i="42"/>
  <c r="AD192" i="42" s="1"/>
  <c r="Y194" i="42"/>
  <c r="AD194" i="42" s="1"/>
  <c r="Y196" i="42"/>
  <c r="AD196" i="42" s="1"/>
  <c r="Y198" i="42"/>
  <c r="AD198" i="42" s="1"/>
  <c r="Y200" i="42"/>
  <c r="AD200" i="42" s="1"/>
  <c r="Y202" i="42"/>
  <c r="AD202" i="42" s="1"/>
  <c r="Y204" i="42"/>
  <c r="AD204" i="42" s="1"/>
  <c r="Y206" i="42"/>
  <c r="AD206" i="42" s="1"/>
  <c r="Y208" i="42"/>
  <c r="AD208" i="42" s="1"/>
  <c r="Y210" i="42"/>
  <c r="AD210" i="42" s="1"/>
  <c r="Y212" i="42"/>
  <c r="AD212" i="42" s="1"/>
  <c r="Y214" i="42"/>
  <c r="AD214" i="42" s="1"/>
  <c r="Z188" i="42"/>
  <c r="AE188" i="42" s="1"/>
  <c r="W189" i="42"/>
  <c r="AB189" i="42" s="1"/>
  <c r="Z190" i="42"/>
  <c r="AE190" i="42" s="1"/>
  <c r="W191" i="42"/>
  <c r="AB191" i="42" s="1"/>
  <c r="Z192" i="42"/>
  <c r="AE192" i="42" s="1"/>
  <c r="W193" i="42"/>
  <c r="AB193" i="42" s="1"/>
  <c r="Z194" i="42"/>
  <c r="AE194" i="42" s="1"/>
  <c r="W195" i="42"/>
  <c r="AB195" i="42" s="1"/>
  <c r="Z196" i="42"/>
  <c r="AE196" i="42" s="1"/>
  <c r="W197" i="42"/>
  <c r="AB197" i="42" s="1"/>
  <c r="Z198" i="42"/>
  <c r="AE198" i="42" s="1"/>
  <c r="W199" i="42"/>
  <c r="AB199" i="42" s="1"/>
  <c r="Z200" i="42"/>
  <c r="AE200" i="42" s="1"/>
  <c r="Z202" i="42"/>
  <c r="AE202" i="42" s="1"/>
  <c r="Z204" i="42"/>
  <c r="AE204" i="42" s="1"/>
  <c r="W205" i="42"/>
  <c r="AB205" i="42" s="1"/>
  <c r="Z206" i="42"/>
  <c r="AE206" i="42" s="1"/>
  <c r="W207" i="42"/>
  <c r="AB207" i="42" s="1"/>
  <c r="Z208" i="42"/>
  <c r="AE208" i="42" s="1"/>
  <c r="W209" i="42"/>
  <c r="AB209" i="42" s="1"/>
  <c r="Z210" i="42"/>
  <c r="AE210" i="42" s="1"/>
  <c r="W211" i="42"/>
  <c r="AB211" i="42" s="1"/>
  <c r="Z212" i="42"/>
  <c r="AE212" i="42" s="1"/>
  <c r="W213" i="42"/>
  <c r="AB213" i="42" s="1"/>
  <c r="Z214" i="42"/>
  <c r="AE214" i="42" s="1"/>
  <c r="X189" i="42"/>
  <c r="AC189" i="42" s="1"/>
  <c r="X191" i="42"/>
  <c r="AC191" i="42" s="1"/>
  <c r="X193" i="42"/>
  <c r="AC193" i="42" s="1"/>
  <c r="X195" i="42"/>
  <c r="AC195" i="42" s="1"/>
  <c r="X197" i="42"/>
  <c r="AC197" i="42" s="1"/>
  <c r="X199" i="42"/>
  <c r="AC199" i="42" s="1"/>
  <c r="X201" i="42"/>
  <c r="AC201" i="42" s="1"/>
  <c r="X203" i="42"/>
  <c r="AC203" i="42" s="1"/>
  <c r="X205" i="42"/>
  <c r="AC205" i="42" s="1"/>
  <c r="X207" i="42"/>
  <c r="AC207" i="42" s="1"/>
  <c r="X209" i="42"/>
  <c r="AC209" i="42" s="1"/>
  <c r="X211" i="42"/>
  <c r="AC211" i="42" s="1"/>
  <c r="X213" i="42"/>
  <c r="AC213" i="42" s="1"/>
  <c r="Y189" i="42"/>
  <c r="AD189" i="42" s="1"/>
  <c r="Y191" i="42"/>
  <c r="AD191" i="42" s="1"/>
  <c r="Y193" i="42"/>
  <c r="AD193" i="42" s="1"/>
  <c r="Y195" i="42"/>
  <c r="AD195" i="42" s="1"/>
  <c r="Y197" i="42"/>
  <c r="AD197" i="42" s="1"/>
  <c r="Y199" i="42"/>
  <c r="AD199" i="42" s="1"/>
  <c r="Y201" i="42"/>
  <c r="AD201" i="42" s="1"/>
  <c r="Y203" i="42"/>
  <c r="AD203" i="42" s="1"/>
  <c r="Y205" i="42"/>
  <c r="AD205" i="42" s="1"/>
  <c r="Y207" i="42"/>
  <c r="AD207" i="42" s="1"/>
  <c r="Y209" i="42"/>
  <c r="AD209" i="42" s="1"/>
  <c r="Y211" i="42"/>
  <c r="AD211" i="42" s="1"/>
  <c r="J47" i="54" l="1"/>
  <c r="AU12" i="54"/>
  <c r="AT12" i="54"/>
  <c r="AS12" i="54"/>
  <c r="D51" i="54"/>
  <c r="I52" i="54"/>
  <c r="I51" i="54" s="1"/>
  <c r="I55" i="54"/>
  <c r="I54" i="54" s="1"/>
  <c r="D54" i="54"/>
  <c r="J48" i="54"/>
  <c r="AS13" i="54"/>
  <c r="AT13" i="54"/>
  <c r="AU13" i="54"/>
  <c r="J49" i="54"/>
  <c r="AT14" i="54"/>
  <c r="AS14" i="54"/>
  <c r="AU14" i="54"/>
  <c r="I49" i="54"/>
  <c r="D48" i="54"/>
  <c r="AV13" i="52"/>
  <c r="AU13" i="52" s="1"/>
  <c r="AV12" i="52"/>
  <c r="AV12" i="50"/>
  <c r="AU12" i="50" s="1"/>
  <c r="AV14" i="49"/>
  <c r="AT14" i="49" s="1"/>
  <c r="AV13" i="48"/>
  <c r="AS13" i="48" s="1"/>
  <c r="AV14" i="48"/>
  <c r="AV12" i="51"/>
  <c r="J47" i="51" s="1"/>
  <c r="AV13" i="51"/>
  <c r="AU13" i="51" s="1"/>
  <c r="AU9" i="53"/>
  <c r="AU11" i="53" s="1"/>
  <c r="AT9" i="53"/>
  <c r="AT11" i="53" s="1"/>
  <c r="E52" i="53"/>
  <c r="E51" i="53"/>
  <c r="D52" i="53"/>
  <c r="AT33" i="53"/>
  <c r="AU30" i="53"/>
  <c r="AV35" i="53"/>
  <c r="AT32" i="53"/>
  <c r="AT30" i="53"/>
  <c r="AU35" i="53"/>
  <c r="AS32" i="53"/>
  <c r="AV33" i="53"/>
  <c r="AT36" i="53"/>
  <c r="AS33" i="53"/>
  <c r="AS30" i="53"/>
  <c r="AT35" i="53"/>
  <c r="AV36" i="53"/>
  <c r="AU36" i="53"/>
  <c r="AU33" i="53"/>
  <c r="AU32" i="53"/>
  <c r="AS36" i="53"/>
  <c r="AV30" i="53"/>
  <c r="AS35" i="53"/>
  <c r="AV32" i="53"/>
  <c r="AU28" i="53"/>
  <c r="AV28" i="53"/>
  <c r="AS28" i="53"/>
  <c r="AT28" i="53"/>
  <c r="AS9" i="53"/>
  <c r="AS11" i="53" s="1"/>
  <c r="D49" i="53"/>
  <c r="E48" i="53"/>
  <c r="E49" i="53"/>
  <c r="E55" i="53"/>
  <c r="D55" i="53"/>
  <c r="E54" i="53"/>
  <c r="I55" i="52"/>
  <c r="I54" i="52" s="1"/>
  <c r="D54" i="52"/>
  <c r="J48" i="52"/>
  <c r="AS13" i="52"/>
  <c r="AT13" i="52"/>
  <c r="J47" i="52"/>
  <c r="AS12" i="52"/>
  <c r="AU12" i="52"/>
  <c r="AT12" i="52"/>
  <c r="D51" i="52"/>
  <c r="J49" i="52"/>
  <c r="AT14" i="52"/>
  <c r="AU14" i="52"/>
  <c r="AS14" i="52"/>
  <c r="D48" i="52"/>
  <c r="I49" i="52"/>
  <c r="I55" i="51"/>
  <c r="I54" i="51" s="1"/>
  <c r="D54" i="51"/>
  <c r="J49" i="51"/>
  <c r="AU14" i="51"/>
  <c r="AT14" i="51"/>
  <c r="AS14" i="51"/>
  <c r="I49" i="51"/>
  <c r="D48" i="51"/>
  <c r="D51" i="51"/>
  <c r="AS13" i="51"/>
  <c r="AV13" i="50"/>
  <c r="AU13" i="50" s="1"/>
  <c r="AV12" i="49"/>
  <c r="AU12" i="49" s="1"/>
  <c r="D51" i="50"/>
  <c r="I55" i="50"/>
  <c r="I54" i="50" s="1"/>
  <c r="D54" i="50"/>
  <c r="E28" i="50"/>
  <c r="D28" i="50"/>
  <c r="J47" i="50"/>
  <c r="AT12" i="50"/>
  <c r="D48" i="50"/>
  <c r="I49" i="50"/>
  <c r="I48" i="50" s="1"/>
  <c r="J49" i="50"/>
  <c r="AU14" i="50"/>
  <c r="AT14" i="50"/>
  <c r="AS14" i="50"/>
  <c r="J48" i="49"/>
  <c r="AT13" i="49"/>
  <c r="AS13" i="49"/>
  <c r="AU13" i="49"/>
  <c r="I55" i="49"/>
  <c r="I54" i="49" s="1"/>
  <c r="D54" i="49"/>
  <c r="D51" i="49"/>
  <c r="I49" i="49"/>
  <c r="D48" i="49"/>
  <c r="AS14" i="49"/>
  <c r="AU14" i="49"/>
  <c r="AS12" i="49"/>
  <c r="D51" i="48"/>
  <c r="I49" i="48"/>
  <c r="D48" i="48"/>
  <c r="J47" i="48"/>
  <c r="AU12" i="48"/>
  <c r="AS12" i="48"/>
  <c r="AT12" i="48"/>
  <c r="AT13" i="48"/>
  <c r="I55" i="48"/>
  <c r="I54" i="48" s="1"/>
  <c r="D54" i="48"/>
  <c r="J49" i="48"/>
  <c r="AU14" i="48"/>
  <c r="AT14" i="48"/>
  <c r="AS14" i="48"/>
  <c r="D48" i="47"/>
  <c r="I49" i="47"/>
  <c r="I48" i="47" s="1"/>
  <c r="I55" i="47"/>
  <c r="I54" i="47" s="1"/>
  <c r="D54" i="47"/>
  <c r="AV14" i="47"/>
  <c r="AV12" i="47"/>
  <c r="AV13" i="47"/>
  <c r="D51" i="47"/>
  <c r="P96" i="45"/>
  <c r="AT5" i="45"/>
  <c r="Q96" i="45"/>
  <c r="AU5" i="45"/>
  <c r="AE215" i="45"/>
  <c r="E27" i="45"/>
  <c r="D27" i="45"/>
  <c r="J28" i="45"/>
  <c r="E46" i="45"/>
  <c r="D46" i="45"/>
  <c r="E45" i="45"/>
  <c r="AD215" i="45"/>
  <c r="J39" i="45"/>
  <c r="E38" i="45"/>
  <c r="D38" i="45"/>
  <c r="AL15" i="45"/>
  <c r="AL9" i="45"/>
  <c r="AK9" i="45" s="1"/>
  <c r="AS26" i="45" s="1"/>
  <c r="AL18" i="45"/>
  <c r="AL12" i="45"/>
  <c r="AC215" i="45"/>
  <c r="P96" i="44"/>
  <c r="Q96" i="44"/>
  <c r="AD215" i="44"/>
  <c r="AE215" i="44"/>
  <c r="N111" i="44"/>
  <c r="J28" i="44"/>
  <c r="E27" i="44"/>
  <c r="D27" i="44"/>
  <c r="O96" i="44"/>
  <c r="AS5" i="44"/>
  <c r="E39" i="44"/>
  <c r="D39" i="44"/>
  <c r="E45" i="44"/>
  <c r="E46" i="44"/>
  <c r="D46" i="44"/>
  <c r="AV7" i="44"/>
  <c r="AV8" i="44"/>
  <c r="AV6" i="44"/>
  <c r="AC215" i="44"/>
  <c r="AD215" i="43"/>
  <c r="AU31" i="43"/>
  <c r="AV31" i="43"/>
  <c r="AT31" i="43"/>
  <c r="AS31" i="43"/>
  <c r="AT34" i="43"/>
  <c r="D39" i="43"/>
  <c r="E39" i="43"/>
  <c r="AL18" i="43"/>
  <c r="AL12" i="43"/>
  <c r="AL15" i="43"/>
  <c r="AC30" i="43"/>
  <c r="AL9" i="43"/>
  <c r="AK9" i="43" s="1"/>
  <c r="AS26" i="43" s="1"/>
  <c r="AE215" i="43"/>
  <c r="E27" i="43"/>
  <c r="D27" i="43"/>
  <c r="J28" i="43"/>
  <c r="E45" i="43"/>
  <c r="E46" i="43"/>
  <c r="D46" i="43"/>
  <c r="AV34" i="43"/>
  <c r="Q96" i="43"/>
  <c r="AU5" i="43"/>
  <c r="AQ28" i="43"/>
  <c r="P96" i="43"/>
  <c r="AT5" i="43"/>
  <c r="AS34" i="43"/>
  <c r="AC215" i="43"/>
  <c r="AU34" i="43"/>
  <c r="AD215" i="42"/>
  <c r="AT34" i="42"/>
  <c r="E39" i="42"/>
  <c r="D39" i="42"/>
  <c r="N111" i="42"/>
  <c r="E27" i="42"/>
  <c r="J28" i="42"/>
  <c r="D27" i="42"/>
  <c r="AC215" i="42"/>
  <c r="AU34" i="42"/>
  <c r="E45" i="42"/>
  <c r="E46" i="42"/>
  <c r="D46" i="42"/>
  <c r="AE215" i="42"/>
  <c r="O96" i="42"/>
  <c r="AS5" i="42"/>
  <c r="AV6" i="42"/>
  <c r="AV7" i="42"/>
  <c r="AV8" i="42"/>
  <c r="AU15" i="54" l="1"/>
  <c r="AU17" i="54" s="1"/>
  <c r="AS15" i="54"/>
  <c r="AS17" i="54" s="1"/>
  <c r="AV20" i="54" s="1"/>
  <c r="AT15" i="54"/>
  <c r="AT17" i="54" s="1"/>
  <c r="E57" i="54"/>
  <c r="E58" i="54"/>
  <c r="D58" i="54"/>
  <c r="D61" i="54"/>
  <c r="E60" i="54"/>
  <c r="E61" i="54"/>
  <c r="E63" i="54"/>
  <c r="E64" i="54"/>
  <c r="D64" i="54"/>
  <c r="I48" i="54"/>
  <c r="J49" i="49"/>
  <c r="E63" i="49" s="1"/>
  <c r="J47" i="49"/>
  <c r="E57" i="49" s="1"/>
  <c r="J48" i="48"/>
  <c r="E61" i="48" s="1"/>
  <c r="AS12" i="50"/>
  <c r="AU13" i="48"/>
  <c r="AU15" i="48" s="1"/>
  <c r="AU17" i="48" s="1"/>
  <c r="AT12" i="49"/>
  <c r="AS12" i="51"/>
  <c r="AS15" i="51" s="1"/>
  <c r="AS17" i="51" s="1"/>
  <c r="AT12" i="51"/>
  <c r="AU12" i="51"/>
  <c r="AU15" i="51" s="1"/>
  <c r="AU17" i="51" s="1"/>
  <c r="AT13" i="51"/>
  <c r="J48" i="51"/>
  <c r="E60" i="51" s="1"/>
  <c r="AS15" i="52"/>
  <c r="AS17" i="52" s="1"/>
  <c r="AV18" i="52" s="1"/>
  <c r="AT15" i="52"/>
  <c r="AT17" i="52" s="1"/>
  <c r="I55" i="53"/>
  <c r="I54" i="53" s="1"/>
  <c r="D54" i="53"/>
  <c r="D51" i="53"/>
  <c r="I49" i="53"/>
  <c r="D48" i="53"/>
  <c r="AV14" i="53"/>
  <c r="AV13" i="53"/>
  <c r="AV12" i="53"/>
  <c r="AU15" i="52"/>
  <c r="AU17" i="52" s="1"/>
  <c r="I48" i="52"/>
  <c r="D61" i="52"/>
  <c r="E60" i="52"/>
  <c r="E61" i="52"/>
  <c r="E63" i="52"/>
  <c r="E64" i="52"/>
  <c r="D64" i="52"/>
  <c r="E57" i="52"/>
  <c r="D58" i="52"/>
  <c r="E58" i="52"/>
  <c r="E63" i="51"/>
  <c r="E64" i="51"/>
  <c r="D64" i="51"/>
  <c r="E57" i="51"/>
  <c r="E58" i="51"/>
  <c r="D58" i="51"/>
  <c r="I48" i="51"/>
  <c r="AT13" i="50"/>
  <c r="AT15" i="50" s="1"/>
  <c r="AT17" i="50" s="1"/>
  <c r="J48" i="50"/>
  <c r="D61" i="50" s="1"/>
  <c r="AS13" i="50"/>
  <c r="AS15" i="50" s="1"/>
  <c r="AS17" i="50" s="1"/>
  <c r="AT15" i="49"/>
  <c r="AT17" i="49" s="1"/>
  <c r="AS15" i="49"/>
  <c r="AS17" i="49" s="1"/>
  <c r="AV20" i="49" s="1"/>
  <c r="AU15" i="49"/>
  <c r="AU17" i="49" s="1"/>
  <c r="E64" i="50"/>
  <c r="D64" i="50"/>
  <c r="E63" i="50"/>
  <c r="AU15" i="50"/>
  <c r="AU17" i="50" s="1"/>
  <c r="D58" i="50"/>
  <c r="E58" i="50"/>
  <c r="E57" i="50"/>
  <c r="I48" i="49"/>
  <c r="E60" i="49"/>
  <c r="D61" i="49"/>
  <c r="E61" i="49"/>
  <c r="E64" i="49"/>
  <c r="D64" i="49"/>
  <c r="E58" i="49"/>
  <c r="D58" i="49"/>
  <c r="AT15" i="48"/>
  <c r="AT17" i="48" s="1"/>
  <c r="AS15" i="48"/>
  <c r="AS17" i="48" s="1"/>
  <c r="AV19" i="48" s="1"/>
  <c r="I48" i="48"/>
  <c r="E57" i="48"/>
  <c r="E58" i="48"/>
  <c r="D58" i="48"/>
  <c r="E63" i="48"/>
  <c r="E64" i="48"/>
  <c r="D64" i="48"/>
  <c r="D61" i="48"/>
  <c r="E60" i="48"/>
  <c r="J47" i="47"/>
  <c r="AU12" i="47"/>
  <c r="AT12" i="47"/>
  <c r="AS12" i="47"/>
  <c r="J48" i="47"/>
  <c r="AU13" i="47"/>
  <c r="AS13" i="47"/>
  <c r="AT13" i="47"/>
  <c r="J49" i="47"/>
  <c r="AU14" i="47"/>
  <c r="AT14" i="47"/>
  <c r="AS14" i="47"/>
  <c r="N111" i="45"/>
  <c r="O96" i="45"/>
  <c r="AS5" i="45"/>
  <c r="D39" i="45"/>
  <c r="E39" i="45"/>
  <c r="D28" i="45"/>
  <c r="E28" i="45"/>
  <c r="AV8" i="45"/>
  <c r="AV6" i="45"/>
  <c r="AV7" i="45"/>
  <c r="I46" i="45"/>
  <c r="I45" i="45" s="1"/>
  <c r="D45" i="45"/>
  <c r="E28" i="44"/>
  <c r="D28" i="44"/>
  <c r="J46" i="44"/>
  <c r="AS8" i="44"/>
  <c r="AT8" i="44"/>
  <c r="AU8" i="44"/>
  <c r="I46" i="44"/>
  <c r="I45" i="44" s="1"/>
  <c r="D45" i="44"/>
  <c r="AU7" i="44"/>
  <c r="AT7" i="44"/>
  <c r="AS7" i="44"/>
  <c r="J45" i="44"/>
  <c r="AU6" i="44"/>
  <c r="AS6" i="44"/>
  <c r="J44" i="44"/>
  <c r="AT6" i="44"/>
  <c r="N111" i="43"/>
  <c r="D28" i="43"/>
  <c r="E28" i="43"/>
  <c r="AV7" i="43"/>
  <c r="AV8" i="43"/>
  <c r="AV6" i="43"/>
  <c r="D45" i="43"/>
  <c r="I46" i="43"/>
  <c r="I45" i="43" s="1"/>
  <c r="O96" i="43"/>
  <c r="AS5" i="43"/>
  <c r="J46" i="42"/>
  <c r="AS8" i="42"/>
  <c r="AT8" i="42"/>
  <c r="AU8" i="42"/>
  <c r="J45" i="42"/>
  <c r="AS7" i="42"/>
  <c r="AT7" i="42"/>
  <c r="AU7" i="42"/>
  <c r="J44" i="42"/>
  <c r="AT6" i="42"/>
  <c r="AU6" i="42"/>
  <c r="AS6" i="42"/>
  <c r="E28" i="42"/>
  <c r="D28" i="42"/>
  <c r="I46" i="42"/>
  <c r="I45" i="42" s="1"/>
  <c r="D45" i="42"/>
  <c r="AV19" i="54" l="1"/>
  <c r="J51" i="54" s="1"/>
  <c r="AV18" i="54"/>
  <c r="AS18" i="54" s="1"/>
  <c r="AU19" i="54"/>
  <c r="AS19" i="54"/>
  <c r="AT19" i="54"/>
  <c r="D63" i="54"/>
  <c r="I64" i="54"/>
  <c r="I63" i="54" s="1"/>
  <c r="D60" i="54"/>
  <c r="I61" i="54"/>
  <c r="I60" i="54" s="1"/>
  <c r="I58" i="54"/>
  <c r="D57" i="54"/>
  <c r="J52" i="54"/>
  <c r="AU20" i="54"/>
  <c r="AT20" i="54"/>
  <c r="AS20" i="54"/>
  <c r="D61" i="51"/>
  <c r="AV18" i="51"/>
  <c r="J50" i="51" s="1"/>
  <c r="AV20" i="51"/>
  <c r="J52" i="51" s="1"/>
  <c r="E60" i="50"/>
  <c r="E61" i="51"/>
  <c r="E61" i="50"/>
  <c r="AV19" i="52"/>
  <c r="AU19" i="52" s="1"/>
  <c r="AT15" i="51"/>
  <c r="AT17" i="51" s="1"/>
  <c r="AV19" i="51"/>
  <c r="AS19" i="51" s="1"/>
  <c r="AV20" i="52"/>
  <c r="J52" i="52" s="1"/>
  <c r="J47" i="53"/>
  <c r="AS12" i="53"/>
  <c r="AT12" i="53"/>
  <c r="AU12" i="53"/>
  <c r="J48" i="53"/>
  <c r="AS13" i="53"/>
  <c r="AT13" i="53"/>
  <c r="AU13" i="53"/>
  <c r="J49" i="53"/>
  <c r="AU14" i="53"/>
  <c r="AT14" i="53"/>
  <c r="AS14" i="53"/>
  <c r="I48" i="53"/>
  <c r="J50" i="52"/>
  <c r="AS18" i="52"/>
  <c r="AU18" i="52"/>
  <c r="AT18" i="52"/>
  <c r="I61" i="52"/>
  <c r="I60" i="52" s="1"/>
  <c r="D60" i="52"/>
  <c r="D57" i="52"/>
  <c r="I64" i="52"/>
  <c r="I63" i="52" s="1"/>
  <c r="D63" i="52"/>
  <c r="D57" i="51"/>
  <c r="D63" i="51"/>
  <c r="I64" i="51"/>
  <c r="I63" i="51" s="1"/>
  <c r="AS20" i="51"/>
  <c r="D60" i="51"/>
  <c r="I61" i="51"/>
  <c r="I60" i="51" s="1"/>
  <c r="AS18" i="51"/>
  <c r="AV20" i="50"/>
  <c r="J52" i="50" s="1"/>
  <c r="AV19" i="50"/>
  <c r="AU19" i="50" s="1"/>
  <c r="AV18" i="50"/>
  <c r="J50" i="50" s="1"/>
  <c r="AV18" i="49"/>
  <c r="AS18" i="49" s="1"/>
  <c r="AV19" i="49"/>
  <c r="J51" i="49" s="1"/>
  <c r="D57" i="50"/>
  <c r="D63" i="50"/>
  <c r="I64" i="50"/>
  <c r="I63" i="50" s="1"/>
  <c r="I61" i="50"/>
  <c r="I60" i="50" s="1"/>
  <c r="D60" i="50"/>
  <c r="D57" i="49"/>
  <c r="D60" i="49"/>
  <c r="I61" i="49"/>
  <c r="I60" i="49" s="1"/>
  <c r="D63" i="49"/>
  <c r="I64" i="49"/>
  <c r="I63" i="49" s="1"/>
  <c r="J52" i="49"/>
  <c r="AT20" i="49"/>
  <c r="AU20" i="49"/>
  <c r="AS20" i="49"/>
  <c r="AV20" i="48"/>
  <c r="J52" i="48" s="1"/>
  <c r="AV18" i="48"/>
  <c r="AS18" i="48" s="1"/>
  <c r="D63" i="48"/>
  <c r="I64" i="48"/>
  <c r="I63" i="48" s="1"/>
  <c r="J51" i="48"/>
  <c r="AS19" i="48"/>
  <c r="AT19" i="48"/>
  <c r="AU19" i="48"/>
  <c r="D57" i="48"/>
  <c r="D60" i="48"/>
  <c r="I61" i="48"/>
  <c r="I60" i="48" s="1"/>
  <c r="D61" i="47"/>
  <c r="E61" i="47"/>
  <c r="E60" i="47"/>
  <c r="AU15" i="47"/>
  <c r="AU17" i="47" s="1"/>
  <c r="E63" i="47"/>
  <c r="E64" i="47"/>
  <c r="D64" i="47"/>
  <c r="E57" i="47"/>
  <c r="E58" i="47"/>
  <c r="D58" i="47"/>
  <c r="AS15" i="47"/>
  <c r="AS17" i="47" s="1"/>
  <c r="AT15" i="47"/>
  <c r="AT17" i="47" s="1"/>
  <c r="AT7" i="45"/>
  <c r="J45" i="45"/>
  <c r="AU7" i="45"/>
  <c r="AS7" i="45"/>
  <c r="AU8" i="45"/>
  <c r="AT8" i="45"/>
  <c r="AS8" i="45"/>
  <c r="J46" i="45"/>
  <c r="J44" i="45"/>
  <c r="AS6" i="45"/>
  <c r="AT6" i="45"/>
  <c r="AU6" i="45"/>
  <c r="AS9" i="44"/>
  <c r="AS11" i="44" s="1"/>
  <c r="AU9" i="44"/>
  <c r="AU11" i="44" s="1"/>
  <c r="AV14" i="44" s="1"/>
  <c r="AT9" i="44"/>
  <c r="AT11" i="44" s="1"/>
  <c r="E55" i="44"/>
  <c r="D55" i="44"/>
  <c r="E54" i="44"/>
  <c r="E49" i="44"/>
  <c r="E48" i="44"/>
  <c r="D49" i="44"/>
  <c r="D52" i="44"/>
  <c r="E51" i="44"/>
  <c r="E52" i="44"/>
  <c r="AS32" i="44"/>
  <c r="AV35" i="44"/>
  <c r="AV28" i="44"/>
  <c r="AT30" i="44"/>
  <c r="AT33" i="44"/>
  <c r="AU33" i="44"/>
  <c r="AU32" i="44"/>
  <c r="AS30" i="44"/>
  <c r="AS33" i="44"/>
  <c r="AS28" i="44"/>
  <c r="AT32" i="44"/>
  <c r="AU30" i="44"/>
  <c r="AU35" i="44"/>
  <c r="AU28" i="44"/>
  <c r="AT35" i="44"/>
  <c r="AT28" i="44"/>
  <c r="AV30" i="44"/>
  <c r="AV33" i="44"/>
  <c r="AV32" i="44"/>
  <c r="AS35" i="44"/>
  <c r="AV36" i="44"/>
  <c r="AU36" i="44"/>
  <c r="AT36" i="44"/>
  <c r="AS36" i="44"/>
  <c r="J44" i="43"/>
  <c r="AU6" i="43"/>
  <c r="AT6" i="43"/>
  <c r="AS6" i="43"/>
  <c r="J46" i="43"/>
  <c r="AT8" i="43"/>
  <c r="AS8" i="43"/>
  <c r="AU8" i="43"/>
  <c r="J45" i="43"/>
  <c r="AU7" i="43"/>
  <c r="AT7" i="43"/>
  <c r="AS7" i="43"/>
  <c r="AS9" i="42"/>
  <c r="AS11" i="42" s="1"/>
  <c r="AU9" i="42"/>
  <c r="AU11" i="42" s="1"/>
  <c r="E52" i="42"/>
  <c r="E51" i="42"/>
  <c r="D52" i="42"/>
  <c r="AS36" i="42"/>
  <c r="AT33" i="42"/>
  <c r="AV32" i="42"/>
  <c r="AU30" i="42"/>
  <c r="AS33" i="42"/>
  <c r="AU32" i="42"/>
  <c r="AU36" i="42"/>
  <c r="AS30" i="42"/>
  <c r="AV35" i="42"/>
  <c r="AS35" i="42"/>
  <c r="AU33" i="42"/>
  <c r="AS32" i="42"/>
  <c r="AT36" i="42"/>
  <c r="AV33" i="42"/>
  <c r="AT32" i="42"/>
  <c r="AT30" i="42"/>
  <c r="AU35" i="42"/>
  <c r="AV36" i="42"/>
  <c r="AV30" i="42"/>
  <c r="AT35" i="42"/>
  <c r="AU28" i="42"/>
  <c r="AS28" i="42"/>
  <c r="AV28" i="42"/>
  <c r="AT28" i="42"/>
  <c r="E55" i="42"/>
  <c r="D55" i="42"/>
  <c r="E54" i="42"/>
  <c r="AT9" i="42"/>
  <c r="AT11" i="42" s="1"/>
  <c r="E49" i="42"/>
  <c r="E48" i="42"/>
  <c r="D49" i="42"/>
  <c r="AT18" i="54" l="1"/>
  <c r="AU18" i="54"/>
  <c r="J50" i="54"/>
  <c r="E66" i="54" s="1"/>
  <c r="AS21" i="54"/>
  <c r="O97" i="54" s="1"/>
  <c r="AT21" i="54"/>
  <c r="P97" i="54" s="1"/>
  <c r="AU21" i="54"/>
  <c r="Q97" i="54" s="1"/>
  <c r="E73" i="54"/>
  <c r="D73" i="54"/>
  <c r="E72" i="54"/>
  <c r="D67" i="54"/>
  <c r="I57" i="54"/>
  <c r="E70" i="54"/>
  <c r="D70" i="54"/>
  <c r="E69" i="54"/>
  <c r="AS29" i="54"/>
  <c r="AS24" i="54" s="1"/>
  <c r="AS37" i="54" s="1"/>
  <c r="AV29" i="54"/>
  <c r="AV24" i="54" s="1"/>
  <c r="AV37" i="54" s="1"/>
  <c r="AU29" i="54"/>
  <c r="AU24" i="54" s="1"/>
  <c r="AU37" i="54" s="1"/>
  <c r="AT29" i="54"/>
  <c r="AT24" i="54" s="1"/>
  <c r="AT37" i="54" s="1"/>
  <c r="AT18" i="51"/>
  <c r="AU20" i="52"/>
  <c r="AT20" i="51"/>
  <c r="AU18" i="51"/>
  <c r="AU20" i="51"/>
  <c r="AT20" i="52"/>
  <c r="AT19" i="52"/>
  <c r="AT21" i="52" s="1"/>
  <c r="P97" i="52" s="1"/>
  <c r="AS19" i="52"/>
  <c r="J51" i="52"/>
  <c r="E70" i="52" s="1"/>
  <c r="AT20" i="48"/>
  <c r="AS20" i="52"/>
  <c r="AS20" i="48"/>
  <c r="AS21" i="48" s="1"/>
  <c r="O97" i="48" s="1"/>
  <c r="AU20" i="50"/>
  <c r="J50" i="49"/>
  <c r="D67" i="49" s="1"/>
  <c r="AS20" i="50"/>
  <c r="AS9" i="45"/>
  <c r="AS11" i="45" s="1"/>
  <c r="AT19" i="50"/>
  <c r="AS9" i="43"/>
  <c r="AS11" i="43" s="1"/>
  <c r="AS19" i="50"/>
  <c r="J51" i="50"/>
  <c r="AS29" i="50" s="1"/>
  <c r="AT20" i="50"/>
  <c r="AT19" i="51"/>
  <c r="AU19" i="51"/>
  <c r="J51" i="51"/>
  <c r="AU29" i="51" s="1"/>
  <c r="AS21" i="51"/>
  <c r="O97" i="51" s="1"/>
  <c r="AU21" i="52"/>
  <c r="Q97" i="52" s="1"/>
  <c r="AS15" i="53"/>
  <c r="AS17" i="53" s="1"/>
  <c r="AV20" i="53" s="1"/>
  <c r="D61" i="53"/>
  <c r="E60" i="53"/>
  <c r="E61" i="53"/>
  <c r="AU15" i="53"/>
  <c r="AU17" i="53" s="1"/>
  <c r="E63" i="53"/>
  <c r="E64" i="53"/>
  <c r="D64" i="53"/>
  <c r="AT15" i="53"/>
  <c r="AT17" i="53" s="1"/>
  <c r="E57" i="53"/>
  <c r="E58" i="53"/>
  <c r="D58" i="53"/>
  <c r="E73" i="52"/>
  <c r="E72" i="52"/>
  <c r="D73" i="52"/>
  <c r="D67" i="52"/>
  <c r="E67" i="52"/>
  <c r="E66" i="52"/>
  <c r="AU29" i="52"/>
  <c r="AS21" i="52"/>
  <c r="O97" i="52" s="1"/>
  <c r="AU21" i="51"/>
  <c r="Q97" i="51" s="1"/>
  <c r="E66" i="51"/>
  <c r="E67" i="51"/>
  <c r="D67" i="51"/>
  <c r="E73" i="51"/>
  <c r="D73" i="51"/>
  <c r="E72" i="51"/>
  <c r="AT18" i="50"/>
  <c r="AS18" i="50"/>
  <c r="AU18" i="50"/>
  <c r="AU21" i="50" s="1"/>
  <c r="Q97" i="50" s="1"/>
  <c r="AU18" i="49"/>
  <c r="AT18" i="49"/>
  <c r="AS19" i="49"/>
  <c r="AS21" i="49" s="1"/>
  <c r="O97" i="49" s="1"/>
  <c r="AT19" i="49"/>
  <c r="AU19" i="49"/>
  <c r="E70" i="50"/>
  <c r="E69" i="50"/>
  <c r="AV29" i="50"/>
  <c r="E66" i="50"/>
  <c r="D67" i="50"/>
  <c r="E67" i="50"/>
  <c r="E72" i="50"/>
  <c r="E73" i="50"/>
  <c r="D73" i="50"/>
  <c r="E70" i="49"/>
  <c r="D70" i="49"/>
  <c r="E69" i="49"/>
  <c r="AV29" i="49"/>
  <c r="AS29" i="49"/>
  <c r="AU29" i="49"/>
  <c r="AT29" i="49"/>
  <c r="E73" i="49"/>
  <c r="D73" i="49"/>
  <c r="E72" i="49"/>
  <c r="E67" i="49"/>
  <c r="E66" i="49"/>
  <c r="AU18" i="48"/>
  <c r="AT18" i="48"/>
  <c r="AU20" i="48"/>
  <c r="J50" i="48"/>
  <c r="E66" i="48" s="1"/>
  <c r="E73" i="48"/>
  <c r="D73" i="48"/>
  <c r="E72" i="48"/>
  <c r="E70" i="48"/>
  <c r="D70" i="48"/>
  <c r="E69" i="48"/>
  <c r="AT29" i="48"/>
  <c r="AV29" i="48"/>
  <c r="AU29" i="48"/>
  <c r="AS29" i="48"/>
  <c r="AV20" i="47"/>
  <c r="AV19" i="47"/>
  <c r="AV18" i="47"/>
  <c r="D57" i="47"/>
  <c r="I64" i="47"/>
  <c r="I63" i="47" s="1"/>
  <c r="D63" i="47"/>
  <c r="D60" i="47"/>
  <c r="I61" i="47"/>
  <c r="I60" i="47" s="1"/>
  <c r="AU9" i="45"/>
  <c r="AU11" i="45" s="1"/>
  <c r="AV13" i="45" s="1"/>
  <c r="D49" i="45"/>
  <c r="E48" i="45"/>
  <c r="E49" i="45"/>
  <c r="E55" i="45"/>
  <c r="D55" i="45"/>
  <c r="E54" i="45"/>
  <c r="D52" i="45"/>
  <c r="E52" i="45"/>
  <c r="E51" i="45"/>
  <c r="AV35" i="45"/>
  <c r="AS28" i="45"/>
  <c r="AV30" i="45"/>
  <c r="AU32" i="45"/>
  <c r="AV32" i="45"/>
  <c r="AU30" i="45"/>
  <c r="AT35" i="45"/>
  <c r="AU35" i="45"/>
  <c r="AS30" i="45"/>
  <c r="AT32" i="45"/>
  <c r="AU28" i="45"/>
  <c r="AV28" i="45"/>
  <c r="AS32" i="45"/>
  <c r="AT28" i="45"/>
  <c r="AT30" i="45"/>
  <c r="AS35" i="45"/>
  <c r="AS33" i="45"/>
  <c r="AV33" i="45"/>
  <c r="AU36" i="45"/>
  <c r="AT36" i="45"/>
  <c r="AU33" i="45"/>
  <c r="AS36" i="45"/>
  <c r="AT33" i="45"/>
  <c r="AV36" i="45"/>
  <c r="AT9" i="45"/>
  <c r="AT11" i="45" s="1"/>
  <c r="AV12" i="44"/>
  <c r="J47" i="44" s="1"/>
  <c r="AV13" i="44"/>
  <c r="AT13" i="44" s="1"/>
  <c r="D51" i="44"/>
  <c r="J49" i="44"/>
  <c r="AU14" i="44"/>
  <c r="AT14" i="44"/>
  <c r="AS14" i="44"/>
  <c r="I49" i="44"/>
  <c r="D48" i="44"/>
  <c r="I55" i="44"/>
  <c r="I54" i="44" s="1"/>
  <c r="D54" i="44"/>
  <c r="AT9" i="43"/>
  <c r="AT11" i="43" s="1"/>
  <c r="AU9" i="43"/>
  <c r="AU11" i="43" s="1"/>
  <c r="E55" i="43"/>
  <c r="D55" i="43"/>
  <c r="E54" i="43"/>
  <c r="D49" i="43"/>
  <c r="E49" i="43"/>
  <c r="E48" i="43"/>
  <c r="E52" i="43"/>
  <c r="E51" i="43"/>
  <c r="D52" i="43"/>
  <c r="AV35" i="43"/>
  <c r="AV30" i="43"/>
  <c r="AS33" i="43"/>
  <c r="AT32" i="43"/>
  <c r="AV33" i="43"/>
  <c r="AS32" i="43"/>
  <c r="AU33" i="43"/>
  <c r="AT30" i="43"/>
  <c r="AU35" i="43"/>
  <c r="AT33" i="43"/>
  <c r="AS35" i="43"/>
  <c r="AV32" i="43"/>
  <c r="AS30" i="43"/>
  <c r="AU30" i="43"/>
  <c r="AU32" i="43"/>
  <c r="AT35" i="43"/>
  <c r="AU36" i="43"/>
  <c r="AT36" i="43"/>
  <c r="AV36" i="43"/>
  <c r="AS36" i="43"/>
  <c r="AU28" i="43"/>
  <c r="AT28" i="43"/>
  <c r="AS28" i="43"/>
  <c r="AV28" i="43"/>
  <c r="D51" i="42"/>
  <c r="I49" i="42"/>
  <c r="D48" i="42"/>
  <c r="I55" i="42"/>
  <c r="I54" i="42" s="1"/>
  <c r="D54" i="42"/>
  <c r="AV14" i="42"/>
  <c r="AV13" i="42"/>
  <c r="AV12" i="42"/>
  <c r="E67" i="54" l="1"/>
  <c r="AS44" i="54"/>
  <c r="AS40" i="54"/>
  <c r="AS41" i="54"/>
  <c r="AS42" i="54"/>
  <c r="AS43" i="54"/>
  <c r="AU41" i="54"/>
  <c r="AU42" i="54"/>
  <c r="AU43" i="54"/>
  <c r="AU44" i="54"/>
  <c r="AU40" i="54"/>
  <c r="AT40" i="54"/>
  <c r="AT41" i="54"/>
  <c r="AT42" i="54"/>
  <c r="AT43" i="54"/>
  <c r="AT44" i="54"/>
  <c r="I73" i="54"/>
  <c r="I72" i="54" s="1"/>
  <c r="D72" i="54"/>
  <c r="AR43" i="54"/>
  <c r="AR44" i="54"/>
  <c r="AR40" i="54"/>
  <c r="AR41" i="54"/>
  <c r="AR42" i="54"/>
  <c r="AV42" i="54" s="1"/>
  <c r="D66" i="54"/>
  <c r="I67" i="54"/>
  <c r="D69" i="54"/>
  <c r="I70" i="54"/>
  <c r="I69" i="54" s="1"/>
  <c r="AS13" i="44"/>
  <c r="AT21" i="51"/>
  <c r="P97" i="51" s="1"/>
  <c r="AV29" i="52"/>
  <c r="AS29" i="52"/>
  <c r="E69" i="52"/>
  <c r="D70" i="52"/>
  <c r="I70" i="52" s="1"/>
  <c r="I69" i="52" s="1"/>
  <c r="AT29" i="52"/>
  <c r="AT29" i="50"/>
  <c r="AT21" i="48"/>
  <c r="P97" i="48" s="1"/>
  <c r="J48" i="44"/>
  <c r="AS21" i="50"/>
  <c r="O97" i="50" s="1"/>
  <c r="AV12" i="45"/>
  <c r="AU29" i="50"/>
  <c r="AT21" i="50"/>
  <c r="P97" i="50" s="1"/>
  <c r="D70" i="50"/>
  <c r="D69" i="50" s="1"/>
  <c r="AV14" i="45"/>
  <c r="AT14" i="45" s="1"/>
  <c r="AU12" i="44"/>
  <c r="AU15" i="44" s="1"/>
  <c r="AU17" i="44" s="1"/>
  <c r="AU21" i="48"/>
  <c r="Q97" i="48" s="1"/>
  <c r="AV18" i="53"/>
  <c r="J50" i="53" s="1"/>
  <c r="AT12" i="44"/>
  <c r="AV19" i="53"/>
  <c r="AT19" i="53" s="1"/>
  <c r="AU13" i="44"/>
  <c r="AS29" i="51"/>
  <c r="AV29" i="51"/>
  <c r="E69" i="51"/>
  <c r="E70" i="51"/>
  <c r="D70" i="51"/>
  <c r="I70" i="51" s="1"/>
  <c r="I69" i="51" s="1"/>
  <c r="AT29" i="51"/>
  <c r="D60" i="53"/>
  <c r="I61" i="53"/>
  <c r="I60" i="53" s="1"/>
  <c r="J52" i="53"/>
  <c r="AU20" i="53"/>
  <c r="AS20" i="53"/>
  <c r="AT20" i="53"/>
  <c r="D63" i="53"/>
  <c r="I64" i="53"/>
  <c r="I63" i="53" s="1"/>
  <c r="D57" i="53"/>
  <c r="D66" i="52"/>
  <c r="D72" i="52"/>
  <c r="I73" i="52"/>
  <c r="I72" i="52" s="1"/>
  <c r="D66" i="51"/>
  <c r="I73" i="51"/>
  <c r="I72" i="51" s="1"/>
  <c r="D72" i="51"/>
  <c r="AU21" i="49"/>
  <c r="Q97" i="49" s="1"/>
  <c r="AT21" i="49"/>
  <c r="P97" i="49" s="1"/>
  <c r="I73" i="50"/>
  <c r="I72" i="50" s="1"/>
  <c r="D72" i="50"/>
  <c r="D66" i="50"/>
  <c r="I73" i="49"/>
  <c r="I72" i="49" s="1"/>
  <c r="D72" i="49"/>
  <c r="I70" i="49"/>
  <c r="I69" i="49" s="1"/>
  <c r="D69" i="49"/>
  <c r="D66" i="49"/>
  <c r="E67" i="48"/>
  <c r="D67" i="48"/>
  <c r="D66" i="48" s="1"/>
  <c r="D69" i="48"/>
  <c r="I70" i="48"/>
  <c r="I69" i="48" s="1"/>
  <c r="I73" i="48"/>
  <c r="I72" i="48" s="1"/>
  <c r="D72" i="48"/>
  <c r="J50" i="47"/>
  <c r="AT18" i="47"/>
  <c r="AS18" i="47"/>
  <c r="AU18" i="47"/>
  <c r="J51" i="47"/>
  <c r="AT19" i="47"/>
  <c r="AS19" i="47"/>
  <c r="AU19" i="47"/>
  <c r="J52" i="47"/>
  <c r="AT20" i="47"/>
  <c r="AU20" i="47"/>
  <c r="AS20" i="47"/>
  <c r="AU12" i="45"/>
  <c r="J47" i="45"/>
  <c r="AT12" i="45"/>
  <c r="AS12" i="45"/>
  <c r="D54" i="45"/>
  <c r="I55" i="45"/>
  <c r="I54" i="45" s="1"/>
  <c r="J48" i="45"/>
  <c r="AU13" i="45"/>
  <c r="AT13" i="45"/>
  <c r="AS13" i="45"/>
  <c r="AS14" i="45"/>
  <c r="D51" i="45"/>
  <c r="D48" i="45"/>
  <c r="I49" i="45"/>
  <c r="AS12" i="44"/>
  <c r="AS15" i="44" s="1"/>
  <c r="AS17" i="44" s="1"/>
  <c r="AT15" i="44"/>
  <c r="AT17" i="44" s="1"/>
  <c r="E60" i="44"/>
  <c r="E61" i="44"/>
  <c r="D61" i="44"/>
  <c r="E63" i="44"/>
  <c r="E64" i="44"/>
  <c r="D64" i="44"/>
  <c r="I48" i="44"/>
  <c r="E57" i="44"/>
  <c r="E58" i="44"/>
  <c r="D58" i="44"/>
  <c r="I55" i="43"/>
  <c r="I54" i="43" s="1"/>
  <c r="D54" i="43"/>
  <c r="D51" i="43"/>
  <c r="AV14" i="43"/>
  <c r="AV13" i="43"/>
  <c r="AV12" i="43"/>
  <c r="I49" i="43"/>
  <c r="D48" i="43"/>
  <c r="J48" i="42"/>
  <c r="AS13" i="42"/>
  <c r="AT13" i="42"/>
  <c r="AU13" i="42"/>
  <c r="J49" i="42"/>
  <c r="AS14" i="42"/>
  <c r="AU14" i="42"/>
  <c r="AT14" i="42"/>
  <c r="I48" i="42"/>
  <c r="J47" i="42"/>
  <c r="AS12" i="42"/>
  <c r="AT12" i="42"/>
  <c r="AU12" i="42"/>
  <c r="AV41" i="54" l="1"/>
  <c r="AZ41" i="54" s="1"/>
  <c r="AV40" i="54"/>
  <c r="I66" i="54"/>
  <c r="E82" i="54"/>
  <c r="AZ40" i="54"/>
  <c r="AY40" i="54"/>
  <c r="AX40" i="54"/>
  <c r="AW40" i="54"/>
  <c r="E83" i="54"/>
  <c r="D83" i="54"/>
  <c r="AV44" i="54"/>
  <c r="AV43" i="54"/>
  <c r="E89" i="54"/>
  <c r="D89" i="54"/>
  <c r="E88" i="54"/>
  <c r="AZ42" i="54"/>
  <c r="AY42" i="54"/>
  <c r="AX42" i="54"/>
  <c r="AW42" i="54"/>
  <c r="E85" i="54"/>
  <c r="AY41" i="54"/>
  <c r="E86" i="54"/>
  <c r="AX41" i="54"/>
  <c r="D86" i="54"/>
  <c r="AW41" i="54"/>
  <c r="J49" i="45"/>
  <c r="E63" i="45" s="1"/>
  <c r="AU14" i="45"/>
  <c r="AU15" i="45" s="1"/>
  <c r="AU17" i="45" s="1"/>
  <c r="D69" i="51"/>
  <c r="AS19" i="53"/>
  <c r="D69" i="52"/>
  <c r="AU19" i="53"/>
  <c r="I70" i="50"/>
  <c r="I69" i="50" s="1"/>
  <c r="J51" i="53"/>
  <c r="AT29" i="53" s="1"/>
  <c r="AT18" i="53"/>
  <c r="AT21" i="53" s="1"/>
  <c r="P97" i="53" s="1"/>
  <c r="AS18" i="53"/>
  <c r="AS21" i="53" s="1"/>
  <c r="O97" i="53" s="1"/>
  <c r="AU18" i="53"/>
  <c r="E73" i="53"/>
  <c r="D73" i="53"/>
  <c r="E72" i="53"/>
  <c r="E66" i="53"/>
  <c r="E67" i="53"/>
  <c r="D67" i="53"/>
  <c r="AS21" i="47"/>
  <c r="O97" i="47" s="1"/>
  <c r="AU21" i="47"/>
  <c r="Q97" i="47" s="1"/>
  <c r="E73" i="47"/>
  <c r="E72" i="47"/>
  <c r="D73" i="47"/>
  <c r="D70" i="47"/>
  <c r="E69" i="47"/>
  <c r="E70" i="47"/>
  <c r="AU29" i="47"/>
  <c r="AS29" i="47"/>
  <c r="AV29" i="47"/>
  <c r="AT29" i="47"/>
  <c r="AT21" i="47"/>
  <c r="P97" i="47" s="1"/>
  <c r="E66" i="47"/>
  <c r="E67" i="47"/>
  <c r="D67" i="47"/>
  <c r="AT15" i="45"/>
  <c r="AT17" i="45" s="1"/>
  <c r="AS15" i="45"/>
  <c r="AS17" i="45" s="1"/>
  <c r="AV18" i="45" s="1"/>
  <c r="E57" i="45"/>
  <c r="D58" i="45"/>
  <c r="E58" i="45"/>
  <c r="I48" i="45"/>
  <c r="E64" i="45"/>
  <c r="D64" i="45"/>
  <c r="D61" i="45"/>
  <c r="E60" i="45"/>
  <c r="E61" i="45"/>
  <c r="D57" i="44"/>
  <c r="D60" i="44"/>
  <c r="I61" i="44"/>
  <c r="I60" i="44" s="1"/>
  <c r="AV19" i="44"/>
  <c r="AV18" i="44"/>
  <c r="AV20" i="44"/>
  <c r="D63" i="44"/>
  <c r="I64" i="44"/>
  <c r="I63" i="44" s="1"/>
  <c r="J49" i="43"/>
  <c r="AU14" i="43"/>
  <c r="AT14" i="43"/>
  <c r="AS14" i="43"/>
  <c r="I48" i="43"/>
  <c r="J47" i="43"/>
  <c r="AT12" i="43"/>
  <c r="AU12" i="43"/>
  <c r="AS12" i="43"/>
  <c r="J48" i="43"/>
  <c r="AS13" i="43"/>
  <c r="AT13" i="43"/>
  <c r="AU13" i="43"/>
  <c r="AT15" i="42"/>
  <c r="AT17" i="42" s="1"/>
  <c r="AS15" i="42"/>
  <c r="AS17" i="42" s="1"/>
  <c r="AV18" i="42" s="1"/>
  <c r="D61" i="42"/>
  <c r="E60" i="42"/>
  <c r="E61" i="42"/>
  <c r="E57" i="42"/>
  <c r="E58" i="42"/>
  <c r="D58" i="42"/>
  <c r="AU15" i="42"/>
  <c r="AU17" i="42" s="1"/>
  <c r="E63" i="42"/>
  <c r="E64" i="42"/>
  <c r="D64" i="42"/>
  <c r="D92" i="54" l="1"/>
  <c r="E91" i="54"/>
  <c r="AX43" i="54"/>
  <c r="AW43" i="54"/>
  <c r="AZ43" i="54"/>
  <c r="AY43" i="54"/>
  <c r="E92" i="54"/>
  <c r="D88" i="54"/>
  <c r="I89" i="54"/>
  <c r="I88" i="54" s="1"/>
  <c r="D82" i="54"/>
  <c r="I83" i="54"/>
  <c r="AY44" i="54"/>
  <c r="AX44" i="54"/>
  <c r="AW44" i="54"/>
  <c r="E95" i="54"/>
  <c r="D95" i="54"/>
  <c r="E94" i="54"/>
  <c r="AZ44" i="54"/>
  <c r="AZ45" i="54" s="1"/>
  <c r="Q112" i="54" s="1"/>
  <c r="D85" i="54"/>
  <c r="I86" i="54"/>
  <c r="I85" i="54" s="1"/>
  <c r="AX45" i="54"/>
  <c r="O112" i="54" s="1"/>
  <c r="AV29" i="53"/>
  <c r="E69" i="53"/>
  <c r="D70" i="53"/>
  <c r="I70" i="53" s="1"/>
  <c r="I69" i="53" s="1"/>
  <c r="AU21" i="53"/>
  <c r="Q97" i="53" s="1"/>
  <c r="AS29" i="53"/>
  <c r="E70" i="53"/>
  <c r="AU29" i="53"/>
  <c r="D66" i="53"/>
  <c r="D69" i="53"/>
  <c r="I73" i="53"/>
  <c r="I72" i="53" s="1"/>
  <c r="D72" i="53"/>
  <c r="I73" i="47"/>
  <c r="I72" i="47" s="1"/>
  <c r="D72" i="47"/>
  <c r="D66" i="47"/>
  <c r="D69" i="47"/>
  <c r="I70" i="47"/>
  <c r="I69" i="47" s="1"/>
  <c r="AV20" i="45"/>
  <c r="AT20" i="45" s="1"/>
  <c r="AV19" i="45"/>
  <c r="AT19" i="45" s="1"/>
  <c r="I61" i="45"/>
  <c r="I60" i="45" s="1"/>
  <c r="D60" i="45"/>
  <c r="D57" i="45"/>
  <c r="J52" i="45"/>
  <c r="I64" i="45"/>
  <c r="I63" i="45" s="1"/>
  <c r="D63" i="45"/>
  <c r="J50" i="45"/>
  <c r="AU18" i="45"/>
  <c r="AT18" i="45"/>
  <c r="AS18" i="45"/>
  <c r="J52" i="44"/>
  <c r="AU20" i="44"/>
  <c r="AS20" i="44"/>
  <c r="AT20" i="44"/>
  <c r="J50" i="44"/>
  <c r="AU18" i="44"/>
  <c r="AS18" i="44"/>
  <c r="AT18" i="44"/>
  <c r="J51" i="44"/>
  <c r="AT19" i="44"/>
  <c r="AU19" i="44"/>
  <c r="AS19" i="44"/>
  <c r="AS15" i="43"/>
  <c r="AS17" i="43" s="1"/>
  <c r="AV20" i="43" s="1"/>
  <c r="E57" i="43"/>
  <c r="D58" i="43"/>
  <c r="E58" i="43"/>
  <c r="E63" i="43"/>
  <c r="E64" i="43"/>
  <c r="D64" i="43"/>
  <c r="D61" i="43"/>
  <c r="E60" i="43"/>
  <c r="E61" i="43"/>
  <c r="AU15" i="43"/>
  <c r="AU17" i="43" s="1"/>
  <c r="AT15" i="43"/>
  <c r="AT17" i="43" s="1"/>
  <c r="AV20" i="42"/>
  <c r="AS20" i="42" s="1"/>
  <c r="AV19" i="42"/>
  <c r="J51" i="42" s="1"/>
  <c r="D60" i="42"/>
  <c r="I61" i="42"/>
  <c r="I60" i="42" s="1"/>
  <c r="D63" i="42"/>
  <c r="I64" i="42"/>
  <c r="I63" i="42" s="1"/>
  <c r="D57" i="42"/>
  <c r="J50" i="42"/>
  <c r="AS18" i="42"/>
  <c r="AT18" i="42"/>
  <c r="AU18" i="42"/>
  <c r="AY45" i="54" l="1"/>
  <c r="P112" i="54" s="1"/>
  <c r="AW45" i="54"/>
  <c r="N112" i="54" s="1"/>
  <c r="D94" i="54"/>
  <c r="I95" i="54"/>
  <c r="I94" i="54" s="1"/>
  <c r="I82" i="54"/>
  <c r="D91" i="54"/>
  <c r="I92" i="54"/>
  <c r="I91" i="54" s="1"/>
  <c r="AT19" i="42"/>
  <c r="AS20" i="45"/>
  <c r="AU20" i="42"/>
  <c r="J52" i="42"/>
  <c r="E73" i="42" s="1"/>
  <c r="AU20" i="45"/>
  <c r="AU19" i="45"/>
  <c r="J51" i="45"/>
  <c r="D70" i="45" s="1"/>
  <c r="AS19" i="45"/>
  <c r="AS21" i="45" s="1"/>
  <c r="O97" i="45" s="1"/>
  <c r="AT21" i="45"/>
  <c r="P97" i="45" s="1"/>
  <c r="E73" i="45"/>
  <c r="D73" i="45"/>
  <c r="E72" i="45"/>
  <c r="E66" i="45"/>
  <c r="D67" i="45"/>
  <c r="E67" i="45"/>
  <c r="AU21" i="44"/>
  <c r="Q97" i="44" s="1"/>
  <c r="AT21" i="44"/>
  <c r="P97" i="44" s="1"/>
  <c r="E70" i="44"/>
  <c r="D70" i="44"/>
  <c r="E69" i="44"/>
  <c r="AT29" i="44"/>
  <c r="AS29" i="44"/>
  <c r="AV29" i="44"/>
  <c r="AU29" i="44"/>
  <c r="AS21" i="44"/>
  <c r="O97" i="44" s="1"/>
  <c r="E67" i="44"/>
  <c r="D67" i="44"/>
  <c r="E66" i="44"/>
  <c r="E73" i="44"/>
  <c r="D73" i="44"/>
  <c r="E72" i="44"/>
  <c r="AV18" i="43"/>
  <c r="J50" i="43" s="1"/>
  <c r="AV19" i="43"/>
  <c r="AU19" i="43" s="1"/>
  <c r="D57" i="43"/>
  <c r="I61" i="43"/>
  <c r="I60" i="43" s="1"/>
  <c r="D60" i="43"/>
  <c r="D63" i="43"/>
  <c r="I64" i="43"/>
  <c r="I63" i="43" s="1"/>
  <c r="J52" i="43"/>
  <c r="AT20" i="43"/>
  <c r="AU20" i="43"/>
  <c r="AS20" i="43"/>
  <c r="AS19" i="42"/>
  <c r="AS21" i="42" s="1"/>
  <c r="O97" i="42" s="1"/>
  <c r="AT20" i="42"/>
  <c r="AT21" i="42" s="1"/>
  <c r="P97" i="42" s="1"/>
  <c r="AU19" i="42"/>
  <c r="E70" i="42"/>
  <c r="D70" i="42"/>
  <c r="E69" i="42"/>
  <c r="AU29" i="42"/>
  <c r="AT29" i="42"/>
  <c r="AS29" i="42"/>
  <c r="AV29" i="42"/>
  <c r="E66" i="42"/>
  <c r="E67" i="42"/>
  <c r="D67" i="42"/>
  <c r="D73" i="42"/>
  <c r="G108" i="54" l="1"/>
  <c r="G110" i="54"/>
  <c r="G104" i="54"/>
  <c r="G106" i="54"/>
  <c r="AU21" i="42"/>
  <c r="Q97" i="42" s="1"/>
  <c r="AU29" i="45"/>
  <c r="E72" i="42"/>
  <c r="AU21" i="45"/>
  <c r="Q97" i="45" s="1"/>
  <c r="AS29" i="45"/>
  <c r="AV29" i="45"/>
  <c r="AS18" i="43"/>
  <c r="E70" i="45"/>
  <c r="AT29" i="45"/>
  <c r="E69" i="45"/>
  <c r="D66" i="45"/>
  <c r="I73" i="45"/>
  <c r="I72" i="45" s="1"/>
  <c r="D72" i="45"/>
  <c r="D69" i="45"/>
  <c r="I70" i="45"/>
  <c r="I69" i="45" s="1"/>
  <c r="I70" i="44"/>
  <c r="I69" i="44" s="1"/>
  <c r="D69" i="44"/>
  <c r="D72" i="44"/>
  <c r="I73" i="44"/>
  <c r="I72" i="44" s="1"/>
  <c r="D66" i="44"/>
  <c r="AU18" i="43"/>
  <c r="AU21" i="43" s="1"/>
  <c r="Q97" i="43" s="1"/>
  <c r="AT18" i="43"/>
  <c r="AS19" i="43"/>
  <c r="AT19" i="43"/>
  <c r="J51" i="43"/>
  <c r="AV29" i="43" s="1"/>
  <c r="E73" i="43"/>
  <c r="D73" i="43"/>
  <c r="E72" i="43"/>
  <c r="E66" i="43"/>
  <c r="D67" i="43"/>
  <c r="E67" i="43"/>
  <c r="I73" i="42"/>
  <c r="I72" i="42" s="1"/>
  <c r="D72" i="42"/>
  <c r="D69" i="42"/>
  <c r="I70" i="42"/>
  <c r="I69" i="42" s="1"/>
  <c r="D66" i="42"/>
  <c r="AS21" i="43" l="1"/>
  <c r="O97" i="43" s="1"/>
  <c r="AT21" i="43"/>
  <c r="P97" i="43" s="1"/>
  <c r="AU29" i="43"/>
  <c r="AT29" i="43"/>
  <c r="AS29" i="43"/>
  <c r="E70" i="43"/>
  <c r="E69" i="43"/>
  <c r="D70" i="43"/>
  <c r="I70" i="43" s="1"/>
  <c r="I69" i="43" s="1"/>
  <c r="D66" i="43"/>
  <c r="I73" i="43"/>
  <c r="I72" i="43" s="1"/>
  <c r="D72" i="43"/>
  <c r="D69" i="43" l="1"/>
  <c r="E26" i="31" l="1"/>
  <c r="E27" i="31"/>
  <c r="E25" i="31"/>
  <c r="E24" i="31"/>
  <c r="E23" i="31"/>
  <c r="E22" i="31"/>
  <c r="E21" i="31"/>
  <c r="E20" i="31"/>
  <c r="E19" i="31"/>
  <c r="E18" i="31"/>
  <c r="E17" i="31"/>
  <c r="E16" i="31"/>
  <c r="E15" i="31"/>
  <c r="E14" i="31"/>
  <c r="E13" i="31"/>
  <c r="E12" i="31"/>
  <c r="E11" i="31"/>
  <c r="E10" i="31"/>
  <c r="E9" i="31"/>
  <c r="E8" i="31"/>
  <c r="AD31" i="40"/>
  <c r="AD32" i="40"/>
  <c r="AD30" i="40"/>
  <c r="V46" i="40"/>
  <c r="AA215" i="40"/>
  <c r="V214" i="40"/>
  <c r="V213" i="40"/>
  <c r="V212" i="40"/>
  <c r="V211" i="40"/>
  <c r="V210" i="40"/>
  <c r="V209" i="40"/>
  <c r="V208" i="40"/>
  <c r="V207" i="40"/>
  <c r="V206" i="40"/>
  <c r="V205" i="40"/>
  <c r="V204" i="40"/>
  <c r="V203" i="40"/>
  <c r="V202" i="40"/>
  <c r="V201" i="40"/>
  <c r="V200" i="40"/>
  <c r="V199" i="40"/>
  <c r="V198" i="40"/>
  <c r="V197" i="40"/>
  <c r="V196" i="40"/>
  <c r="V195" i="40"/>
  <c r="V194" i="40"/>
  <c r="V193" i="40"/>
  <c r="V192" i="40"/>
  <c r="V191" i="40"/>
  <c r="V190" i="40"/>
  <c r="V189" i="40"/>
  <c r="V188" i="40"/>
  <c r="AO179" i="40"/>
  <c r="AN179" i="40"/>
  <c r="AM179" i="40"/>
  <c r="AL179" i="40"/>
  <c r="AK179" i="40"/>
  <c r="AJ179" i="40"/>
  <c r="AI179" i="40"/>
  <c r="AH179" i="40"/>
  <c r="AG179" i="40"/>
  <c r="AF179" i="40"/>
  <c r="AE179" i="40"/>
  <c r="AD179" i="40"/>
  <c r="AC179" i="40"/>
  <c r="AB179" i="40"/>
  <c r="AA179" i="40"/>
  <c r="Z179" i="40"/>
  <c r="Y179" i="40"/>
  <c r="X179" i="40"/>
  <c r="W179" i="40"/>
  <c r="V179" i="40"/>
  <c r="AO178" i="40"/>
  <c r="AN178" i="40"/>
  <c r="AM178" i="40"/>
  <c r="AL178" i="40"/>
  <c r="AK178" i="40"/>
  <c r="AJ178" i="40"/>
  <c r="AI178" i="40"/>
  <c r="AH178" i="40"/>
  <c r="AG178" i="40"/>
  <c r="AF178" i="40"/>
  <c r="AE178" i="40"/>
  <c r="AD178" i="40"/>
  <c r="AC178" i="40"/>
  <c r="AB178" i="40"/>
  <c r="AA178" i="40"/>
  <c r="Z178" i="40"/>
  <c r="Y178" i="40"/>
  <c r="X178" i="40"/>
  <c r="W178" i="40"/>
  <c r="V178" i="40"/>
  <c r="AO177" i="40"/>
  <c r="AN177" i="40"/>
  <c r="AM177" i="40"/>
  <c r="AL177" i="40"/>
  <c r="AK177" i="40"/>
  <c r="AJ177" i="40"/>
  <c r="AI177" i="40"/>
  <c r="AH177" i="40"/>
  <c r="AG177" i="40"/>
  <c r="AF177" i="40"/>
  <c r="AE177" i="40"/>
  <c r="AD177" i="40"/>
  <c r="AC177" i="40"/>
  <c r="AB177" i="40"/>
  <c r="AA177" i="40"/>
  <c r="Z177" i="40"/>
  <c r="Y177" i="40"/>
  <c r="X177" i="40"/>
  <c r="W177" i="40"/>
  <c r="V177" i="40"/>
  <c r="AO176" i="40"/>
  <c r="AN176" i="40"/>
  <c r="AM176" i="40"/>
  <c r="AL176" i="40"/>
  <c r="AK176" i="40"/>
  <c r="AJ176" i="40"/>
  <c r="AI176" i="40"/>
  <c r="AH176" i="40"/>
  <c r="AG176" i="40"/>
  <c r="AF176" i="40"/>
  <c r="AE176" i="40"/>
  <c r="AD176" i="40"/>
  <c r="AC176" i="40"/>
  <c r="AB176" i="40"/>
  <c r="AA176" i="40"/>
  <c r="Z176" i="40"/>
  <c r="Y176" i="40"/>
  <c r="X176" i="40"/>
  <c r="V176" i="40"/>
  <c r="AO175" i="40"/>
  <c r="AN175" i="40"/>
  <c r="AM175" i="40"/>
  <c r="AL175" i="40"/>
  <c r="AK175" i="40"/>
  <c r="AJ175" i="40"/>
  <c r="AI175" i="40"/>
  <c r="AH175" i="40"/>
  <c r="AG175" i="40"/>
  <c r="AF175" i="40"/>
  <c r="AE175" i="40"/>
  <c r="AD175" i="40"/>
  <c r="AC175" i="40"/>
  <c r="AB175" i="40"/>
  <c r="AA175" i="40"/>
  <c r="Z175" i="40"/>
  <c r="Y175" i="40"/>
  <c r="X175" i="40"/>
  <c r="V175" i="40"/>
  <c r="AO174" i="40"/>
  <c r="AN174" i="40"/>
  <c r="AM174" i="40"/>
  <c r="AL174" i="40"/>
  <c r="AK174" i="40"/>
  <c r="AJ174" i="40"/>
  <c r="AI174" i="40"/>
  <c r="AH174" i="40"/>
  <c r="AG174" i="40"/>
  <c r="AF174" i="40"/>
  <c r="AE174" i="40"/>
  <c r="AD174" i="40"/>
  <c r="AC174" i="40"/>
  <c r="AB174" i="40"/>
  <c r="AA174" i="40"/>
  <c r="Z174" i="40"/>
  <c r="Y174" i="40"/>
  <c r="X174" i="40"/>
  <c r="V174" i="40"/>
  <c r="AO173" i="40"/>
  <c r="AN173" i="40"/>
  <c r="AM173" i="40"/>
  <c r="AL173" i="40"/>
  <c r="AK173" i="40"/>
  <c r="AJ173" i="40"/>
  <c r="AI173" i="40"/>
  <c r="AH173" i="40"/>
  <c r="AG173" i="40"/>
  <c r="AF173" i="40"/>
  <c r="AE173" i="40"/>
  <c r="AD173" i="40"/>
  <c r="AC173" i="40"/>
  <c r="AB173" i="40"/>
  <c r="AA173" i="40"/>
  <c r="Z173" i="40"/>
  <c r="Y173" i="40"/>
  <c r="X173" i="40"/>
  <c r="V173" i="40"/>
  <c r="AO172" i="40"/>
  <c r="AN172" i="40"/>
  <c r="AM172" i="40"/>
  <c r="AL172" i="40"/>
  <c r="AK172" i="40"/>
  <c r="AJ172" i="40"/>
  <c r="AI172" i="40"/>
  <c r="AH172" i="40"/>
  <c r="AG172" i="40"/>
  <c r="AF172" i="40"/>
  <c r="AE172" i="40"/>
  <c r="AD172" i="40"/>
  <c r="AC172" i="40"/>
  <c r="AB172" i="40"/>
  <c r="AA172" i="40"/>
  <c r="Z172" i="40"/>
  <c r="Y172" i="40"/>
  <c r="X172" i="40"/>
  <c r="W172" i="40"/>
  <c r="V172" i="40"/>
  <c r="AO171" i="40"/>
  <c r="AN171" i="40"/>
  <c r="AM171" i="40"/>
  <c r="AL171" i="40"/>
  <c r="AK171" i="40"/>
  <c r="AJ171" i="40"/>
  <c r="AI171" i="40"/>
  <c r="AH171" i="40"/>
  <c r="AG171" i="40"/>
  <c r="AF171" i="40"/>
  <c r="AE171" i="40"/>
  <c r="AD171" i="40"/>
  <c r="AC171" i="40"/>
  <c r="AB171" i="40"/>
  <c r="AA171" i="40"/>
  <c r="Z171" i="40"/>
  <c r="Y171" i="40"/>
  <c r="X171" i="40"/>
  <c r="V171" i="40"/>
  <c r="AO170" i="40"/>
  <c r="AN170" i="40"/>
  <c r="AM170" i="40"/>
  <c r="AL170" i="40"/>
  <c r="AK170" i="40"/>
  <c r="AJ170" i="40"/>
  <c r="AI170" i="40"/>
  <c r="AH170" i="40"/>
  <c r="AG170" i="40"/>
  <c r="AF170" i="40"/>
  <c r="AE170" i="40"/>
  <c r="AD170" i="40"/>
  <c r="AC170" i="40"/>
  <c r="AB170" i="40"/>
  <c r="AA170" i="40"/>
  <c r="Z170" i="40"/>
  <c r="Y170" i="40"/>
  <c r="X170" i="40"/>
  <c r="V170" i="40"/>
  <c r="AO169" i="40"/>
  <c r="AN169" i="40"/>
  <c r="AM169" i="40"/>
  <c r="AL169" i="40"/>
  <c r="AK169" i="40"/>
  <c r="AJ169" i="40"/>
  <c r="AI169" i="40"/>
  <c r="AH169" i="40"/>
  <c r="AG169" i="40"/>
  <c r="AF169" i="40"/>
  <c r="AE169" i="40"/>
  <c r="AD169" i="40"/>
  <c r="AC169" i="40"/>
  <c r="AB169" i="40"/>
  <c r="AA169" i="40"/>
  <c r="Z169" i="40"/>
  <c r="Y169" i="40"/>
  <c r="X169" i="40"/>
  <c r="W169" i="40"/>
  <c r="V169" i="40"/>
  <c r="AO168" i="40"/>
  <c r="AN168" i="40"/>
  <c r="AM168" i="40"/>
  <c r="AL168" i="40"/>
  <c r="AK168" i="40"/>
  <c r="AJ168" i="40"/>
  <c r="AI168" i="40"/>
  <c r="AH168" i="40"/>
  <c r="AG168" i="40"/>
  <c r="AF168" i="40"/>
  <c r="AE168" i="40"/>
  <c r="AD168" i="40"/>
  <c r="AD95" i="40" s="1"/>
  <c r="AC168" i="40"/>
  <c r="AC95" i="40" s="1"/>
  <c r="AB168" i="40"/>
  <c r="AA168" i="40"/>
  <c r="Z168" i="40"/>
  <c r="Y168" i="40"/>
  <c r="X168" i="40"/>
  <c r="W168" i="40"/>
  <c r="W95" i="40" s="1"/>
  <c r="V168" i="40"/>
  <c r="AO167" i="40"/>
  <c r="AN167" i="40"/>
  <c r="AM167" i="40"/>
  <c r="AL167" i="40"/>
  <c r="X94" i="40" s="1"/>
  <c r="AK167" i="40"/>
  <c r="AJ167" i="40"/>
  <c r="AI167" i="40"/>
  <c r="AH167" i="40"/>
  <c r="AG167" i="40"/>
  <c r="AF167" i="40"/>
  <c r="AE167" i="40"/>
  <c r="AD167" i="40"/>
  <c r="AC167" i="40"/>
  <c r="AB167" i="40"/>
  <c r="AA167" i="40"/>
  <c r="Z167" i="40"/>
  <c r="Y167" i="40"/>
  <c r="Y94" i="40" s="1"/>
  <c r="X167" i="40"/>
  <c r="W167" i="40"/>
  <c r="V167" i="40"/>
  <c r="AO166" i="40"/>
  <c r="AN166" i="40"/>
  <c r="AM166" i="40"/>
  <c r="AL166" i="40"/>
  <c r="AK166" i="40"/>
  <c r="AJ166" i="40"/>
  <c r="AI166" i="40"/>
  <c r="AH166" i="40"/>
  <c r="AG166" i="40"/>
  <c r="AF166" i="40"/>
  <c r="AE166" i="40"/>
  <c r="AD166" i="40"/>
  <c r="AC166" i="40"/>
  <c r="AC93" i="40" s="1"/>
  <c r="AB166" i="40"/>
  <c r="AA166" i="40"/>
  <c r="AA93" i="40" s="1"/>
  <c r="Z166" i="40"/>
  <c r="Y166" i="40"/>
  <c r="X166" i="40"/>
  <c r="W166" i="40"/>
  <c r="V166" i="40"/>
  <c r="AO165" i="40"/>
  <c r="AN165" i="40"/>
  <c r="AM165" i="40"/>
  <c r="AL165" i="40"/>
  <c r="AK165" i="40"/>
  <c r="AJ165" i="40"/>
  <c r="AI165" i="40"/>
  <c r="AH165" i="40"/>
  <c r="AG165" i="40"/>
  <c r="AF165" i="40"/>
  <c r="AE165" i="40"/>
  <c r="AD165" i="40"/>
  <c r="AD92" i="40" s="1"/>
  <c r="AC165" i="40"/>
  <c r="AC92" i="40" s="1"/>
  <c r="AB165" i="40"/>
  <c r="AA165" i="40"/>
  <c r="Z165" i="40"/>
  <c r="Y165" i="40"/>
  <c r="X165" i="40"/>
  <c r="W165" i="40"/>
  <c r="W92" i="40" s="1"/>
  <c r="V165" i="40"/>
  <c r="AO164" i="40"/>
  <c r="AN164" i="40"/>
  <c r="AM164" i="40"/>
  <c r="AL164" i="40"/>
  <c r="X91" i="40" s="1"/>
  <c r="AK164" i="40"/>
  <c r="AJ164" i="40"/>
  <c r="AI164" i="40"/>
  <c r="AH164" i="40"/>
  <c r="AG164" i="40"/>
  <c r="AF164" i="40"/>
  <c r="AE164" i="40"/>
  <c r="AD164" i="40"/>
  <c r="AC164" i="40"/>
  <c r="AB164" i="40"/>
  <c r="AA164" i="40"/>
  <c r="Z164" i="40"/>
  <c r="Z91" i="40" s="1"/>
  <c r="Y164" i="40"/>
  <c r="Y91" i="40" s="1"/>
  <c r="X164" i="40"/>
  <c r="W164" i="40"/>
  <c r="V164" i="40"/>
  <c r="AO163" i="40"/>
  <c r="AN163" i="40"/>
  <c r="AM163" i="40"/>
  <c r="AL163" i="40"/>
  <c r="AK163" i="40"/>
  <c r="AJ163" i="40"/>
  <c r="AI163" i="40"/>
  <c r="AH163" i="40"/>
  <c r="AG163" i="40"/>
  <c r="AF163" i="40"/>
  <c r="AE163" i="40"/>
  <c r="AD163" i="40"/>
  <c r="AC163" i="40"/>
  <c r="AB163" i="40"/>
  <c r="AB90" i="40" s="1"/>
  <c r="AA163" i="40"/>
  <c r="AA90" i="40" s="1"/>
  <c r="Z163" i="40"/>
  <c r="Y163" i="40"/>
  <c r="X163" i="40"/>
  <c r="W163" i="40"/>
  <c r="W90" i="40" s="1"/>
  <c r="V163" i="40"/>
  <c r="V90" i="40" s="1"/>
  <c r="AO162" i="40"/>
  <c r="AN162" i="40"/>
  <c r="AM162" i="40"/>
  <c r="AL162" i="40"/>
  <c r="AK162" i="40"/>
  <c r="AJ162" i="40"/>
  <c r="AI162" i="40"/>
  <c r="AH162" i="40"/>
  <c r="AG162" i="40"/>
  <c r="AF162" i="40"/>
  <c r="AE162" i="40"/>
  <c r="AD162" i="40"/>
  <c r="AD89" i="40" s="1"/>
  <c r="AC162" i="40"/>
  <c r="AC89" i="40" s="1"/>
  <c r="AB162" i="40"/>
  <c r="AA162" i="40"/>
  <c r="Z162" i="40"/>
  <c r="Y162" i="40"/>
  <c r="X162" i="40"/>
  <c r="W162" i="40"/>
  <c r="W89" i="40" s="1"/>
  <c r="V162" i="40"/>
  <c r="AO161" i="40"/>
  <c r="AN161" i="40"/>
  <c r="AM161" i="40"/>
  <c r="AL161" i="40"/>
  <c r="X88" i="40" s="1"/>
  <c r="AK161" i="40"/>
  <c r="AJ161" i="40"/>
  <c r="AI161" i="40"/>
  <c r="AH161" i="40"/>
  <c r="AG161" i="40"/>
  <c r="AF161" i="40"/>
  <c r="AE161" i="40"/>
  <c r="AD161" i="40"/>
  <c r="AC161" i="40"/>
  <c r="AB161" i="40"/>
  <c r="AA161" i="40"/>
  <c r="Z161" i="40"/>
  <c r="Z88" i="40" s="1"/>
  <c r="Y161" i="40"/>
  <c r="Y88" i="40" s="1"/>
  <c r="X161" i="40"/>
  <c r="W161" i="40"/>
  <c r="V161" i="40"/>
  <c r="AO160" i="40"/>
  <c r="AN160" i="40"/>
  <c r="AM160" i="40"/>
  <c r="AL160" i="40"/>
  <c r="AK160" i="40"/>
  <c r="AJ160" i="40"/>
  <c r="AI160" i="40"/>
  <c r="AH160" i="40"/>
  <c r="AG160" i="40"/>
  <c r="AF160" i="40"/>
  <c r="AE160" i="40"/>
  <c r="AD160" i="40"/>
  <c r="AC160" i="40"/>
  <c r="AB160" i="40"/>
  <c r="AB87" i="40" s="1"/>
  <c r="AA160" i="40"/>
  <c r="AA87" i="40" s="1"/>
  <c r="Z160" i="40"/>
  <c r="Y160" i="40"/>
  <c r="X160" i="40"/>
  <c r="V160" i="40"/>
  <c r="V87" i="40" s="1"/>
  <c r="AO159" i="40"/>
  <c r="AN159" i="40"/>
  <c r="AM159" i="40"/>
  <c r="AL159" i="40"/>
  <c r="AK159" i="40"/>
  <c r="AJ159" i="40"/>
  <c r="AI159" i="40"/>
  <c r="AH159" i="40"/>
  <c r="AG159" i="40"/>
  <c r="AF159" i="40"/>
  <c r="AE159" i="40"/>
  <c r="AD159" i="40"/>
  <c r="AC159" i="40"/>
  <c r="AB159" i="40"/>
  <c r="AA159" i="40"/>
  <c r="Z159" i="40"/>
  <c r="Y159" i="40"/>
  <c r="X159" i="40"/>
  <c r="W159" i="40"/>
  <c r="V159" i="40"/>
  <c r="AO158" i="40"/>
  <c r="AN158" i="40"/>
  <c r="AM158" i="40"/>
  <c r="AL158" i="40"/>
  <c r="AK158" i="40"/>
  <c r="AJ158" i="40"/>
  <c r="AI158" i="40"/>
  <c r="AH158" i="40"/>
  <c r="AG158" i="40"/>
  <c r="AF158" i="40"/>
  <c r="AE158" i="40"/>
  <c r="AD158" i="40"/>
  <c r="AC158" i="40"/>
  <c r="AB158" i="40"/>
  <c r="AA158" i="40"/>
  <c r="Z158" i="40"/>
  <c r="Y158" i="40"/>
  <c r="X158" i="40"/>
  <c r="W158" i="40"/>
  <c r="V158" i="40"/>
  <c r="AO157" i="40"/>
  <c r="AN157" i="40"/>
  <c r="AM157" i="40"/>
  <c r="AL157" i="40"/>
  <c r="AK157" i="40"/>
  <c r="AJ157" i="40"/>
  <c r="AI157" i="40"/>
  <c r="AH157" i="40"/>
  <c r="AG157" i="40"/>
  <c r="AF157" i="40"/>
  <c r="AE157" i="40"/>
  <c r="AD157" i="40"/>
  <c r="AC157" i="40"/>
  <c r="AB157" i="40"/>
  <c r="AA157" i="40"/>
  <c r="Z157" i="40"/>
  <c r="Y157" i="40"/>
  <c r="X157" i="40"/>
  <c r="W157" i="40"/>
  <c r="V157" i="40"/>
  <c r="AO156" i="40"/>
  <c r="AN156" i="40"/>
  <c r="AM156" i="40"/>
  <c r="AL156" i="40"/>
  <c r="AK156" i="40"/>
  <c r="AJ156" i="40"/>
  <c r="AI156" i="40"/>
  <c r="AH156" i="40"/>
  <c r="AG156" i="40"/>
  <c r="AF156" i="40"/>
  <c r="AE156" i="40"/>
  <c r="AD156" i="40"/>
  <c r="AC156" i="40"/>
  <c r="AB156" i="40"/>
  <c r="AA156" i="40"/>
  <c r="Z156" i="40"/>
  <c r="Y156" i="40"/>
  <c r="X156" i="40"/>
  <c r="W156" i="40"/>
  <c r="V156" i="40"/>
  <c r="AO155" i="40"/>
  <c r="AN155" i="40"/>
  <c r="AM155" i="40"/>
  <c r="AL155" i="40"/>
  <c r="AK155" i="40"/>
  <c r="AJ155" i="40"/>
  <c r="AI155" i="40"/>
  <c r="AH155" i="40"/>
  <c r="AG155" i="40"/>
  <c r="AF155" i="40"/>
  <c r="AE155" i="40"/>
  <c r="AD155" i="40"/>
  <c r="AC155" i="40"/>
  <c r="AB155" i="40"/>
  <c r="AA155" i="40"/>
  <c r="Z155" i="40"/>
  <c r="Y155" i="40"/>
  <c r="X155" i="40"/>
  <c r="W155" i="40"/>
  <c r="V155" i="40"/>
  <c r="AO154" i="40"/>
  <c r="AN154" i="40"/>
  <c r="AM154" i="40"/>
  <c r="AL154" i="40"/>
  <c r="AK154" i="40"/>
  <c r="AJ154" i="40"/>
  <c r="AI154" i="40"/>
  <c r="AH154" i="40"/>
  <c r="AG154" i="40"/>
  <c r="AF154" i="40"/>
  <c r="AE154" i="40"/>
  <c r="AD154" i="40"/>
  <c r="AC154" i="40"/>
  <c r="AB154" i="40"/>
  <c r="AA154" i="40"/>
  <c r="Z154" i="40"/>
  <c r="Y154" i="40"/>
  <c r="X154" i="40"/>
  <c r="W154" i="40"/>
  <c r="V154" i="40"/>
  <c r="AO153" i="40"/>
  <c r="AN153" i="40"/>
  <c r="AM153" i="40"/>
  <c r="AL153" i="40"/>
  <c r="AK153" i="40"/>
  <c r="AJ153" i="40"/>
  <c r="AI153" i="40"/>
  <c r="AH153" i="40"/>
  <c r="AG153" i="40"/>
  <c r="AF153" i="40"/>
  <c r="AE153" i="40"/>
  <c r="AD153" i="40"/>
  <c r="AC153" i="40"/>
  <c r="AB153" i="40"/>
  <c r="AA153" i="40"/>
  <c r="Z153" i="40"/>
  <c r="Y153" i="40"/>
  <c r="X153" i="40"/>
  <c r="W153" i="40"/>
  <c r="V153" i="40"/>
  <c r="AO152" i="40"/>
  <c r="AN152" i="40"/>
  <c r="AM152" i="40"/>
  <c r="AL152" i="40"/>
  <c r="AK152" i="40"/>
  <c r="AJ152" i="40"/>
  <c r="AI152" i="40"/>
  <c r="AH152" i="40"/>
  <c r="AG152" i="40"/>
  <c r="AF152" i="40"/>
  <c r="AE152" i="40"/>
  <c r="AD152" i="40"/>
  <c r="AC152" i="40"/>
  <c r="AB152" i="40"/>
  <c r="AA152" i="40"/>
  <c r="Z152" i="40"/>
  <c r="Y152" i="40"/>
  <c r="X152" i="40"/>
  <c r="W152" i="40"/>
  <c r="V152" i="40"/>
  <c r="AO151" i="40"/>
  <c r="AN151" i="40"/>
  <c r="AM151" i="40"/>
  <c r="AL151" i="40"/>
  <c r="AK151" i="40"/>
  <c r="AJ151" i="40"/>
  <c r="AI151" i="40"/>
  <c r="AH151" i="40"/>
  <c r="AG151" i="40"/>
  <c r="AF151" i="40"/>
  <c r="AE151" i="40"/>
  <c r="AD151" i="40"/>
  <c r="AC151" i="40"/>
  <c r="AB151" i="40"/>
  <c r="AA151" i="40"/>
  <c r="Z151" i="40"/>
  <c r="Y151" i="40"/>
  <c r="X151" i="40"/>
  <c r="W151" i="40"/>
  <c r="V151" i="40"/>
  <c r="AO150" i="40"/>
  <c r="AN150" i="40"/>
  <c r="AM150" i="40"/>
  <c r="AL150" i="40"/>
  <c r="AK150" i="40"/>
  <c r="AJ150" i="40"/>
  <c r="AI150" i="40"/>
  <c r="AH150" i="40"/>
  <c r="AG150" i="40"/>
  <c r="AF150" i="40"/>
  <c r="AE150" i="40"/>
  <c r="AD150" i="40"/>
  <c r="AC150" i="40"/>
  <c r="AB150" i="40"/>
  <c r="AA150" i="40"/>
  <c r="Z150" i="40"/>
  <c r="Y150" i="40"/>
  <c r="X150" i="40"/>
  <c r="W150" i="40"/>
  <c r="V150" i="40"/>
  <c r="AO149" i="40"/>
  <c r="AN149" i="40"/>
  <c r="AM149" i="40"/>
  <c r="AL149" i="40"/>
  <c r="AK149" i="40"/>
  <c r="AJ149" i="40"/>
  <c r="AI149" i="40"/>
  <c r="AH149" i="40"/>
  <c r="AG149" i="40"/>
  <c r="AF149" i="40"/>
  <c r="AE149" i="40"/>
  <c r="AD149" i="40"/>
  <c r="AC149" i="40"/>
  <c r="AB149" i="40"/>
  <c r="AA149" i="40"/>
  <c r="Z149" i="40"/>
  <c r="Y149" i="40"/>
  <c r="X149" i="40"/>
  <c r="V149" i="40"/>
  <c r="AO148" i="40"/>
  <c r="AN148" i="40"/>
  <c r="AM148" i="40"/>
  <c r="AL148" i="40"/>
  <c r="AK148" i="40"/>
  <c r="AJ148" i="40"/>
  <c r="AI148" i="40"/>
  <c r="AH148" i="40"/>
  <c r="AG148" i="40"/>
  <c r="AF148" i="40"/>
  <c r="AE148" i="40"/>
  <c r="AD148" i="40"/>
  <c r="AC148" i="40"/>
  <c r="AB148" i="40"/>
  <c r="AA148" i="40"/>
  <c r="Z148" i="40"/>
  <c r="Y148" i="40"/>
  <c r="X148" i="40"/>
  <c r="V148" i="40"/>
  <c r="AO147" i="40"/>
  <c r="AN147" i="40"/>
  <c r="AM147" i="40"/>
  <c r="AL147" i="40"/>
  <c r="AK147" i="40"/>
  <c r="AJ147" i="40"/>
  <c r="AI147" i="40"/>
  <c r="AH147" i="40"/>
  <c r="AG147" i="40"/>
  <c r="AF147" i="40"/>
  <c r="AE147" i="40"/>
  <c r="AD147" i="40"/>
  <c r="AC147" i="40"/>
  <c r="AB147" i="40"/>
  <c r="AA147" i="40"/>
  <c r="Z147" i="40"/>
  <c r="Y147" i="40"/>
  <c r="X147" i="40"/>
  <c r="V147" i="40"/>
  <c r="AO146" i="40"/>
  <c r="AN146" i="40"/>
  <c r="AM146" i="40"/>
  <c r="AL146" i="40"/>
  <c r="AK146" i="40"/>
  <c r="AJ146" i="40"/>
  <c r="AI146" i="40"/>
  <c r="AH146" i="40"/>
  <c r="AG146" i="40"/>
  <c r="AF146" i="40"/>
  <c r="AE146" i="40"/>
  <c r="AD146" i="40"/>
  <c r="AC146" i="40"/>
  <c r="AB146" i="40"/>
  <c r="AA146" i="40"/>
  <c r="Z146" i="40"/>
  <c r="Y146" i="40"/>
  <c r="X146" i="40"/>
  <c r="V146" i="40"/>
  <c r="AO145" i="40"/>
  <c r="AN145" i="40"/>
  <c r="AM145" i="40"/>
  <c r="AL145" i="40"/>
  <c r="AK145" i="40"/>
  <c r="AJ145" i="40"/>
  <c r="AI145" i="40"/>
  <c r="AH145" i="40"/>
  <c r="AG145" i="40"/>
  <c r="AF145" i="40"/>
  <c r="AE145" i="40"/>
  <c r="AD145" i="40"/>
  <c r="AC145" i="40"/>
  <c r="AB145" i="40"/>
  <c r="AA145" i="40"/>
  <c r="Z145" i="40"/>
  <c r="Y145" i="40"/>
  <c r="X145" i="40"/>
  <c r="W145" i="40"/>
  <c r="V145" i="40"/>
  <c r="AO144" i="40"/>
  <c r="AN144" i="40"/>
  <c r="AM144" i="40"/>
  <c r="AL144" i="40"/>
  <c r="AK144" i="40"/>
  <c r="AJ144" i="40"/>
  <c r="AI144" i="40"/>
  <c r="AH144" i="40"/>
  <c r="AG144" i="40"/>
  <c r="AF144" i="40"/>
  <c r="AE144" i="40"/>
  <c r="AD144" i="40"/>
  <c r="AC144" i="40"/>
  <c r="AB144" i="40"/>
  <c r="AA144" i="40"/>
  <c r="Z144" i="40"/>
  <c r="Y144" i="40"/>
  <c r="X144" i="40"/>
  <c r="W144" i="40"/>
  <c r="V144" i="40"/>
  <c r="AO143" i="40"/>
  <c r="AN143" i="40"/>
  <c r="AM143" i="40"/>
  <c r="AL143" i="40"/>
  <c r="AK143" i="40"/>
  <c r="AJ143" i="40"/>
  <c r="AI143" i="40"/>
  <c r="AH143" i="40"/>
  <c r="AG143" i="40"/>
  <c r="AF143" i="40"/>
  <c r="AE143" i="40"/>
  <c r="AD143" i="40"/>
  <c r="AC143" i="40"/>
  <c r="AB143" i="40"/>
  <c r="AA143" i="40"/>
  <c r="Z143" i="40"/>
  <c r="Y143" i="40"/>
  <c r="X143" i="40"/>
  <c r="W143" i="40"/>
  <c r="V143" i="40"/>
  <c r="Q143" i="40"/>
  <c r="AO142" i="40"/>
  <c r="AN142" i="40"/>
  <c r="AM142" i="40"/>
  <c r="AL142" i="40"/>
  <c r="AK142" i="40"/>
  <c r="AJ142" i="40"/>
  <c r="AI142" i="40"/>
  <c r="AH142" i="40"/>
  <c r="AG142" i="40"/>
  <c r="AF142" i="40"/>
  <c r="AE142" i="40"/>
  <c r="AD142" i="40"/>
  <c r="AC142" i="40"/>
  <c r="AB142" i="40"/>
  <c r="AA142" i="40"/>
  <c r="Z142" i="40"/>
  <c r="Y142" i="40"/>
  <c r="X142" i="40"/>
  <c r="W142" i="40"/>
  <c r="V142" i="40"/>
  <c r="Q142" i="40"/>
  <c r="AO141" i="40"/>
  <c r="AN141" i="40"/>
  <c r="AM141" i="40"/>
  <c r="AL141" i="40"/>
  <c r="AK141" i="40"/>
  <c r="AJ141" i="40"/>
  <c r="AI141" i="40"/>
  <c r="AH141" i="40"/>
  <c r="AG141" i="40"/>
  <c r="AF141" i="40"/>
  <c r="AE141" i="40"/>
  <c r="AD141" i="40"/>
  <c r="AC141" i="40"/>
  <c r="AB141" i="40"/>
  <c r="AA141" i="40"/>
  <c r="Z141" i="40"/>
  <c r="Y141" i="40"/>
  <c r="X141" i="40"/>
  <c r="W141" i="40"/>
  <c r="V141" i="40"/>
  <c r="Q141" i="40"/>
  <c r="AO140" i="40"/>
  <c r="AN140" i="40"/>
  <c r="AM140" i="40"/>
  <c r="AL140" i="40"/>
  <c r="AK140" i="40"/>
  <c r="AJ140" i="40"/>
  <c r="AI140" i="40"/>
  <c r="AH140" i="40"/>
  <c r="AG140" i="40"/>
  <c r="AF140" i="40"/>
  <c r="AE140" i="40"/>
  <c r="AD140" i="40"/>
  <c r="AC140" i="40"/>
  <c r="AB140" i="40"/>
  <c r="AA140" i="40"/>
  <c r="Z140" i="40"/>
  <c r="Y140" i="40"/>
  <c r="X140" i="40"/>
  <c r="W140" i="40"/>
  <c r="V140" i="40"/>
  <c r="Q140" i="40"/>
  <c r="AO139" i="40"/>
  <c r="AN139" i="40"/>
  <c r="AM139" i="40"/>
  <c r="AL139" i="40"/>
  <c r="AK139" i="40"/>
  <c r="AJ139" i="40"/>
  <c r="AI139" i="40"/>
  <c r="AH139" i="40"/>
  <c r="AG139" i="40"/>
  <c r="AF139" i="40"/>
  <c r="AE139" i="40"/>
  <c r="AD139" i="40"/>
  <c r="AC139" i="40"/>
  <c r="AB139" i="40"/>
  <c r="AA139" i="40"/>
  <c r="Z139" i="40"/>
  <c r="Y139" i="40"/>
  <c r="X139" i="40"/>
  <c r="W139" i="40"/>
  <c r="V139" i="40"/>
  <c r="Q139" i="40"/>
  <c r="AO138" i="40"/>
  <c r="AN138" i="40"/>
  <c r="AM138" i="40"/>
  <c r="AL138" i="40"/>
  <c r="AK138" i="40"/>
  <c r="AJ138" i="40"/>
  <c r="AI138" i="40"/>
  <c r="AH138" i="40"/>
  <c r="AG138" i="40"/>
  <c r="AF138" i="40"/>
  <c r="AE138" i="40"/>
  <c r="AD138" i="40"/>
  <c r="AC138" i="40"/>
  <c r="AB138" i="40"/>
  <c r="AA138" i="40"/>
  <c r="Z138" i="40"/>
  <c r="Y138" i="40"/>
  <c r="X138" i="40"/>
  <c r="W138" i="40"/>
  <c r="V138" i="40"/>
  <c r="Q138" i="40"/>
  <c r="AO137" i="40"/>
  <c r="AN137" i="40"/>
  <c r="AM137" i="40"/>
  <c r="AL137" i="40"/>
  <c r="AK137" i="40"/>
  <c r="AJ137" i="40"/>
  <c r="AI137" i="40"/>
  <c r="AH137" i="40"/>
  <c r="AG137" i="40"/>
  <c r="AF137" i="40"/>
  <c r="AE137" i="40"/>
  <c r="AD137" i="40"/>
  <c r="AC137" i="40"/>
  <c r="AB137" i="40"/>
  <c r="AA137" i="40"/>
  <c r="Z137" i="40"/>
  <c r="Y137" i="40"/>
  <c r="X137" i="40"/>
  <c r="W137" i="40"/>
  <c r="V137" i="40"/>
  <c r="Q137" i="40"/>
  <c r="AO136" i="40"/>
  <c r="AN136" i="40"/>
  <c r="AM136" i="40"/>
  <c r="AL136" i="40"/>
  <c r="AK136" i="40"/>
  <c r="AJ136" i="40"/>
  <c r="AI136" i="40"/>
  <c r="AH136" i="40"/>
  <c r="AG136" i="40"/>
  <c r="AF136" i="40"/>
  <c r="AE136" i="40"/>
  <c r="AD136" i="40"/>
  <c r="AC136" i="40"/>
  <c r="AB136" i="40"/>
  <c r="AA136" i="40"/>
  <c r="Z136" i="40"/>
  <c r="Y136" i="40"/>
  <c r="X136" i="40"/>
  <c r="W136" i="40"/>
  <c r="V136" i="40"/>
  <c r="Q136" i="40"/>
  <c r="AO135" i="40"/>
  <c r="AN135" i="40"/>
  <c r="AM135" i="40"/>
  <c r="AL135" i="40"/>
  <c r="AK135" i="40"/>
  <c r="AJ135" i="40"/>
  <c r="AI135" i="40"/>
  <c r="AH135" i="40"/>
  <c r="AG135" i="40"/>
  <c r="AF135" i="40"/>
  <c r="AE135" i="40"/>
  <c r="AD135" i="40"/>
  <c r="AC135" i="40"/>
  <c r="AB135" i="40"/>
  <c r="AA135" i="40"/>
  <c r="Z135" i="40"/>
  <c r="Y135" i="40"/>
  <c r="X135" i="40"/>
  <c r="W135" i="40"/>
  <c r="V135" i="40"/>
  <c r="Q135" i="40"/>
  <c r="AO134" i="40"/>
  <c r="AN134" i="40"/>
  <c r="AM134" i="40"/>
  <c r="AL134" i="40"/>
  <c r="AK134" i="40"/>
  <c r="AJ134" i="40"/>
  <c r="AI134" i="40"/>
  <c r="AH134" i="40"/>
  <c r="AG134" i="40"/>
  <c r="AF134" i="40"/>
  <c r="AE134" i="40"/>
  <c r="AD134" i="40"/>
  <c r="AC134" i="40"/>
  <c r="AB134" i="40"/>
  <c r="AA134" i="40"/>
  <c r="Z134" i="40"/>
  <c r="Y134" i="40"/>
  <c r="X134" i="40"/>
  <c r="W134" i="40"/>
  <c r="V134" i="40"/>
  <c r="Q134" i="40"/>
  <c r="AO133" i="40"/>
  <c r="AN133" i="40"/>
  <c r="AM133" i="40"/>
  <c r="AL133" i="40"/>
  <c r="AK133" i="40"/>
  <c r="AJ133" i="40"/>
  <c r="AI133" i="40"/>
  <c r="AH133" i="40"/>
  <c r="AG133" i="40"/>
  <c r="AF133" i="40"/>
  <c r="AE133" i="40"/>
  <c r="AD133" i="40"/>
  <c r="AC133" i="40"/>
  <c r="AB133" i="40"/>
  <c r="AA133" i="40"/>
  <c r="Z133" i="40"/>
  <c r="Y133" i="40"/>
  <c r="X133" i="40"/>
  <c r="W133" i="40"/>
  <c r="V133" i="40"/>
  <c r="Q133" i="40"/>
  <c r="AO132" i="40"/>
  <c r="AN132" i="40"/>
  <c r="AM132" i="40"/>
  <c r="AL132" i="40"/>
  <c r="AK132" i="40"/>
  <c r="AJ132" i="40"/>
  <c r="AI132" i="40"/>
  <c r="AH132" i="40"/>
  <c r="AG132" i="40"/>
  <c r="AF132" i="40"/>
  <c r="AE132" i="40"/>
  <c r="AD132" i="40"/>
  <c r="AC132" i="40"/>
  <c r="AB132" i="40"/>
  <c r="AA132" i="40"/>
  <c r="Z132" i="40"/>
  <c r="Y132" i="40"/>
  <c r="X132" i="40"/>
  <c r="W132" i="40"/>
  <c r="V132" i="40"/>
  <c r="Q132" i="40"/>
  <c r="AO131" i="40"/>
  <c r="AN131" i="40"/>
  <c r="AM131" i="40"/>
  <c r="AL131" i="40"/>
  <c r="AK131" i="40"/>
  <c r="AJ131" i="40"/>
  <c r="AI131" i="40"/>
  <c r="AH131" i="40"/>
  <c r="AG131" i="40"/>
  <c r="AF131" i="40"/>
  <c r="AE131" i="40"/>
  <c r="AD131" i="40"/>
  <c r="AC131" i="40"/>
  <c r="AB131" i="40"/>
  <c r="AA131" i="40"/>
  <c r="Z131" i="40"/>
  <c r="Y131" i="40"/>
  <c r="X131" i="40"/>
  <c r="W131" i="40"/>
  <c r="V131" i="40"/>
  <c r="Q131" i="40"/>
  <c r="AO130" i="40"/>
  <c r="AN130" i="40"/>
  <c r="AM130" i="40"/>
  <c r="AL130" i="40"/>
  <c r="AK130" i="40"/>
  <c r="AJ130" i="40"/>
  <c r="AI130" i="40"/>
  <c r="AH130" i="40"/>
  <c r="AG130" i="40"/>
  <c r="AF130" i="40"/>
  <c r="AE130" i="40"/>
  <c r="AD130" i="40"/>
  <c r="AC130" i="40"/>
  <c r="AB130" i="40"/>
  <c r="AA130" i="40"/>
  <c r="Z130" i="40"/>
  <c r="Y130" i="40"/>
  <c r="X130" i="40"/>
  <c r="W130" i="40"/>
  <c r="V130" i="40"/>
  <c r="Q130" i="40"/>
  <c r="AO129" i="40"/>
  <c r="AN129" i="40"/>
  <c r="AM129" i="40"/>
  <c r="AL129" i="40"/>
  <c r="AK129" i="40"/>
  <c r="AJ129" i="40"/>
  <c r="AI129" i="40"/>
  <c r="AH129" i="40"/>
  <c r="AG129" i="40"/>
  <c r="AF129" i="40"/>
  <c r="AE129" i="40"/>
  <c r="AD129" i="40"/>
  <c r="AC129" i="40"/>
  <c r="AB129" i="40"/>
  <c r="AA129" i="40"/>
  <c r="Z129" i="40"/>
  <c r="Y129" i="40"/>
  <c r="X129" i="40"/>
  <c r="W129" i="40"/>
  <c r="V129" i="40"/>
  <c r="Q129" i="40"/>
  <c r="AO128" i="40"/>
  <c r="AN128" i="40"/>
  <c r="AM128" i="40"/>
  <c r="AL128" i="40"/>
  <c r="AK128" i="40"/>
  <c r="AJ128" i="40"/>
  <c r="AI128" i="40"/>
  <c r="AH128" i="40"/>
  <c r="AG128" i="40"/>
  <c r="AF128" i="40"/>
  <c r="AE128" i="40"/>
  <c r="AD128" i="40"/>
  <c r="AC128" i="40"/>
  <c r="AB128" i="40"/>
  <c r="AA128" i="40"/>
  <c r="Z128" i="40"/>
  <c r="Y128" i="40"/>
  <c r="X128" i="40"/>
  <c r="V128" i="40"/>
  <c r="Q128" i="40"/>
  <c r="AO127" i="40"/>
  <c r="AN127" i="40"/>
  <c r="AM127" i="40"/>
  <c r="AL127" i="40"/>
  <c r="AK127" i="40"/>
  <c r="AJ127" i="40"/>
  <c r="AI127" i="40"/>
  <c r="AH127" i="40"/>
  <c r="AG127" i="40"/>
  <c r="AF127" i="40"/>
  <c r="AE127" i="40"/>
  <c r="AD127" i="40"/>
  <c r="AC127" i="40"/>
  <c r="AB127" i="40"/>
  <c r="AA127" i="40"/>
  <c r="Z127" i="40"/>
  <c r="Y127" i="40"/>
  <c r="X127" i="40"/>
  <c r="V127" i="40"/>
  <c r="Q127" i="40"/>
  <c r="AO126" i="40"/>
  <c r="AN126" i="40"/>
  <c r="AM126" i="40"/>
  <c r="AL126" i="40"/>
  <c r="AK126" i="40"/>
  <c r="AJ126" i="40"/>
  <c r="AI126" i="40"/>
  <c r="AH126" i="40"/>
  <c r="AG126" i="40"/>
  <c r="AF126" i="40"/>
  <c r="AE126" i="40"/>
  <c r="AD126" i="40"/>
  <c r="AC126" i="40"/>
  <c r="AB126" i="40"/>
  <c r="AA126" i="40"/>
  <c r="Z126" i="40"/>
  <c r="Y126" i="40"/>
  <c r="X126" i="40"/>
  <c r="V126" i="40"/>
  <c r="Q126" i="40"/>
  <c r="AO125" i="40"/>
  <c r="AN125" i="40"/>
  <c r="AM125" i="40"/>
  <c r="AL125" i="40"/>
  <c r="AK125" i="40"/>
  <c r="AJ125" i="40"/>
  <c r="AI125" i="40"/>
  <c r="AH125" i="40"/>
  <c r="AG125" i="40"/>
  <c r="AF125" i="40"/>
  <c r="AE125" i="40"/>
  <c r="AD125" i="40"/>
  <c r="AC125" i="40"/>
  <c r="AB125" i="40"/>
  <c r="AA125" i="40"/>
  <c r="Z125" i="40"/>
  <c r="Y125" i="40"/>
  <c r="X125" i="40"/>
  <c r="V125" i="40"/>
  <c r="Q125" i="40"/>
  <c r="AO124" i="40"/>
  <c r="AN124" i="40"/>
  <c r="AM124" i="40"/>
  <c r="AL124" i="40"/>
  <c r="AK124" i="40"/>
  <c r="AJ124" i="40"/>
  <c r="AI124" i="40"/>
  <c r="AH124" i="40"/>
  <c r="AG124" i="40"/>
  <c r="AF124" i="40"/>
  <c r="AE124" i="40"/>
  <c r="AD124" i="40"/>
  <c r="AC124" i="40"/>
  <c r="AB124" i="40"/>
  <c r="AA124" i="40"/>
  <c r="Z124" i="40"/>
  <c r="Y124" i="40"/>
  <c r="X124" i="40"/>
  <c r="V124" i="40"/>
  <c r="Q124" i="40"/>
  <c r="AO123" i="40"/>
  <c r="AN123" i="40"/>
  <c r="AM123" i="40"/>
  <c r="AL123" i="40"/>
  <c r="AK123" i="40"/>
  <c r="AJ123" i="40"/>
  <c r="AI123" i="40"/>
  <c r="AH123" i="40"/>
  <c r="AG123" i="40"/>
  <c r="AF123" i="40"/>
  <c r="AE123" i="40"/>
  <c r="AD123" i="40"/>
  <c r="AC123" i="40"/>
  <c r="AB123" i="40"/>
  <c r="AA123" i="40"/>
  <c r="Z123" i="40"/>
  <c r="Y123" i="40"/>
  <c r="X123" i="40"/>
  <c r="W123" i="40"/>
  <c r="V123" i="40"/>
  <c r="Q123" i="40"/>
  <c r="AO122" i="40"/>
  <c r="AN122" i="40"/>
  <c r="AM122" i="40"/>
  <c r="AL122" i="40"/>
  <c r="AK122" i="40"/>
  <c r="AJ122" i="40"/>
  <c r="AI122" i="40"/>
  <c r="AH122" i="40"/>
  <c r="AG122" i="40"/>
  <c r="AF122" i="40"/>
  <c r="AE122" i="40"/>
  <c r="AD122" i="40"/>
  <c r="AC122" i="40"/>
  <c r="AB122" i="40"/>
  <c r="AA122" i="40"/>
  <c r="Z122" i="40"/>
  <c r="Y122" i="40"/>
  <c r="X122" i="40"/>
  <c r="V122" i="40"/>
  <c r="Q122" i="40"/>
  <c r="AO121" i="40"/>
  <c r="AN121" i="40"/>
  <c r="AM121" i="40"/>
  <c r="AL121" i="40"/>
  <c r="AK121" i="40"/>
  <c r="AJ121" i="40"/>
  <c r="AI121" i="40"/>
  <c r="AH121" i="40"/>
  <c r="AG121" i="40"/>
  <c r="AF121" i="40"/>
  <c r="AE121" i="40"/>
  <c r="AD121" i="40"/>
  <c r="AC121" i="40"/>
  <c r="AB121" i="40"/>
  <c r="AA121" i="40"/>
  <c r="Z121" i="40"/>
  <c r="Y121" i="40"/>
  <c r="X121" i="40"/>
  <c r="V121" i="40"/>
  <c r="Q121" i="40"/>
  <c r="AO120" i="40"/>
  <c r="AN120" i="40"/>
  <c r="AM120" i="40"/>
  <c r="AL120" i="40"/>
  <c r="AK120" i="40"/>
  <c r="AJ120" i="40"/>
  <c r="AI120" i="40"/>
  <c r="AH120" i="40"/>
  <c r="AG120" i="40"/>
  <c r="AF120" i="40"/>
  <c r="AE120" i="40"/>
  <c r="AD120" i="40"/>
  <c r="AC120" i="40"/>
  <c r="AB120" i="40"/>
  <c r="AA120" i="40"/>
  <c r="Z120" i="40"/>
  <c r="Y120" i="40"/>
  <c r="X120" i="40"/>
  <c r="W120" i="40"/>
  <c r="V120" i="40"/>
  <c r="Q120" i="40"/>
  <c r="AO119" i="40"/>
  <c r="AN119" i="40"/>
  <c r="AM119" i="40"/>
  <c r="AL119" i="40"/>
  <c r="AK119" i="40"/>
  <c r="AJ119" i="40"/>
  <c r="AI119" i="40"/>
  <c r="AH119" i="40"/>
  <c r="AG119" i="40"/>
  <c r="AF119" i="40"/>
  <c r="AE119" i="40"/>
  <c r="AD119" i="40"/>
  <c r="AC119" i="40"/>
  <c r="AB119" i="40"/>
  <c r="AA119" i="40"/>
  <c r="Z119" i="40"/>
  <c r="Y119" i="40"/>
  <c r="X119" i="40"/>
  <c r="V119" i="40"/>
  <c r="Q119" i="40"/>
  <c r="AO118" i="40"/>
  <c r="AN118" i="40"/>
  <c r="AM118" i="40"/>
  <c r="AL118" i="40"/>
  <c r="AK118" i="40"/>
  <c r="AJ118" i="40"/>
  <c r="AI118" i="40"/>
  <c r="AH118" i="40"/>
  <c r="AG118" i="40"/>
  <c r="AF118" i="40"/>
  <c r="AE118" i="40"/>
  <c r="AD118" i="40"/>
  <c r="AC118" i="40"/>
  <c r="AB118" i="40"/>
  <c r="AA118" i="40"/>
  <c r="Z118" i="40"/>
  <c r="Y118" i="40"/>
  <c r="X118" i="40"/>
  <c r="V118" i="40"/>
  <c r="Q118" i="40"/>
  <c r="AO117" i="40"/>
  <c r="AN117" i="40"/>
  <c r="AM117" i="40"/>
  <c r="AL117" i="40"/>
  <c r="AK117" i="40"/>
  <c r="AJ117" i="40"/>
  <c r="AI117" i="40"/>
  <c r="AH117" i="40"/>
  <c r="AG117" i="40"/>
  <c r="AF117" i="40"/>
  <c r="AE117" i="40"/>
  <c r="AD117" i="40"/>
  <c r="AC117" i="40"/>
  <c r="AB117" i="40"/>
  <c r="AA117" i="40"/>
  <c r="Z117" i="40"/>
  <c r="Y117" i="40"/>
  <c r="X117" i="40"/>
  <c r="V117" i="40"/>
  <c r="Q117" i="40"/>
  <c r="AO116" i="40"/>
  <c r="AN116" i="40"/>
  <c r="AM116" i="40"/>
  <c r="AL116" i="40"/>
  <c r="AK116" i="40"/>
  <c r="AJ116" i="40"/>
  <c r="AI116" i="40"/>
  <c r="AH116" i="40"/>
  <c r="AG116" i="40"/>
  <c r="AF116" i="40"/>
  <c r="AE116" i="40"/>
  <c r="AD116" i="40"/>
  <c r="AC116" i="40"/>
  <c r="AB116" i="40"/>
  <c r="AA116" i="40"/>
  <c r="Z116" i="40"/>
  <c r="Y116" i="40"/>
  <c r="X116" i="40"/>
  <c r="V116" i="40"/>
  <c r="AO115" i="40"/>
  <c r="AN115" i="40"/>
  <c r="AM115" i="40"/>
  <c r="AL115" i="40"/>
  <c r="AK115" i="40"/>
  <c r="AJ115" i="40"/>
  <c r="AI115" i="40"/>
  <c r="AH115" i="40"/>
  <c r="AG115" i="40"/>
  <c r="AF115" i="40"/>
  <c r="AE115" i="40"/>
  <c r="AD115" i="40"/>
  <c r="AC115" i="40"/>
  <c r="AB115" i="40"/>
  <c r="AA115" i="40"/>
  <c r="Z115" i="40"/>
  <c r="Y115" i="40"/>
  <c r="X115" i="40"/>
  <c r="W115" i="40"/>
  <c r="V115" i="40"/>
  <c r="AO114" i="40"/>
  <c r="AN114" i="40"/>
  <c r="AM114" i="40"/>
  <c r="AL114" i="40"/>
  <c r="AK114" i="40"/>
  <c r="AJ114" i="40"/>
  <c r="AI114" i="40"/>
  <c r="AH114" i="40"/>
  <c r="AG114" i="40"/>
  <c r="AF114" i="40"/>
  <c r="AE114" i="40"/>
  <c r="AD114" i="40"/>
  <c r="AC114" i="40"/>
  <c r="AB114" i="40"/>
  <c r="AA114" i="40"/>
  <c r="Z114" i="40"/>
  <c r="Y114" i="40"/>
  <c r="X114" i="40"/>
  <c r="W114" i="40"/>
  <c r="V114" i="40"/>
  <c r="AO113" i="40"/>
  <c r="AN113" i="40"/>
  <c r="AM113" i="40"/>
  <c r="AL113" i="40"/>
  <c r="AK113" i="40"/>
  <c r="AJ113" i="40"/>
  <c r="AI113" i="40"/>
  <c r="AH113" i="40"/>
  <c r="AG113" i="40"/>
  <c r="AF113" i="40"/>
  <c r="AE113" i="40"/>
  <c r="AD113" i="40"/>
  <c r="AC113" i="40"/>
  <c r="AB113" i="40"/>
  <c r="AA113" i="40"/>
  <c r="Z113" i="40"/>
  <c r="Y113" i="40"/>
  <c r="X113" i="40"/>
  <c r="W113" i="40"/>
  <c r="V113" i="40"/>
  <c r="AO112" i="40"/>
  <c r="AN112" i="40"/>
  <c r="AM112" i="40"/>
  <c r="AL112" i="40"/>
  <c r="AK112" i="40"/>
  <c r="AJ112" i="40"/>
  <c r="AI112" i="40"/>
  <c r="AH112" i="40"/>
  <c r="AG112" i="40"/>
  <c r="AF112" i="40"/>
  <c r="AE112" i="40"/>
  <c r="AD112" i="40"/>
  <c r="AC112" i="40"/>
  <c r="AB112" i="40"/>
  <c r="AA112" i="40"/>
  <c r="Z112" i="40"/>
  <c r="Y112" i="40"/>
  <c r="X112" i="40"/>
  <c r="V112" i="40"/>
  <c r="AO111" i="40"/>
  <c r="AN111" i="40"/>
  <c r="AM111" i="40"/>
  <c r="AL111" i="40"/>
  <c r="AK111" i="40"/>
  <c r="AJ111" i="40"/>
  <c r="AI111" i="40"/>
  <c r="AH111" i="40"/>
  <c r="AG111" i="40"/>
  <c r="AF111" i="40"/>
  <c r="AE111" i="40"/>
  <c r="AD111" i="40"/>
  <c r="AC111" i="40"/>
  <c r="AB111" i="40"/>
  <c r="AA111" i="40"/>
  <c r="Z111" i="40"/>
  <c r="Y111" i="40"/>
  <c r="X111" i="40"/>
  <c r="V111" i="40"/>
  <c r="AO110" i="40"/>
  <c r="AN110" i="40"/>
  <c r="AM110" i="40"/>
  <c r="AL110" i="40"/>
  <c r="AK110" i="40"/>
  <c r="AJ110" i="40"/>
  <c r="AI110" i="40"/>
  <c r="AH110" i="40"/>
  <c r="AG110" i="40"/>
  <c r="AF110" i="40"/>
  <c r="AE110" i="40"/>
  <c r="AD110" i="40"/>
  <c r="AC110" i="40"/>
  <c r="AB110" i="40"/>
  <c r="AA110" i="40"/>
  <c r="Z110" i="40"/>
  <c r="Y110" i="40"/>
  <c r="X110" i="40"/>
  <c r="V110" i="40"/>
  <c r="AO109" i="40"/>
  <c r="AN109" i="40"/>
  <c r="AM109" i="40"/>
  <c r="AL109" i="40"/>
  <c r="AK109" i="40"/>
  <c r="AJ109" i="40"/>
  <c r="AI109" i="40"/>
  <c r="AH109" i="40"/>
  <c r="AG109" i="40"/>
  <c r="AF109" i="40"/>
  <c r="AE109" i="40"/>
  <c r="AD109" i="40"/>
  <c r="AC109" i="40"/>
  <c r="AB109" i="40"/>
  <c r="AA109" i="40"/>
  <c r="Z109" i="40"/>
  <c r="Y109" i="40"/>
  <c r="X109" i="40"/>
  <c r="V109" i="40"/>
  <c r="AO108" i="40"/>
  <c r="AN108" i="40"/>
  <c r="AM108" i="40"/>
  <c r="AL108" i="40"/>
  <c r="AK108" i="40"/>
  <c r="AJ108" i="40"/>
  <c r="AI108" i="40"/>
  <c r="AH108" i="40"/>
  <c r="AG108" i="40"/>
  <c r="AF108" i="40"/>
  <c r="AE108" i="40"/>
  <c r="AD108" i="40"/>
  <c r="AC108" i="40"/>
  <c r="AB108" i="40"/>
  <c r="AA108" i="40"/>
  <c r="Z108" i="40"/>
  <c r="Y108" i="40"/>
  <c r="X108" i="40"/>
  <c r="V108" i="40"/>
  <c r="AO107" i="40"/>
  <c r="AN107" i="40"/>
  <c r="AM107" i="40"/>
  <c r="AL107" i="40"/>
  <c r="AK107" i="40"/>
  <c r="AJ107" i="40"/>
  <c r="AI107" i="40"/>
  <c r="AH107" i="40"/>
  <c r="AG107" i="40"/>
  <c r="AF107" i="40"/>
  <c r="AE107" i="40"/>
  <c r="AD107" i="40"/>
  <c r="AC107" i="40"/>
  <c r="AB107" i="40"/>
  <c r="AA107" i="40"/>
  <c r="Z107" i="40"/>
  <c r="Y107" i="40"/>
  <c r="X107" i="40"/>
  <c r="V107" i="40"/>
  <c r="AO106" i="40"/>
  <c r="AN106" i="40"/>
  <c r="AM106" i="40"/>
  <c r="AL106" i="40"/>
  <c r="AK106" i="40"/>
  <c r="AJ106" i="40"/>
  <c r="AI106" i="40"/>
  <c r="AH106" i="40"/>
  <c r="AG106" i="40"/>
  <c r="AF106" i="40"/>
  <c r="AE106" i="40"/>
  <c r="AD106" i="40"/>
  <c r="AC106" i="40"/>
  <c r="AB106" i="40"/>
  <c r="AA106" i="40"/>
  <c r="Z106" i="40"/>
  <c r="Y106" i="40"/>
  <c r="X106" i="40"/>
  <c r="V106" i="40"/>
  <c r="AO105" i="40"/>
  <c r="AN105" i="40"/>
  <c r="AM105" i="40"/>
  <c r="AL105" i="40"/>
  <c r="AK105" i="40"/>
  <c r="AJ105" i="40"/>
  <c r="AI105" i="40"/>
  <c r="AH105" i="40"/>
  <c r="AG105" i="40"/>
  <c r="AF105" i="40"/>
  <c r="AE105" i="40"/>
  <c r="AD105" i="40"/>
  <c r="AC105" i="40"/>
  <c r="AB105" i="40"/>
  <c r="AA105" i="40"/>
  <c r="Z105" i="40"/>
  <c r="Y105" i="40"/>
  <c r="X105" i="40"/>
  <c r="V105" i="40"/>
  <c r="AO104" i="40"/>
  <c r="AN104" i="40"/>
  <c r="AM104" i="40"/>
  <c r="AL104" i="40"/>
  <c r="AK104" i="40"/>
  <c r="AJ104" i="40"/>
  <c r="AI104" i="40"/>
  <c r="AH104" i="40"/>
  <c r="AG104" i="40"/>
  <c r="AF104" i="40"/>
  <c r="AE104" i="40"/>
  <c r="AD104" i="40"/>
  <c r="AC104" i="40"/>
  <c r="AB104" i="40"/>
  <c r="AA104" i="40"/>
  <c r="Z104" i="40"/>
  <c r="Y104" i="40"/>
  <c r="X104" i="40"/>
  <c r="W104" i="40"/>
  <c r="V104" i="40"/>
  <c r="AO103" i="40"/>
  <c r="AN103" i="40"/>
  <c r="AM103" i="40"/>
  <c r="AL103" i="40"/>
  <c r="AK103" i="40"/>
  <c r="AJ103" i="40"/>
  <c r="AI103" i="40"/>
  <c r="AH103" i="40"/>
  <c r="AG103" i="40"/>
  <c r="AF103" i="40"/>
  <c r="AE103" i="40"/>
  <c r="AD103" i="40"/>
  <c r="AC103" i="40"/>
  <c r="AB103" i="40"/>
  <c r="AA103" i="40"/>
  <c r="Z103" i="40"/>
  <c r="Y103" i="40"/>
  <c r="X103" i="40"/>
  <c r="V103" i="40"/>
  <c r="AO102" i="40"/>
  <c r="AN102" i="40"/>
  <c r="AM102" i="40"/>
  <c r="AL102" i="40"/>
  <c r="AK102" i="40"/>
  <c r="AJ102" i="40"/>
  <c r="AI102" i="40"/>
  <c r="AH102" i="40"/>
  <c r="AG102" i="40"/>
  <c r="AF102" i="40"/>
  <c r="AE102" i="40"/>
  <c r="AD102" i="40"/>
  <c r="AC102" i="40"/>
  <c r="AB102" i="40"/>
  <c r="AA102" i="40"/>
  <c r="Z102" i="40"/>
  <c r="Y102" i="40"/>
  <c r="X102" i="40"/>
  <c r="W102" i="40"/>
  <c r="V102" i="40"/>
  <c r="AO101" i="40"/>
  <c r="AN101" i="40"/>
  <c r="AM101" i="40"/>
  <c r="AL101" i="40"/>
  <c r="AK101" i="40"/>
  <c r="AJ101" i="40"/>
  <c r="AI101" i="40"/>
  <c r="AH101" i="40"/>
  <c r="AG101" i="40"/>
  <c r="AF101" i="40"/>
  <c r="AE101" i="40"/>
  <c r="AD101" i="40"/>
  <c r="AC101" i="40"/>
  <c r="AB101" i="40"/>
  <c r="AA101" i="40"/>
  <c r="Z101" i="40"/>
  <c r="Y101" i="40"/>
  <c r="X101" i="40"/>
  <c r="V101" i="40"/>
  <c r="AO100" i="40"/>
  <c r="AN100" i="40"/>
  <c r="AM100" i="40"/>
  <c r="AL100" i="40"/>
  <c r="AK100" i="40"/>
  <c r="AJ100" i="40"/>
  <c r="AI100" i="40"/>
  <c r="AH100" i="40"/>
  <c r="AG100" i="40"/>
  <c r="AF100" i="40"/>
  <c r="AE100" i="40"/>
  <c r="AD100" i="40"/>
  <c r="AC100" i="40"/>
  <c r="AB100" i="40"/>
  <c r="AA100" i="40"/>
  <c r="Z100" i="40"/>
  <c r="Y100" i="40"/>
  <c r="X100" i="40"/>
  <c r="V100" i="40"/>
  <c r="AB95" i="40"/>
  <c r="AA95" i="40"/>
  <c r="Z95" i="40"/>
  <c r="Y95" i="40"/>
  <c r="X95" i="40"/>
  <c r="V95" i="40"/>
  <c r="AD94" i="40"/>
  <c r="AC94" i="40"/>
  <c r="AB94" i="40"/>
  <c r="AA94" i="40"/>
  <c r="Z94" i="40"/>
  <c r="W94" i="40"/>
  <c r="V94" i="40"/>
  <c r="AD93" i="40"/>
  <c r="AB93" i="40"/>
  <c r="Z93" i="40"/>
  <c r="Y93" i="40"/>
  <c r="X93" i="40"/>
  <c r="W93" i="40"/>
  <c r="V93" i="40"/>
  <c r="AB92" i="40"/>
  <c r="AA92" i="40"/>
  <c r="Z92" i="40"/>
  <c r="Y92" i="40"/>
  <c r="X92" i="40"/>
  <c r="V92" i="40"/>
  <c r="AD91" i="40"/>
  <c r="AC91" i="40"/>
  <c r="AB91" i="40"/>
  <c r="AA91" i="40"/>
  <c r="W91" i="40"/>
  <c r="V91" i="40"/>
  <c r="AD90" i="40"/>
  <c r="AC90" i="40"/>
  <c r="Z90" i="40"/>
  <c r="Y90" i="40"/>
  <c r="X90" i="40"/>
  <c r="AB89" i="40"/>
  <c r="AA89" i="40"/>
  <c r="Z89" i="40"/>
  <c r="Y89" i="40"/>
  <c r="X89" i="40"/>
  <c r="V89" i="40"/>
  <c r="AD88" i="40"/>
  <c r="AC88" i="40"/>
  <c r="AB88" i="40"/>
  <c r="AA88" i="40"/>
  <c r="W88" i="40"/>
  <c r="V88" i="40"/>
  <c r="AD87" i="40"/>
  <c r="AC87" i="40"/>
  <c r="Z87" i="40"/>
  <c r="Y87" i="40"/>
  <c r="X87" i="40"/>
  <c r="B85" i="40"/>
  <c r="Z82" i="40"/>
  <c r="Y82" i="40"/>
  <c r="X82" i="40"/>
  <c r="W82" i="40"/>
  <c r="V82" i="40"/>
  <c r="Z81" i="40"/>
  <c r="Y81" i="40"/>
  <c r="X81" i="40"/>
  <c r="W81" i="40"/>
  <c r="V81" i="40"/>
  <c r="Z80" i="40"/>
  <c r="Y80" i="40"/>
  <c r="X80" i="40"/>
  <c r="W80" i="40"/>
  <c r="V80" i="40"/>
  <c r="Z79" i="40"/>
  <c r="Y79" i="40"/>
  <c r="X79" i="40"/>
  <c r="W79" i="40"/>
  <c r="V79" i="40"/>
  <c r="Z78" i="40"/>
  <c r="Y78" i="40"/>
  <c r="X78" i="40"/>
  <c r="W78" i="40"/>
  <c r="V78" i="40"/>
  <c r="Z77" i="40"/>
  <c r="Y77" i="40"/>
  <c r="X77" i="40"/>
  <c r="W77" i="40"/>
  <c r="V77" i="40"/>
  <c r="Z76" i="40"/>
  <c r="Y76" i="40"/>
  <c r="X76" i="40"/>
  <c r="W76" i="40"/>
  <c r="V76" i="40"/>
  <c r="Z75" i="40"/>
  <c r="Y75" i="40"/>
  <c r="X75" i="40"/>
  <c r="V75" i="40"/>
  <c r="Z74" i="40"/>
  <c r="Y74" i="40"/>
  <c r="X74" i="40"/>
  <c r="W74" i="40"/>
  <c r="V74" i="40"/>
  <c r="Z73" i="40"/>
  <c r="Y73" i="40"/>
  <c r="X73" i="40"/>
  <c r="W73" i="40"/>
  <c r="V73" i="40"/>
  <c r="Z68" i="40"/>
  <c r="Y68" i="40"/>
  <c r="X68" i="40"/>
  <c r="W68" i="40"/>
  <c r="V68" i="40"/>
  <c r="Z67" i="40"/>
  <c r="Y67" i="40"/>
  <c r="X67" i="40"/>
  <c r="W67" i="40"/>
  <c r="V67" i="40"/>
  <c r="Z66" i="40"/>
  <c r="Y66" i="40"/>
  <c r="X66" i="40"/>
  <c r="V66" i="40"/>
  <c r="Z65" i="40"/>
  <c r="Y65" i="40"/>
  <c r="X65" i="40"/>
  <c r="W65" i="40"/>
  <c r="V65" i="40"/>
  <c r="Z64" i="40"/>
  <c r="Y64" i="40"/>
  <c r="X64" i="40"/>
  <c r="W64" i="40"/>
  <c r="V64" i="40"/>
  <c r="Z63" i="40"/>
  <c r="Y63" i="40"/>
  <c r="X63" i="40"/>
  <c r="W63" i="40"/>
  <c r="V63" i="40"/>
  <c r="Z62" i="40"/>
  <c r="Y62" i="40"/>
  <c r="X62" i="40"/>
  <c r="W62" i="40"/>
  <c r="V62" i="40"/>
  <c r="Z61" i="40"/>
  <c r="Y61" i="40"/>
  <c r="X61" i="40"/>
  <c r="W61" i="40"/>
  <c r="V61" i="40"/>
  <c r="Z60" i="40"/>
  <c r="Y60" i="40"/>
  <c r="X60" i="40"/>
  <c r="W60" i="40"/>
  <c r="V60" i="40"/>
  <c r="Z59" i="40"/>
  <c r="Y59" i="40"/>
  <c r="X59" i="40"/>
  <c r="W59" i="40"/>
  <c r="V59" i="40"/>
  <c r="Z58" i="40"/>
  <c r="Y58" i="40"/>
  <c r="X58" i="40"/>
  <c r="W58" i="40"/>
  <c r="V58" i="40"/>
  <c r="Z57" i="40"/>
  <c r="Y57" i="40"/>
  <c r="X57" i="40"/>
  <c r="W57" i="40"/>
  <c r="V57" i="40"/>
  <c r="Z56" i="40"/>
  <c r="Y56" i="40"/>
  <c r="X56" i="40"/>
  <c r="W56" i="40"/>
  <c r="V56" i="40"/>
  <c r="AC47" i="40"/>
  <c r="AC46" i="40"/>
  <c r="AE45" i="40"/>
  <c r="AC45" i="40"/>
  <c r="AE46" i="40" s="1"/>
  <c r="J38" i="40" s="1"/>
  <c r="B45" i="40"/>
  <c r="AP44" i="40"/>
  <c r="B94" i="40" s="1"/>
  <c r="AP43" i="40"/>
  <c r="B91" i="40" s="1"/>
  <c r="AP42" i="40"/>
  <c r="B88" i="40" s="1"/>
  <c r="X42" i="40"/>
  <c r="AP41" i="40"/>
  <c r="X41" i="40"/>
  <c r="AP40" i="40"/>
  <c r="B82" i="40" s="1"/>
  <c r="X40" i="40"/>
  <c r="X39" i="40"/>
  <c r="X38" i="40"/>
  <c r="B38" i="40"/>
  <c r="AK37" i="40"/>
  <c r="AU59" i="40" s="1"/>
  <c r="X37" i="40"/>
  <c r="AL36" i="40"/>
  <c r="AK36" i="40"/>
  <c r="AU58" i="40" s="1"/>
  <c r="X36" i="40"/>
  <c r="AL35" i="40"/>
  <c r="AK35" i="40"/>
  <c r="AU57" i="40" s="1"/>
  <c r="X35" i="40"/>
  <c r="Q35" i="40"/>
  <c r="P35" i="40"/>
  <c r="O35" i="40" s="1"/>
  <c r="E18" i="40" s="1"/>
  <c r="AL34" i="40"/>
  <c r="AK34" i="40"/>
  <c r="AU56" i="40" s="1"/>
  <c r="X34" i="40"/>
  <c r="AL33" i="40"/>
  <c r="AK33" i="40"/>
  <c r="AU55" i="40" s="1"/>
  <c r="X33" i="40"/>
  <c r="AL32" i="40"/>
  <c r="AK32" i="40"/>
  <c r="AU54" i="40" s="1"/>
  <c r="X32" i="40"/>
  <c r="AL31" i="40"/>
  <c r="AK31" i="40"/>
  <c r="AU53" i="40" s="1"/>
  <c r="AG31" i="40"/>
  <c r="X31" i="40"/>
  <c r="AL30" i="40"/>
  <c r="AK30" i="40"/>
  <c r="AU52" i="40" s="1"/>
  <c r="X30" i="40"/>
  <c r="B30" i="40"/>
  <c r="AQ27" i="40" s="1"/>
  <c r="AL29" i="40"/>
  <c r="AK29" i="40"/>
  <c r="AU51" i="40" s="1"/>
  <c r="X29" i="40"/>
  <c r="X28" i="40"/>
  <c r="B27" i="40"/>
  <c r="P25" i="40"/>
  <c r="P24" i="40"/>
  <c r="G20" i="40" s="1"/>
  <c r="I24" i="40"/>
  <c r="G24" i="40"/>
  <c r="E24" i="40"/>
  <c r="C24" i="40"/>
  <c r="AC23" i="40"/>
  <c r="AD22" i="40" s="1"/>
  <c r="AB39" i="40" s="1"/>
  <c r="AC32" i="40" s="1"/>
  <c r="AB23" i="40"/>
  <c r="AA23" i="40"/>
  <c r="Z23" i="40"/>
  <c r="Y23" i="40"/>
  <c r="I23" i="40"/>
  <c r="G23" i="40"/>
  <c r="E23" i="40"/>
  <c r="C23" i="40"/>
  <c r="AB22" i="40"/>
  <c r="AA22" i="40"/>
  <c r="Z22" i="40"/>
  <c r="AC22" i="40" s="1"/>
  <c r="Y22" i="40"/>
  <c r="I22" i="40"/>
  <c r="G22" i="40"/>
  <c r="E22" i="40"/>
  <c r="C22" i="40"/>
  <c r="I21" i="40"/>
  <c r="G21" i="40"/>
  <c r="E21" i="40"/>
  <c r="C21" i="40"/>
  <c r="AQ20" i="40"/>
  <c r="B72" i="40" s="1"/>
  <c r="AQ36" i="40" s="1"/>
  <c r="AI20" i="40"/>
  <c r="I20" i="40"/>
  <c r="AQ19" i="40"/>
  <c r="B69" i="40" s="1"/>
  <c r="AQ35" i="40" s="1"/>
  <c r="AI19" i="40"/>
  <c r="AQ18" i="40"/>
  <c r="B66" i="40" s="1"/>
  <c r="AQ34" i="40" s="1"/>
  <c r="AI18" i="40"/>
  <c r="AJ18" i="40" s="1"/>
  <c r="AK18" i="40" s="1"/>
  <c r="AV26" i="40" s="1"/>
  <c r="I18" i="40"/>
  <c r="AI17" i="40"/>
  <c r="AJ15" i="40" s="1"/>
  <c r="AK15" i="40" s="1"/>
  <c r="AU26" i="40" s="1"/>
  <c r="AI16" i="40"/>
  <c r="AI15" i="40"/>
  <c r="AQ14" i="40"/>
  <c r="B63" i="40" s="1"/>
  <c r="AQ33" i="40" s="1"/>
  <c r="AI14" i="40"/>
  <c r="I14" i="40"/>
  <c r="AQ13" i="40"/>
  <c r="B60" i="40" s="1"/>
  <c r="AQ32" i="40" s="1"/>
  <c r="AI13" i="40"/>
  <c r="AQ12" i="40"/>
  <c r="B57" i="40" s="1"/>
  <c r="AQ31" i="40" s="1"/>
  <c r="AI12" i="40"/>
  <c r="AJ12" i="40" s="1"/>
  <c r="AK12" i="40" s="1"/>
  <c r="AT26" i="40" s="1"/>
  <c r="AI11" i="40"/>
  <c r="AC11" i="40"/>
  <c r="AB11" i="40"/>
  <c r="AA11" i="40"/>
  <c r="Z11" i="40"/>
  <c r="Y11" i="40"/>
  <c r="AI10" i="40"/>
  <c r="AC10" i="40"/>
  <c r="AD8" i="40" s="1"/>
  <c r="AB36" i="40" s="1"/>
  <c r="AC31" i="40" s="1"/>
  <c r="AB10" i="40"/>
  <c r="AA10" i="40"/>
  <c r="Z10" i="40"/>
  <c r="Y10" i="40"/>
  <c r="AJ9" i="40"/>
  <c r="AI9" i="40"/>
  <c r="AC9" i="40"/>
  <c r="AB9" i="40"/>
  <c r="AA9" i="40"/>
  <c r="Z9" i="40"/>
  <c r="Y9" i="40"/>
  <c r="AQ8" i="40"/>
  <c r="B54" i="40" s="1"/>
  <c r="AQ30" i="40" s="1"/>
  <c r="AB8" i="40"/>
  <c r="AA8" i="40"/>
  <c r="Z8" i="40"/>
  <c r="AC8" i="40" s="1"/>
  <c r="Y8" i="40"/>
  <c r="AQ7" i="40"/>
  <c r="B51" i="40" s="1"/>
  <c r="AQ29" i="40" s="1"/>
  <c r="AQ6" i="40"/>
  <c r="X41" i="39"/>
  <c r="X42" i="39"/>
  <c r="X43" i="39"/>
  <c r="V46" i="39"/>
  <c r="AD31" i="39"/>
  <c r="AD32" i="39"/>
  <c r="AD30" i="39"/>
  <c r="AA215" i="39"/>
  <c r="V214" i="39"/>
  <c r="V213" i="39"/>
  <c r="V212" i="39"/>
  <c r="V211" i="39"/>
  <c r="V210" i="39"/>
  <c r="V209" i="39"/>
  <c r="V208" i="39"/>
  <c r="V207" i="39"/>
  <c r="V206" i="39"/>
  <c r="V205" i="39"/>
  <c r="V204" i="39"/>
  <c r="V203" i="39"/>
  <c r="V202" i="39"/>
  <c r="V201" i="39"/>
  <c r="V200" i="39"/>
  <c r="V199" i="39"/>
  <c r="V198" i="39"/>
  <c r="V197" i="39"/>
  <c r="V196" i="39"/>
  <c r="V195" i="39"/>
  <c r="V194" i="39"/>
  <c r="V193" i="39"/>
  <c r="V192" i="39"/>
  <c r="V191" i="39"/>
  <c r="V190" i="39"/>
  <c r="V189" i="39"/>
  <c r="V188" i="39"/>
  <c r="AO179" i="39"/>
  <c r="AN179" i="39"/>
  <c r="AM179" i="39"/>
  <c r="AL179" i="39"/>
  <c r="AK179" i="39"/>
  <c r="AJ179" i="39"/>
  <c r="AI179" i="39"/>
  <c r="AH179" i="39"/>
  <c r="AG179" i="39"/>
  <c r="AF179" i="39"/>
  <c r="AE179" i="39"/>
  <c r="AD179" i="39"/>
  <c r="AC179" i="39"/>
  <c r="AB179" i="39"/>
  <c r="AA179" i="39"/>
  <c r="Z179" i="39"/>
  <c r="Y179" i="39"/>
  <c r="X179" i="39"/>
  <c r="W179" i="39"/>
  <c r="V179" i="39"/>
  <c r="AO178" i="39"/>
  <c r="AN178" i="39"/>
  <c r="AM178" i="39"/>
  <c r="AL178" i="39"/>
  <c r="AK178" i="39"/>
  <c r="AJ178" i="39"/>
  <c r="AI178" i="39"/>
  <c r="AH178" i="39"/>
  <c r="AG178" i="39"/>
  <c r="AF178" i="39"/>
  <c r="AE178" i="39"/>
  <c r="AD178" i="39"/>
  <c r="AC178" i="39"/>
  <c r="AB178" i="39"/>
  <c r="AA178" i="39"/>
  <c r="Z178" i="39"/>
  <c r="Y178" i="39"/>
  <c r="X178" i="39"/>
  <c r="W178" i="39"/>
  <c r="V178" i="39"/>
  <c r="AO177" i="39"/>
  <c r="AN177" i="39"/>
  <c r="AM177" i="39"/>
  <c r="AL177" i="39"/>
  <c r="AK177" i="39"/>
  <c r="AJ177" i="39"/>
  <c r="AI177" i="39"/>
  <c r="AH177" i="39"/>
  <c r="AG177" i="39"/>
  <c r="AF177" i="39"/>
  <c r="AE177" i="39"/>
  <c r="AD177" i="39"/>
  <c r="AC177" i="39"/>
  <c r="AB177" i="39"/>
  <c r="AA177" i="39"/>
  <c r="Z177" i="39"/>
  <c r="Y177" i="39"/>
  <c r="X177" i="39"/>
  <c r="W177" i="39"/>
  <c r="V177" i="39"/>
  <c r="AO176" i="39"/>
  <c r="AN176" i="39"/>
  <c r="AM176" i="39"/>
  <c r="AL176" i="39"/>
  <c r="AK176" i="39"/>
  <c r="AJ176" i="39"/>
  <c r="AI176" i="39"/>
  <c r="AH176" i="39"/>
  <c r="AG176" i="39"/>
  <c r="AF176" i="39"/>
  <c r="AE176" i="39"/>
  <c r="AD176" i="39"/>
  <c r="AC176" i="39"/>
  <c r="AB176" i="39"/>
  <c r="AA176" i="39"/>
  <c r="Z176" i="39"/>
  <c r="Y176" i="39"/>
  <c r="X176" i="39"/>
  <c r="V176" i="39"/>
  <c r="AO175" i="39"/>
  <c r="AN175" i="39"/>
  <c r="AM175" i="39"/>
  <c r="AL175" i="39"/>
  <c r="AK175" i="39"/>
  <c r="AJ175" i="39"/>
  <c r="AI175" i="39"/>
  <c r="AH175" i="39"/>
  <c r="AG175" i="39"/>
  <c r="AF175" i="39"/>
  <c r="AE175" i="39"/>
  <c r="AD175" i="39"/>
  <c r="AC175" i="39"/>
  <c r="AB175" i="39"/>
  <c r="AA175" i="39"/>
  <c r="Z175" i="39"/>
  <c r="Y175" i="39"/>
  <c r="X175" i="39"/>
  <c r="V175" i="39"/>
  <c r="AO174" i="39"/>
  <c r="AN174" i="39"/>
  <c r="AM174" i="39"/>
  <c r="AL174" i="39"/>
  <c r="AK174" i="39"/>
  <c r="AJ174" i="39"/>
  <c r="AI174" i="39"/>
  <c r="AH174" i="39"/>
  <c r="AG174" i="39"/>
  <c r="AF174" i="39"/>
  <c r="AE174" i="39"/>
  <c r="AD174" i="39"/>
  <c r="AC174" i="39"/>
  <c r="AB174" i="39"/>
  <c r="AA174" i="39"/>
  <c r="Z174" i="39"/>
  <c r="Y174" i="39"/>
  <c r="X174" i="39"/>
  <c r="V174" i="39"/>
  <c r="AO173" i="39"/>
  <c r="AN173" i="39"/>
  <c r="AM173" i="39"/>
  <c r="AL173" i="39"/>
  <c r="AK173" i="39"/>
  <c r="AJ173" i="39"/>
  <c r="AI173" i="39"/>
  <c r="AH173" i="39"/>
  <c r="AG173" i="39"/>
  <c r="AF173" i="39"/>
  <c r="AE173" i="39"/>
  <c r="AD173" i="39"/>
  <c r="AC173" i="39"/>
  <c r="AB173" i="39"/>
  <c r="AA173" i="39"/>
  <c r="Z173" i="39"/>
  <c r="Y173" i="39"/>
  <c r="X173" i="39"/>
  <c r="V173" i="39"/>
  <c r="AO172" i="39"/>
  <c r="AN172" i="39"/>
  <c r="AM172" i="39"/>
  <c r="AL172" i="39"/>
  <c r="AK172" i="39"/>
  <c r="AJ172" i="39"/>
  <c r="AI172" i="39"/>
  <c r="AH172" i="39"/>
  <c r="AG172" i="39"/>
  <c r="AF172" i="39"/>
  <c r="AE172" i="39"/>
  <c r="AD172" i="39"/>
  <c r="AC172" i="39"/>
  <c r="AB172" i="39"/>
  <c r="AA172" i="39"/>
  <c r="Z172" i="39"/>
  <c r="Y172" i="39"/>
  <c r="X172" i="39"/>
  <c r="W172" i="39"/>
  <c r="V172" i="39"/>
  <c r="AO171" i="39"/>
  <c r="AN171" i="39"/>
  <c r="AM171" i="39"/>
  <c r="AL171" i="39"/>
  <c r="AK171" i="39"/>
  <c r="AJ171" i="39"/>
  <c r="AI171" i="39"/>
  <c r="AH171" i="39"/>
  <c r="AG171" i="39"/>
  <c r="AF171" i="39"/>
  <c r="AE171" i="39"/>
  <c r="AD171" i="39"/>
  <c r="AC171" i="39"/>
  <c r="AB171" i="39"/>
  <c r="AA171" i="39"/>
  <c r="Z171" i="39"/>
  <c r="Y171" i="39"/>
  <c r="X171" i="39"/>
  <c r="V171" i="39"/>
  <c r="AO170" i="39"/>
  <c r="AN170" i="39"/>
  <c r="AM170" i="39"/>
  <c r="AL170" i="39"/>
  <c r="AK170" i="39"/>
  <c r="AJ170" i="39"/>
  <c r="AI170" i="39"/>
  <c r="AH170" i="39"/>
  <c r="AG170" i="39"/>
  <c r="AF170" i="39"/>
  <c r="AE170" i="39"/>
  <c r="AD170" i="39"/>
  <c r="AC170" i="39"/>
  <c r="AB170" i="39"/>
  <c r="AA170" i="39"/>
  <c r="Z170" i="39"/>
  <c r="Y170" i="39"/>
  <c r="X170" i="39"/>
  <c r="V170" i="39"/>
  <c r="AO169" i="39"/>
  <c r="AN169" i="39"/>
  <c r="AM169" i="39"/>
  <c r="AL169" i="39"/>
  <c r="AK169" i="39"/>
  <c r="AJ169" i="39"/>
  <c r="AI169" i="39"/>
  <c r="AH169" i="39"/>
  <c r="AG169" i="39"/>
  <c r="AF169" i="39"/>
  <c r="AE169" i="39"/>
  <c r="AD169" i="39"/>
  <c r="AC169" i="39"/>
  <c r="AB169" i="39"/>
  <c r="AA169" i="39"/>
  <c r="Z169" i="39"/>
  <c r="Y169" i="39"/>
  <c r="X169" i="39"/>
  <c r="W169" i="39"/>
  <c r="V169" i="39"/>
  <c r="AO168" i="39"/>
  <c r="AN168" i="39"/>
  <c r="AM168" i="39"/>
  <c r="AL168" i="39"/>
  <c r="AK168" i="39"/>
  <c r="AJ168" i="39"/>
  <c r="AI168" i="39"/>
  <c r="AH168" i="39"/>
  <c r="AG168" i="39"/>
  <c r="AF168" i="39"/>
  <c r="AE168" i="39"/>
  <c r="AD168" i="39"/>
  <c r="AD95" i="39" s="1"/>
  <c r="AC168" i="39"/>
  <c r="AC95" i="39" s="1"/>
  <c r="AB168" i="39"/>
  <c r="AB95" i="39" s="1"/>
  <c r="AA168" i="39"/>
  <c r="Z168" i="39"/>
  <c r="Y168" i="39"/>
  <c r="X168" i="39"/>
  <c r="W168" i="39"/>
  <c r="W95" i="39" s="1"/>
  <c r="V168" i="39"/>
  <c r="V95" i="39" s="1"/>
  <c r="AO167" i="39"/>
  <c r="AN167" i="39"/>
  <c r="AM167" i="39"/>
  <c r="AL167" i="39"/>
  <c r="X94" i="39" s="1"/>
  <c r="AK167" i="39"/>
  <c r="AJ167" i="39"/>
  <c r="AI167" i="39"/>
  <c r="AH167" i="39"/>
  <c r="AG167" i="39"/>
  <c r="AF167" i="39"/>
  <c r="AE167" i="39"/>
  <c r="AD167" i="39"/>
  <c r="AD94" i="39" s="1"/>
  <c r="AC167" i="39"/>
  <c r="AB167" i="39"/>
  <c r="AA167" i="39"/>
  <c r="Z167" i="39"/>
  <c r="Z94" i="39" s="1"/>
  <c r="Y167" i="39"/>
  <c r="Y94" i="39" s="1"/>
  <c r="X167" i="39"/>
  <c r="W167" i="39"/>
  <c r="V167" i="39"/>
  <c r="AO166" i="39"/>
  <c r="AN166" i="39"/>
  <c r="AM166" i="39"/>
  <c r="AL166" i="39"/>
  <c r="X93" i="39" s="1"/>
  <c r="AK166" i="39"/>
  <c r="AJ166" i="39"/>
  <c r="AI166" i="39"/>
  <c r="AH166" i="39"/>
  <c r="AG166" i="39"/>
  <c r="AF166" i="39"/>
  <c r="AE166" i="39"/>
  <c r="AD166" i="39"/>
  <c r="AC166" i="39"/>
  <c r="AB166" i="39"/>
  <c r="AA166" i="39"/>
  <c r="AA93" i="39" s="1"/>
  <c r="Z166" i="39"/>
  <c r="Z93" i="39" s="1"/>
  <c r="Y166" i="39"/>
  <c r="X166" i="39"/>
  <c r="W166" i="39"/>
  <c r="V166" i="39"/>
  <c r="AO165" i="39"/>
  <c r="AN165" i="39"/>
  <c r="AM165" i="39"/>
  <c r="AL165" i="39"/>
  <c r="AK165" i="39"/>
  <c r="AJ165" i="39"/>
  <c r="AI165" i="39"/>
  <c r="AH165" i="39"/>
  <c r="AG165" i="39"/>
  <c r="AF165" i="39"/>
  <c r="AE165" i="39"/>
  <c r="AD165" i="39"/>
  <c r="AD92" i="39" s="1"/>
  <c r="AC165" i="39"/>
  <c r="AC92" i="39" s="1"/>
  <c r="AB165" i="39"/>
  <c r="AB92" i="39" s="1"/>
  <c r="AA165" i="39"/>
  <c r="Z165" i="39"/>
  <c r="Y165" i="39"/>
  <c r="X165" i="39"/>
  <c r="W165" i="39"/>
  <c r="W92" i="39" s="1"/>
  <c r="V165" i="39"/>
  <c r="V92" i="39" s="1"/>
  <c r="AO164" i="39"/>
  <c r="AN164" i="39"/>
  <c r="AM164" i="39"/>
  <c r="AL164" i="39"/>
  <c r="X91" i="39" s="1"/>
  <c r="AK164" i="39"/>
  <c r="AJ164" i="39"/>
  <c r="AI164" i="39"/>
  <c r="AH164" i="39"/>
  <c r="AG164" i="39"/>
  <c r="AF164" i="39"/>
  <c r="AE164" i="39"/>
  <c r="AD164" i="39"/>
  <c r="AD91" i="39" s="1"/>
  <c r="AC164" i="39"/>
  <c r="AB164" i="39"/>
  <c r="AA164" i="39"/>
  <c r="Z164" i="39"/>
  <c r="Z91" i="39" s="1"/>
  <c r="Y164" i="39"/>
  <c r="Y91" i="39" s="1"/>
  <c r="X164" i="39"/>
  <c r="W164" i="39"/>
  <c r="V164" i="39"/>
  <c r="AO163" i="39"/>
  <c r="AN163" i="39"/>
  <c r="AM163" i="39"/>
  <c r="AL163" i="39"/>
  <c r="X90" i="39" s="1"/>
  <c r="AK163" i="39"/>
  <c r="AJ163" i="39"/>
  <c r="AI163" i="39"/>
  <c r="AH163" i="39"/>
  <c r="AG163" i="39"/>
  <c r="AF163" i="39"/>
  <c r="AE163" i="39"/>
  <c r="AD163" i="39"/>
  <c r="AC163" i="39"/>
  <c r="AB163" i="39"/>
  <c r="AB90" i="39" s="1"/>
  <c r="AA163" i="39"/>
  <c r="AA90" i="39" s="1"/>
  <c r="Z163" i="39"/>
  <c r="Y163" i="39"/>
  <c r="X163" i="39"/>
  <c r="W163" i="39"/>
  <c r="V163" i="39"/>
  <c r="V90" i="39" s="1"/>
  <c r="AO162" i="39"/>
  <c r="AN162" i="39"/>
  <c r="AM162" i="39"/>
  <c r="AL162" i="39"/>
  <c r="AK162" i="39"/>
  <c r="AJ162" i="39"/>
  <c r="AI162" i="39"/>
  <c r="AH162" i="39"/>
  <c r="AG162" i="39"/>
  <c r="AF162" i="39"/>
  <c r="AE162" i="39"/>
  <c r="AD162" i="39"/>
  <c r="AD89" i="39" s="1"/>
  <c r="AC162" i="39"/>
  <c r="AC89" i="39" s="1"/>
  <c r="AB162" i="39"/>
  <c r="AB89" i="39" s="1"/>
  <c r="AA162" i="39"/>
  <c r="Z162" i="39"/>
  <c r="Y162" i="39"/>
  <c r="Y89" i="39" s="1"/>
  <c r="X162" i="39"/>
  <c r="W162" i="39"/>
  <c r="W89" i="39" s="1"/>
  <c r="V162" i="39"/>
  <c r="V89" i="39" s="1"/>
  <c r="AO161" i="39"/>
  <c r="AN161" i="39"/>
  <c r="AM161" i="39"/>
  <c r="AL161" i="39"/>
  <c r="AK161" i="39"/>
  <c r="AJ161" i="39"/>
  <c r="AI161" i="39"/>
  <c r="AH161" i="39"/>
  <c r="AG161" i="39"/>
  <c r="AF161" i="39"/>
  <c r="AE161" i="39"/>
  <c r="AD161" i="39"/>
  <c r="AD88" i="39" s="1"/>
  <c r="AC161" i="39"/>
  <c r="AB161" i="39"/>
  <c r="AA161" i="39"/>
  <c r="Z161" i="39"/>
  <c r="Z88" i="39" s="1"/>
  <c r="Y161" i="39"/>
  <c r="Y88" i="39" s="1"/>
  <c r="X161" i="39"/>
  <c r="W161" i="39"/>
  <c r="V161" i="39"/>
  <c r="AO160" i="39"/>
  <c r="AN160" i="39"/>
  <c r="AM160" i="39"/>
  <c r="AL160" i="39"/>
  <c r="X87" i="39" s="1"/>
  <c r="AK160" i="39"/>
  <c r="AJ160" i="39"/>
  <c r="AI160" i="39"/>
  <c r="AH160" i="39"/>
  <c r="AG160" i="39"/>
  <c r="AF160" i="39"/>
  <c r="AE160" i="39"/>
  <c r="AD160" i="39"/>
  <c r="AC160" i="39"/>
  <c r="AC87" i="39" s="1"/>
  <c r="AB160" i="39"/>
  <c r="AB87" i="39" s="1"/>
  <c r="AA160" i="39"/>
  <c r="AA87" i="39" s="1"/>
  <c r="Z160" i="39"/>
  <c r="Y160" i="39"/>
  <c r="X160" i="39"/>
  <c r="V160" i="39"/>
  <c r="V87" i="39" s="1"/>
  <c r="AO159" i="39"/>
  <c r="AN159" i="39"/>
  <c r="AM159" i="39"/>
  <c r="AL159" i="39"/>
  <c r="AK159" i="39"/>
  <c r="AJ159" i="39"/>
  <c r="AI159" i="39"/>
  <c r="AH159" i="39"/>
  <c r="AG159" i="39"/>
  <c r="AF159" i="39"/>
  <c r="AE159" i="39"/>
  <c r="AD159" i="39"/>
  <c r="AC159" i="39"/>
  <c r="AB159" i="39"/>
  <c r="AA159" i="39"/>
  <c r="Z159" i="39"/>
  <c r="Y159" i="39"/>
  <c r="X159" i="39"/>
  <c r="W159" i="39"/>
  <c r="V159" i="39"/>
  <c r="AO158" i="39"/>
  <c r="AN158" i="39"/>
  <c r="AM158" i="39"/>
  <c r="AL158" i="39"/>
  <c r="AK158" i="39"/>
  <c r="AJ158" i="39"/>
  <c r="AI158" i="39"/>
  <c r="AH158" i="39"/>
  <c r="AG158" i="39"/>
  <c r="AF158" i="39"/>
  <c r="AE158" i="39"/>
  <c r="AD158" i="39"/>
  <c r="AC158" i="39"/>
  <c r="AB158" i="39"/>
  <c r="AA158" i="39"/>
  <c r="Z158" i="39"/>
  <c r="Y158" i="39"/>
  <c r="X158" i="39"/>
  <c r="W158" i="39"/>
  <c r="V158" i="39"/>
  <c r="AO157" i="39"/>
  <c r="AN157" i="39"/>
  <c r="AM157" i="39"/>
  <c r="AL157" i="39"/>
  <c r="AK157" i="39"/>
  <c r="AJ157" i="39"/>
  <c r="AI157" i="39"/>
  <c r="AH157" i="39"/>
  <c r="AG157" i="39"/>
  <c r="AF157" i="39"/>
  <c r="AE157" i="39"/>
  <c r="AD157" i="39"/>
  <c r="AC157" i="39"/>
  <c r="AB157" i="39"/>
  <c r="AA157" i="39"/>
  <c r="Z157" i="39"/>
  <c r="Y157" i="39"/>
  <c r="X157" i="39"/>
  <c r="W157" i="39"/>
  <c r="V157" i="39"/>
  <c r="AO156" i="39"/>
  <c r="AN156" i="39"/>
  <c r="AM156" i="39"/>
  <c r="AL156" i="39"/>
  <c r="AK156" i="39"/>
  <c r="AJ156" i="39"/>
  <c r="AI156" i="39"/>
  <c r="AH156" i="39"/>
  <c r="AG156" i="39"/>
  <c r="AF156" i="39"/>
  <c r="AE156" i="39"/>
  <c r="AD156" i="39"/>
  <c r="AC156" i="39"/>
  <c r="AB156" i="39"/>
  <c r="AA156" i="39"/>
  <c r="Z156" i="39"/>
  <c r="Y156" i="39"/>
  <c r="X156" i="39"/>
  <c r="W156" i="39"/>
  <c r="V156" i="39"/>
  <c r="AO155" i="39"/>
  <c r="AN155" i="39"/>
  <c r="AM155" i="39"/>
  <c r="AL155" i="39"/>
  <c r="AK155" i="39"/>
  <c r="AJ155" i="39"/>
  <c r="AI155" i="39"/>
  <c r="AH155" i="39"/>
  <c r="AG155" i="39"/>
  <c r="AF155" i="39"/>
  <c r="AE155" i="39"/>
  <c r="AD155" i="39"/>
  <c r="AC155" i="39"/>
  <c r="AB155" i="39"/>
  <c r="AA155" i="39"/>
  <c r="Z155" i="39"/>
  <c r="Y155" i="39"/>
  <c r="X155" i="39"/>
  <c r="W155" i="39"/>
  <c r="V155" i="39"/>
  <c r="AO154" i="39"/>
  <c r="AN154" i="39"/>
  <c r="AM154" i="39"/>
  <c r="AL154" i="39"/>
  <c r="AK154" i="39"/>
  <c r="AJ154" i="39"/>
  <c r="AI154" i="39"/>
  <c r="AH154" i="39"/>
  <c r="AG154" i="39"/>
  <c r="AF154" i="39"/>
  <c r="AE154" i="39"/>
  <c r="AD154" i="39"/>
  <c r="AC154" i="39"/>
  <c r="AB154" i="39"/>
  <c r="AA154" i="39"/>
  <c r="Z154" i="39"/>
  <c r="Y154" i="39"/>
  <c r="X154" i="39"/>
  <c r="W154" i="39"/>
  <c r="V154" i="39"/>
  <c r="AO153" i="39"/>
  <c r="AN153" i="39"/>
  <c r="AM153" i="39"/>
  <c r="AL153" i="39"/>
  <c r="AK153" i="39"/>
  <c r="AJ153" i="39"/>
  <c r="AI153" i="39"/>
  <c r="AH153" i="39"/>
  <c r="AG153" i="39"/>
  <c r="AF153" i="39"/>
  <c r="AE153" i="39"/>
  <c r="AD153" i="39"/>
  <c r="AC153" i="39"/>
  <c r="AB153" i="39"/>
  <c r="AA153" i="39"/>
  <c r="Z153" i="39"/>
  <c r="Y153" i="39"/>
  <c r="X153" i="39"/>
  <c r="W153" i="39"/>
  <c r="V153" i="39"/>
  <c r="AO152" i="39"/>
  <c r="AN152" i="39"/>
  <c r="AM152" i="39"/>
  <c r="AL152" i="39"/>
  <c r="AK152" i="39"/>
  <c r="AJ152" i="39"/>
  <c r="AI152" i="39"/>
  <c r="AH152" i="39"/>
  <c r="AG152" i="39"/>
  <c r="AF152" i="39"/>
  <c r="AE152" i="39"/>
  <c r="AD152" i="39"/>
  <c r="AC152" i="39"/>
  <c r="AB152" i="39"/>
  <c r="AA152" i="39"/>
  <c r="Z152" i="39"/>
  <c r="Y152" i="39"/>
  <c r="X152" i="39"/>
  <c r="W152" i="39"/>
  <c r="V152" i="39"/>
  <c r="AO151" i="39"/>
  <c r="AN151" i="39"/>
  <c r="AM151" i="39"/>
  <c r="AL151" i="39"/>
  <c r="AK151" i="39"/>
  <c r="AJ151" i="39"/>
  <c r="AI151" i="39"/>
  <c r="AH151" i="39"/>
  <c r="AG151" i="39"/>
  <c r="AF151" i="39"/>
  <c r="AE151" i="39"/>
  <c r="AD151" i="39"/>
  <c r="AC151" i="39"/>
  <c r="AB151" i="39"/>
  <c r="AA151" i="39"/>
  <c r="Z151" i="39"/>
  <c r="Y151" i="39"/>
  <c r="X151" i="39"/>
  <c r="W151" i="39"/>
  <c r="V151" i="39"/>
  <c r="AO150" i="39"/>
  <c r="AN150" i="39"/>
  <c r="AM150" i="39"/>
  <c r="AL150" i="39"/>
  <c r="AK150" i="39"/>
  <c r="AJ150" i="39"/>
  <c r="AI150" i="39"/>
  <c r="AH150" i="39"/>
  <c r="AG150" i="39"/>
  <c r="AF150" i="39"/>
  <c r="AE150" i="39"/>
  <c r="AD150" i="39"/>
  <c r="AC150" i="39"/>
  <c r="AB150" i="39"/>
  <c r="AA150" i="39"/>
  <c r="Z150" i="39"/>
  <c r="Y150" i="39"/>
  <c r="X150" i="39"/>
  <c r="W150" i="39"/>
  <c r="V150" i="39"/>
  <c r="AO149" i="39"/>
  <c r="AN149" i="39"/>
  <c r="AM149" i="39"/>
  <c r="AL149" i="39"/>
  <c r="AK149" i="39"/>
  <c r="AJ149" i="39"/>
  <c r="AI149" i="39"/>
  <c r="AH149" i="39"/>
  <c r="AG149" i="39"/>
  <c r="AF149" i="39"/>
  <c r="AE149" i="39"/>
  <c r="AD149" i="39"/>
  <c r="AC149" i="39"/>
  <c r="AB149" i="39"/>
  <c r="AA149" i="39"/>
  <c r="Z149" i="39"/>
  <c r="Y149" i="39"/>
  <c r="X149" i="39"/>
  <c r="V149" i="39"/>
  <c r="AO148" i="39"/>
  <c r="AN148" i="39"/>
  <c r="AM148" i="39"/>
  <c r="AL148" i="39"/>
  <c r="AK148" i="39"/>
  <c r="AJ148" i="39"/>
  <c r="AI148" i="39"/>
  <c r="AH148" i="39"/>
  <c r="AG148" i="39"/>
  <c r="AF148" i="39"/>
  <c r="AE148" i="39"/>
  <c r="AD148" i="39"/>
  <c r="AC148" i="39"/>
  <c r="AB148" i="39"/>
  <c r="AA148" i="39"/>
  <c r="Z148" i="39"/>
  <c r="Y148" i="39"/>
  <c r="X148" i="39"/>
  <c r="V148" i="39"/>
  <c r="AO147" i="39"/>
  <c r="AN147" i="39"/>
  <c r="AM147" i="39"/>
  <c r="AL147" i="39"/>
  <c r="AK147" i="39"/>
  <c r="AJ147" i="39"/>
  <c r="AI147" i="39"/>
  <c r="AH147" i="39"/>
  <c r="AG147" i="39"/>
  <c r="AF147" i="39"/>
  <c r="AE147" i="39"/>
  <c r="AD147" i="39"/>
  <c r="AC147" i="39"/>
  <c r="AB147" i="39"/>
  <c r="AA147" i="39"/>
  <c r="Z147" i="39"/>
  <c r="Y147" i="39"/>
  <c r="X147" i="39"/>
  <c r="V147" i="39"/>
  <c r="AO146" i="39"/>
  <c r="AN146" i="39"/>
  <c r="AM146" i="39"/>
  <c r="AL146" i="39"/>
  <c r="AK146" i="39"/>
  <c r="AJ146" i="39"/>
  <c r="AI146" i="39"/>
  <c r="AH146" i="39"/>
  <c r="AG146" i="39"/>
  <c r="AF146" i="39"/>
  <c r="AE146" i="39"/>
  <c r="AD146" i="39"/>
  <c r="AC146" i="39"/>
  <c r="AB146" i="39"/>
  <c r="AA146" i="39"/>
  <c r="Z146" i="39"/>
  <c r="Y146" i="39"/>
  <c r="X146" i="39"/>
  <c r="V146" i="39"/>
  <c r="AO145" i="39"/>
  <c r="AN145" i="39"/>
  <c r="AM145" i="39"/>
  <c r="AL145" i="39"/>
  <c r="AK145" i="39"/>
  <c r="AJ145" i="39"/>
  <c r="AI145" i="39"/>
  <c r="AH145" i="39"/>
  <c r="AG145" i="39"/>
  <c r="AF145" i="39"/>
  <c r="AE145" i="39"/>
  <c r="AD145" i="39"/>
  <c r="AC145" i="39"/>
  <c r="AB145" i="39"/>
  <c r="AA145" i="39"/>
  <c r="Z145" i="39"/>
  <c r="Y145" i="39"/>
  <c r="X145" i="39"/>
  <c r="W145" i="39"/>
  <c r="V145" i="39"/>
  <c r="AO144" i="39"/>
  <c r="AN144" i="39"/>
  <c r="AM144" i="39"/>
  <c r="AL144" i="39"/>
  <c r="AK144" i="39"/>
  <c r="AJ144" i="39"/>
  <c r="AI144" i="39"/>
  <c r="AH144" i="39"/>
  <c r="AG144" i="39"/>
  <c r="AF144" i="39"/>
  <c r="AE144" i="39"/>
  <c r="AD144" i="39"/>
  <c r="AC144" i="39"/>
  <c r="AB144" i="39"/>
  <c r="AA144" i="39"/>
  <c r="Z144" i="39"/>
  <c r="Y144" i="39"/>
  <c r="X144" i="39"/>
  <c r="W144" i="39"/>
  <c r="V144" i="39"/>
  <c r="AO143" i="39"/>
  <c r="AN143" i="39"/>
  <c r="AM143" i="39"/>
  <c r="AL143" i="39"/>
  <c r="AK143" i="39"/>
  <c r="AJ143" i="39"/>
  <c r="AI143" i="39"/>
  <c r="AH143" i="39"/>
  <c r="AG143" i="39"/>
  <c r="AF143" i="39"/>
  <c r="AE143" i="39"/>
  <c r="AD143" i="39"/>
  <c r="AC143" i="39"/>
  <c r="AB143" i="39"/>
  <c r="AA143" i="39"/>
  <c r="Z143" i="39"/>
  <c r="Y143" i="39"/>
  <c r="X143" i="39"/>
  <c r="W143" i="39"/>
  <c r="V143" i="39"/>
  <c r="Q143" i="39"/>
  <c r="AO142" i="39"/>
  <c r="AN142" i="39"/>
  <c r="AM142" i="39"/>
  <c r="AL142" i="39"/>
  <c r="AK142" i="39"/>
  <c r="AJ142" i="39"/>
  <c r="AI142" i="39"/>
  <c r="AH142" i="39"/>
  <c r="AG142" i="39"/>
  <c r="AF142" i="39"/>
  <c r="AE142" i="39"/>
  <c r="AD142" i="39"/>
  <c r="AC142" i="39"/>
  <c r="AB142" i="39"/>
  <c r="AA142" i="39"/>
  <c r="Z142" i="39"/>
  <c r="Y142" i="39"/>
  <c r="X142" i="39"/>
  <c r="W142" i="39"/>
  <c r="V142" i="39"/>
  <c r="Q142" i="39"/>
  <c r="AO141" i="39"/>
  <c r="AN141" i="39"/>
  <c r="AM141" i="39"/>
  <c r="AL141" i="39"/>
  <c r="AK141" i="39"/>
  <c r="AJ141" i="39"/>
  <c r="AI141" i="39"/>
  <c r="AH141" i="39"/>
  <c r="AG141" i="39"/>
  <c r="AF141" i="39"/>
  <c r="AE141" i="39"/>
  <c r="AD141" i="39"/>
  <c r="AC141" i="39"/>
  <c r="AB141" i="39"/>
  <c r="AA141" i="39"/>
  <c r="Z141" i="39"/>
  <c r="Y141" i="39"/>
  <c r="X141" i="39"/>
  <c r="W141" i="39"/>
  <c r="V141" i="39"/>
  <c r="Q141" i="39"/>
  <c r="AO140" i="39"/>
  <c r="AN140" i="39"/>
  <c r="AM140" i="39"/>
  <c r="AL140" i="39"/>
  <c r="AK140" i="39"/>
  <c r="AJ140" i="39"/>
  <c r="AI140" i="39"/>
  <c r="AH140" i="39"/>
  <c r="AG140" i="39"/>
  <c r="AF140" i="39"/>
  <c r="AE140" i="39"/>
  <c r="AD140" i="39"/>
  <c r="AC140" i="39"/>
  <c r="AB140" i="39"/>
  <c r="AA140" i="39"/>
  <c r="Z140" i="39"/>
  <c r="Y140" i="39"/>
  <c r="X140" i="39"/>
  <c r="W140" i="39"/>
  <c r="V140" i="39"/>
  <c r="Q140" i="39"/>
  <c r="AO139" i="39"/>
  <c r="AN139" i="39"/>
  <c r="AM139" i="39"/>
  <c r="AL139" i="39"/>
  <c r="AK139" i="39"/>
  <c r="AJ139" i="39"/>
  <c r="AI139" i="39"/>
  <c r="AH139" i="39"/>
  <c r="AG139" i="39"/>
  <c r="AF139" i="39"/>
  <c r="AE139" i="39"/>
  <c r="AD139" i="39"/>
  <c r="AC139" i="39"/>
  <c r="AB139" i="39"/>
  <c r="AA139" i="39"/>
  <c r="Z139" i="39"/>
  <c r="Y139" i="39"/>
  <c r="X139" i="39"/>
  <c r="W139" i="39"/>
  <c r="V139" i="39"/>
  <c r="Q139" i="39"/>
  <c r="AO138" i="39"/>
  <c r="AN138" i="39"/>
  <c r="AM138" i="39"/>
  <c r="AL138" i="39"/>
  <c r="AK138" i="39"/>
  <c r="AJ138" i="39"/>
  <c r="AI138" i="39"/>
  <c r="AH138" i="39"/>
  <c r="AG138" i="39"/>
  <c r="AF138" i="39"/>
  <c r="AE138" i="39"/>
  <c r="AD138" i="39"/>
  <c r="AC138" i="39"/>
  <c r="AB138" i="39"/>
  <c r="AA138" i="39"/>
  <c r="Z138" i="39"/>
  <c r="Y138" i="39"/>
  <c r="X138" i="39"/>
  <c r="W138" i="39"/>
  <c r="V138" i="39"/>
  <c r="Q138" i="39"/>
  <c r="AO137" i="39"/>
  <c r="AN137" i="39"/>
  <c r="AM137" i="39"/>
  <c r="AL137" i="39"/>
  <c r="AK137" i="39"/>
  <c r="AJ137" i="39"/>
  <c r="AI137" i="39"/>
  <c r="AH137" i="39"/>
  <c r="AG137" i="39"/>
  <c r="AF137" i="39"/>
  <c r="AE137" i="39"/>
  <c r="AD137" i="39"/>
  <c r="AC137" i="39"/>
  <c r="AB137" i="39"/>
  <c r="AA137" i="39"/>
  <c r="Z137" i="39"/>
  <c r="Y137" i="39"/>
  <c r="X137" i="39"/>
  <c r="W137" i="39"/>
  <c r="V137" i="39"/>
  <c r="Q137" i="39"/>
  <c r="AO136" i="39"/>
  <c r="AN136" i="39"/>
  <c r="AM136" i="39"/>
  <c r="AL136" i="39"/>
  <c r="AK136" i="39"/>
  <c r="AJ136" i="39"/>
  <c r="AI136" i="39"/>
  <c r="AH136" i="39"/>
  <c r="AG136" i="39"/>
  <c r="AF136" i="39"/>
  <c r="AE136" i="39"/>
  <c r="AD136" i="39"/>
  <c r="AC136" i="39"/>
  <c r="AB136" i="39"/>
  <c r="AA136" i="39"/>
  <c r="Z136" i="39"/>
  <c r="Y136" i="39"/>
  <c r="X136" i="39"/>
  <c r="W136" i="39"/>
  <c r="V136" i="39"/>
  <c r="Q136" i="39"/>
  <c r="AO135" i="39"/>
  <c r="AN135" i="39"/>
  <c r="AM135" i="39"/>
  <c r="AL135" i="39"/>
  <c r="AK135" i="39"/>
  <c r="AJ135" i="39"/>
  <c r="AI135" i="39"/>
  <c r="AH135" i="39"/>
  <c r="AG135" i="39"/>
  <c r="AF135" i="39"/>
  <c r="AE135" i="39"/>
  <c r="AD135" i="39"/>
  <c r="AC135" i="39"/>
  <c r="AB135" i="39"/>
  <c r="AA135" i="39"/>
  <c r="Z135" i="39"/>
  <c r="Y135" i="39"/>
  <c r="X135" i="39"/>
  <c r="W135" i="39"/>
  <c r="V135" i="39"/>
  <c r="Q135" i="39"/>
  <c r="AO134" i="39"/>
  <c r="AN134" i="39"/>
  <c r="AM134" i="39"/>
  <c r="AL134" i="39"/>
  <c r="AK134" i="39"/>
  <c r="AJ134" i="39"/>
  <c r="AI134" i="39"/>
  <c r="AH134" i="39"/>
  <c r="AG134" i="39"/>
  <c r="AF134" i="39"/>
  <c r="AE134" i="39"/>
  <c r="AD134" i="39"/>
  <c r="AC134" i="39"/>
  <c r="AB134" i="39"/>
  <c r="AA134" i="39"/>
  <c r="Z134" i="39"/>
  <c r="Y134" i="39"/>
  <c r="X134" i="39"/>
  <c r="W134" i="39"/>
  <c r="V134" i="39"/>
  <c r="Q134" i="39"/>
  <c r="AO133" i="39"/>
  <c r="AN133" i="39"/>
  <c r="AM133" i="39"/>
  <c r="AL133" i="39"/>
  <c r="AK133" i="39"/>
  <c r="AJ133" i="39"/>
  <c r="AI133" i="39"/>
  <c r="AH133" i="39"/>
  <c r="AG133" i="39"/>
  <c r="AF133" i="39"/>
  <c r="AE133" i="39"/>
  <c r="AD133" i="39"/>
  <c r="AC133" i="39"/>
  <c r="AB133" i="39"/>
  <c r="AA133" i="39"/>
  <c r="Z133" i="39"/>
  <c r="Y133" i="39"/>
  <c r="X133" i="39"/>
  <c r="W133" i="39"/>
  <c r="V133" i="39"/>
  <c r="Q133" i="39"/>
  <c r="AO132" i="39"/>
  <c r="AN132" i="39"/>
  <c r="AM132" i="39"/>
  <c r="AL132" i="39"/>
  <c r="AK132" i="39"/>
  <c r="AJ132" i="39"/>
  <c r="AI132" i="39"/>
  <c r="AH132" i="39"/>
  <c r="AG132" i="39"/>
  <c r="AF132" i="39"/>
  <c r="AE132" i="39"/>
  <c r="AD132" i="39"/>
  <c r="AC132" i="39"/>
  <c r="AB132" i="39"/>
  <c r="AA132" i="39"/>
  <c r="Z132" i="39"/>
  <c r="Y132" i="39"/>
  <c r="X132" i="39"/>
  <c r="W132" i="39"/>
  <c r="V132" i="39"/>
  <c r="Q132" i="39"/>
  <c r="AO131" i="39"/>
  <c r="AN131" i="39"/>
  <c r="AM131" i="39"/>
  <c r="AL131" i="39"/>
  <c r="AK131" i="39"/>
  <c r="AJ131" i="39"/>
  <c r="AI131" i="39"/>
  <c r="AH131" i="39"/>
  <c r="AG131" i="39"/>
  <c r="AF131" i="39"/>
  <c r="AE131" i="39"/>
  <c r="AD131" i="39"/>
  <c r="AC131" i="39"/>
  <c r="AB131" i="39"/>
  <c r="AA131" i="39"/>
  <c r="Z131" i="39"/>
  <c r="Y131" i="39"/>
  <c r="X131" i="39"/>
  <c r="W131" i="39"/>
  <c r="V131" i="39"/>
  <c r="Q131" i="39"/>
  <c r="AO130" i="39"/>
  <c r="AN130" i="39"/>
  <c r="AM130" i="39"/>
  <c r="AL130" i="39"/>
  <c r="AK130" i="39"/>
  <c r="AJ130" i="39"/>
  <c r="AI130" i="39"/>
  <c r="AH130" i="39"/>
  <c r="AG130" i="39"/>
  <c r="AF130" i="39"/>
  <c r="AE130" i="39"/>
  <c r="AD130" i="39"/>
  <c r="AC130" i="39"/>
  <c r="AB130" i="39"/>
  <c r="AA130" i="39"/>
  <c r="Z130" i="39"/>
  <c r="Y130" i="39"/>
  <c r="X130" i="39"/>
  <c r="W130" i="39"/>
  <c r="V130" i="39"/>
  <c r="Q130" i="39"/>
  <c r="AO129" i="39"/>
  <c r="AN129" i="39"/>
  <c r="AM129" i="39"/>
  <c r="AL129" i="39"/>
  <c r="AK129" i="39"/>
  <c r="AJ129" i="39"/>
  <c r="AI129" i="39"/>
  <c r="AH129" i="39"/>
  <c r="AG129" i="39"/>
  <c r="AF129" i="39"/>
  <c r="AE129" i="39"/>
  <c r="AD129" i="39"/>
  <c r="AC129" i="39"/>
  <c r="AB129" i="39"/>
  <c r="AA129" i="39"/>
  <c r="Z129" i="39"/>
  <c r="Y129" i="39"/>
  <c r="X129" i="39"/>
  <c r="W129" i="39"/>
  <c r="V129" i="39"/>
  <c r="Q129" i="39"/>
  <c r="AO128" i="39"/>
  <c r="AN128" i="39"/>
  <c r="AM128" i="39"/>
  <c r="AL128" i="39"/>
  <c r="AK128" i="39"/>
  <c r="AJ128" i="39"/>
  <c r="AI128" i="39"/>
  <c r="AH128" i="39"/>
  <c r="AG128" i="39"/>
  <c r="AF128" i="39"/>
  <c r="AE128" i="39"/>
  <c r="AD128" i="39"/>
  <c r="AC128" i="39"/>
  <c r="AB128" i="39"/>
  <c r="AA128" i="39"/>
  <c r="Z128" i="39"/>
  <c r="Y128" i="39"/>
  <c r="X128" i="39"/>
  <c r="V128" i="39"/>
  <c r="Q128" i="39"/>
  <c r="AO127" i="39"/>
  <c r="AN127" i="39"/>
  <c r="AM127" i="39"/>
  <c r="AL127" i="39"/>
  <c r="AK127" i="39"/>
  <c r="AJ127" i="39"/>
  <c r="AI127" i="39"/>
  <c r="AH127" i="39"/>
  <c r="AG127" i="39"/>
  <c r="AF127" i="39"/>
  <c r="AE127" i="39"/>
  <c r="AD127" i="39"/>
  <c r="AC127" i="39"/>
  <c r="AB127" i="39"/>
  <c r="AA127" i="39"/>
  <c r="Z127" i="39"/>
  <c r="Y127" i="39"/>
  <c r="X127" i="39"/>
  <c r="V127" i="39"/>
  <c r="Q127" i="39"/>
  <c r="AO126" i="39"/>
  <c r="AN126" i="39"/>
  <c r="AM126" i="39"/>
  <c r="AL126" i="39"/>
  <c r="AK126" i="39"/>
  <c r="AJ126" i="39"/>
  <c r="AI126" i="39"/>
  <c r="AH126" i="39"/>
  <c r="AG126" i="39"/>
  <c r="AF126" i="39"/>
  <c r="AE126" i="39"/>
  <c r="AD126" i="39"/>
  <c r="AC126" i="39"/>
  <c r="AB126" i="39"/>
  <c r="AA126" i="39"/>
  <c r="Z126" i="39"/>
  <c r="Y126" i="39"/>
  <c r="X126" i="39"/>
  <c r="V126" i="39"/>
  <c r="Q126" i="39"/>
  <c r="AO125" i="39"/>
  <c r="AN125" i="39"/>
  <c r="AM125" i="39"/>
  <c r="AL125" i="39"/>
  <c r="AK125" i="39"/>
  <c r="AJ125" i="39"/>
  <c r="AI125" i="39"/>
  <c r="AH125" i="39"/>
  <c r="AG125" i="39"/>
  <c r="AF125" i="39"/>
  <c r="AE125" i="39"/>
  <c r="AD125" i="39"/>
  <c r="AC125" i="39"/>
  <c r="AB125" i="39"/>
  <c r="AA125" i="39"/>
  <c r="Z125" i="39"/>
  <c r="Y125" i="39"/>
  <c r="X125" i="39"/>
  <c r="V125" i="39"/>
  <c r="Q125" i="39"/>
  <c r="AO124" i="39"/>
  <c r="AN124" i="39"/>
  <c r="AM124" i="39"/>
  <c r="AL124" i="39"/>
  <c r="AK124" i="39"/>
  <c r="AJ124" i="39"/>
  <c r="AI124" i="39"/>
  <c r="AH124" i="39"/>
  <c r="AG124" i="39"/>
  <c r="AF124" i="39"/>
  <c r="AE124" i="39"/>
  <c r="AD124" i="39"/>
  <c r="AC124" i="39"/>
  <c r="AB124" i="39"/>
  <c r="AA124" i="39"/>
  <c r="Z124" i="39"/>
  <c r="Y124" i="39"/>
  <c r="X124" i="39"/>
  <c r="V124" i="39"/>
  <c r="Q124" i="39"/>
  <c r="AO123" i="39"/>
  <c r="AN123" i="39"/>
  <c r="AM123" i="39"/>
  <c r="AL123" i="39"/>
  <c r="AK123" i="39"/>
  <c r="AJ123" i="39"/>
  <c r="AI123" i="39"/>
  <c r="AH123" i="39"/>
  <c r="AG123" i="39"/>
  <c r="AF123" i="39"/>
  <c r="AE123" i="39"/>
  <c r="AD123" i="39"/>
  <c r="AC123" i="39"/>
  <c r="AB123" i="39"/>
  <c r="AA123" i="39"/>
  <c r="Z123" i="39"/>
  <c r="Y123" i="39"/>
  <c r="X123" i="39"/>
  <c r="W123" i="39"/>
  <c r="V123" i="39"/>
  <c r="Q123" i="39"/>
  <c r="AO122" i="39"/>
  <c r="AN122" i="39"/>
  <c r="AM122" i="39"/>
  <c r="AL122" i="39"/>
  <c r="AK122" i="39"/>
  <c r="AJ122" i="39"/>
  <c r="AI122" i="39"/>
  <c r="AH122" i="39"/>
  <c r="AG122" i="39"/>
  <c r="AF122" i="39"/>
  <c r="AE122" i="39"/>
  <c r="AD122" i="39"/>
  <c r="AC122" i="39"/>
  <c r="AB122" i="39"/>
  <c r="AA122" i="39"/>
  <c r="Z122" i="39"/>
  <c r="Y122" i="39"/>
  <c r="X122" i="39"/>
  <c r="V122" i="39"/>
  <c r="Q122" i="39"/>
  <c r="AO121" i="39"/>
  <c r="AN121" i="39"/>
  <c r="AM121" i="39"/>
  <c r="AL121" i="39"/>
  <c r="AK121" i="39"/>
  <c r="AJ121" i="39"/>
  <c r="AI121" i="39"/>
  <c r="AH121" i="39"/>
  <c r="AG121" i="39"/>
  <c r="AF121" i="39"/>
  <c r="AE121" i="39"/>
  <c r="AD121" i="39"/>
  <c r="AC121" i="39"/>
  <c r="AB121" i="39"/>
  <c r="AA121" i="39"/>
  <c r="Z121" i="39"/>
  <c r="Y121" i="39"/>
  <c r="X121" i="39"/>
  <c r="V121" i="39"/>
  <c r="Q121" i="39"/>
  <c r="AO120" i="39"/>
  <c r="AN120" i="39"/>
  <c r="AM120" i="39"/>
  <c r="AL120" i="39"/>
  <c r="AK120" i="39"/>
  <c r="AJ120" i="39"/>
  <c r="AI120" i="39"/>
  <c r="AH120" i="39"/>
  <c r="AG120" i="39"/>
  <c r="AF120" i="39"/>
  <c r="AE120" i="39"/>
  <c r="AD120" i="39"/>
  <c r="AC120" i="39"/>
  <c r="AB120" i="39"/>
  <c r="AA120" i="39"/>
  <c r="Z120" i="39"/>
  <c r="Y120" i="39"/>
  <c r="X120" i="39"/>
  <c r="W120" i="39"/>
  <c r="V120" i="39"/>
  <c r="Q120" i="39"/>
  <c r="AO119" i="39"/>
  <c r="AN119" i="39"/>
  <c r="AM119" i="39"/>
  <c r="AL119" i="39"/>
  <c r="AK119" i="39"/>
  <c r="AJ119" i="39"/>
  <c r="AI119" i="39"/>
  <c r="AH119" i="39"/>
  <c r="AG119" i="39"/>
  <c r="AF119" i="39"/>
  <c r="AE119" i="39"/>
  <c r="AD119" i="39"/>
  <c r="AC119" i="39"/>
  <c r="AB119" i="39"/>
  <c r="AA119" i="39"/>
  <c r="Z119" i="39"/>
  <c r="Y119" i="39"/>
  <c r="X119" i="39"/>
  <c r="V119" i="39"/>
  <c r="Q119" i="39"/>
  <c r="AO118" i="39"/>
  <c r="AN118" i="39"/>
  <c r="AM118" i="39"/>
  <c r="AL118" i="39"/>
  <c r="AK118" i="39"/>
  <c r="AJ118" i="39"/>
  <c r="AI118" i="39"/>
  <c r="AH118" i="39"/>
  <c r="AG118" i="39"/>
  <c r="AF118" i="39"/>
  <c r="AE118" i="39"/>
  <c r="AD118" i="39"/>
  <c r="AC118" i="39"/>
  <c r="AB118" i="39"/>
  <c r="AA118" i="39"/>
  <c r="Z118" i="39"/>
  <c r="Y118" i="39"/>
  <c r="X118" i="39"/>
  <c r="V118" i="39"/>
  <c r="Q118" i="39"/>
  <c r="AO117" i="39"/>
  <c r="AN117" i="39"/>
  <c r="AM117" i="39"/>
  <c r="AL117" i="39"/>
  <c r="AK117" i="39"/>
  <c r="AJ117" i="39"/>
  <c r="AI117" i="39"/>
  <c r="AH117" i="39"/>
  <c r="AG117" i="39"/>
  <c r="AF117" i="39"/>
  <c r="AE117" i="39"/>
  <c r="AD117" i="39"/>
  <c r="AC117" i="39"/>
  <c r="AB117" i="39"/>
  <c r="AA117" i="39"/>
  <c r="Z117" i="39"/>
  <c r="Y117" i="39"/>
  <c r="X117" i="39"/>
  <c r="V117" i="39"/>
  <c r="Q117" i="39"/>
  <c r="AO116" i="39"/>
  <c r="AN116" i="39"/>
  <c r="AM116" i="39"/>
  <c r="AL116" i="39"/>
  <c r="AK116" i="39"/>
  <c r="AJ116" i="39"/>
  <c r="AI116" i="39"/>
  <c r="AH116" i="39"/>
  <c r="AG116" i="39"/>
  <c r="AF116" i="39"/>
  <c r="AE116" i="39"/>
  <c r="AD116" i="39"/>
  <c r="AC116" i="39"/>
  <c r="AB116" i="39"/>
  <c r="AA116" i="39"/>
  <c r="Z116" i="39"/>
  <c r="Y116" i="39"/>
  <c r="X116" i="39"/>
  <c r="V116" i="39"/>
  <c r="AO115" i="39"/>
  <c r="AN115" i="39"/>
  <c r="AM115" i="39"/>
  <c r="AL115" i="39"/>
  <c r="AK115" i="39"/>
  <c r="AJ115" i="39"/>
  <c r="AI115" i="39"/>
  <c r="AH115" i="39"/>
  <c r="AG115" i="39"/>
  <c r="AF115" i="39"/>
  <c r="AE115" i="39"/>
  <c r="AD115" i="39"/>
  <c r="AC115" i="39"/>
  <c r="AB115" i="39"/>
  <c r="AA115" i="39"/>
  <c r="Z115" i="39"/>
  <c r="Y115" i="39"/>
  <c r="X115" i="39"/>
  <c r="W115" i="39"/>
  <c r="V115" i="39"/>
  <c r="AO114" i="39"/>
  <c r="AN114" i="39"/>
  <c r="AM114" i="39"/>
  <c r="AL114" i="39"/>
  <c r="AK114" i="39"/>
  <c r="AJ114" i="39"/>
  <c r="AI114" i="39"/>
  <c r="AH114" i="39"/>
  <c r="AG114" i="39"/>
  <c r="AF114" i="39"/>
  <c r="AE114" i="39"/>
  <c r="AD114" i="39"/>
  <c r="AC114" i="39"/>
  <c r="AB114" i="39"/>
  <c r="AA114" i="39"/>
  <c r="Z114" i="39"/>
  <c r="Y114" i="39"/>
  <c r="X114" i="39"/>
  <c r="W114" i="39"/>
  <c r="V114" i="39"/>
  <c r="AO113" i="39"/>
  <c r="AN113" i="39"/>
  <c r="AM113" i="39"/>
  <c r="AL113" i="39"/>
  <c r="AK113" i="39"/>
  <c r="AJ113" i="39"/>
  <c r="AI113" i="39"/>
  <c r="AH113" i="39"/>
  <c r="AG113" i="39"/>
  <c r="AF113" i="39"/>
  <c r="AE113" i="39"/>
  <c r="AD113" i="39"/>
  <c r="AC113" i="39"/>
  <c r="AB113" i="39"/>
  <c r="AA113" i="39"/>
  <c r="Z113" i="39"/>
  <c r="Y113" i="39"/>
  <c r="X113" i="39"/>
  <c r="W113" i="39"/>
  <c r="V113" i="39"/>
  <c r="AO112" i="39"/>
  <c r="AN112" i="39"/>
  <c r="AM112" i="39"/>
  <c r="AL112" i="39"/>
  <c r="AK112" i="39"/>
  <c r="AJ112" i="39"/>
  <c r="AI112" i="39"/>
  <c r="AH112" i="39"/>
  <c r="AG112" i="39"/>
  <c r="AF112" i="39"/>
  <c r="AE112" i="39"/>
  <c r="AD112" i="39"/>
  <c r="AC112" i="39"/>
  <c r="AB112" i="39"/>
  <c r="AA112" i="39"/>
  <c r="Z112" i="39"/>
  <c r="Y112" i="39"/>
  <c r="X112" i="39"/>
  <c r="V112" i="39"/>
  <c r="AO111" i="39"/>
  <c r="AN111" i="39"/>
  <c r="AM111" i="39"/>
  <c r="AL111" i="39"/>
  <c r="AK111" i="39"/>
  <c r="AJ111" i="39"/>
  <c r="AI111" i="39"/>
  <c r="AH111" i="39"/>
  <c r="AG111" i="39"/>
  <c r="AF111" i="39"/>
  <c r="AE111" i="39"/>
  <c r="AD111" i="39"/>
  <c r="AC111" i="39"/>
  <c r="AB111" i="39"/>
  <c r="AA111" i="39"/>
  <c r="Z111" i="39"/>
  <c r="Y111" i="39"/>
  <c r="X111" i="39"/>
  <c r="V111" i="39"/>
  <c r="AO110" i="39"/>
  <c r="AN110" i="39"/>
  <c r="AM110" i="39"/>
  <c r="AL110" i="39"/>
  <c r="AK110" i="39"/>
  <c r="AJ110" i="39"/>
  <c r="AI110" i="39"/>
  <c r="AH110" i="39"/>
  <c r="AG110" i="39"/>
  <c r="AF110" i="39"/>
  <c r="AE110" i="39"/>
  <c r="AD110" i="39"/>
  <c r="AC110" i="39"/>
  <c r="AB110" i="39"/>
  <c r="AA110" i="39"/>
  <c r="Z110" i="39"/>
  <c r="Y110" i="39"/>
  <c r="X110" i="39"/>
  <c r="V110" i="39"/>
  <c r="AO109" i="39"/>
  <c r="AN109" i="39"/>
  <c r="AM109" i="39"/>
  <c r="AL109" i="39"/>
  <c r="AK109" i="39"/>
  <c r="AJ109" i="39"/>
  <c r="AI109" i="39"/>
  <c r="AH109" i="39"/>
  <c r="AG109" i="39"/>
  <c r="AF109" i="39"/>
  <c r="AE109" i="39"/>
  <c r="AD109" i="39"/>
  <c r="AC109" i="39"/>
  <c r="AB109" i="39"/>
  <c r="AA109" i="39"/>
  <c r="Z109" i="39"/>
  <c r="Y109" i="39"/>
  <c r="X109" i="39"/>
  <c r="V109" i="39"/>
  <c r="AO108" i="39"/>
  <c r="AN108" i="39"/>
  <c r="AM108" i="39"/>
  <c r="AL108" i="39"/>
  <c r="AK108" i="39"/>
  <c r="AJ108" i="39"/>
  <c r="AI108" i="39"/>
  <c r="AH108" i="39"/>
  <c r="AG108" i="39"/>
  <c r="AF108" i="39"/>
  <c r="AE108" i="39"/>
  <c r="AD108" i="39"/>
  <c r="AC108" i="39"/>
  <c r="AB108" i="39"/>
  <c r="AA108" i="39"/>
  <c r="Z108" i="39"/>
  <c r="Y108" i="39"/>
  <c r="X108" i="39"/>
  <c r="V108" i="39"/>
  <c r="AO107" i="39"/>
  <c r="AN107" i="39"/>
  <c r="AM107" i="39"/>
  <c r="AL107" i="39"/>
  <c r="AK107" i="39"/>
  <c r="AJ107" i="39"/>
  <c r="AI107" i="39"/>
  <c r="AH107" i="39"/>
  <c r="AG107" i="39"/>
  <c r="AF107" i="39"/>
  <c r="AE107" i="39"/>
  <c r="AD107" i="39"/>
  <c r="AC107" i="39"/>
  <c r="AB107" i="39"/>
  <c r="AA107" i="39"/>
  <c r="Z107" i="39"/>
  <c r="Y107" i="39"/>
  <c r="X107" i="39"/>
  <c r="V107" i="39"/>
  <c r="AO106" i="39"/>
  <c r="AN106" i="39"/>
  <c r="AM106" i="39"/>
  <c r="AL106" i="39"/>
  <c r="AK106" i="39"/>
  <c r="AJ106" i="39"/>
  <c r="AI106" i="39"/>
  <c r="AH106" i="39"/>
  <c r="AG106" i="39"/>
  <c r="AF106" i="39"/>
  <c r="AE106" i="39"/>
  <c r="AD106" i="39"/>
  <c r="AC106" i="39"/>
  <c r="AB106" i="39"/>
  <c r="AA106" i="39"/>
  <c r="Z106" i="39"/>
  <c r="Y106" i="39"/>
  <c r="X106" i="39"/>
  <c r="V106" i="39"/>
  <c r="AO105" i="39"/>
  <c r="AN105" i="39"/>
  <c r="AM105" i="39"/>
  <c r="AL105" i="39"/>
  <c r="AK105" i="39"/>
  <c r="AJ105" i="39"/>
  <c r="AI105" i="39"/>
  <c r="AH105" i="39"/>
  <c r="AG105" i="39"/>
  <c r="AF105" i="39"/>
  <c r="AE105" i="39"/>
  <c r="AD105" i="39"/>
  <c r="AC105" i="39"/>
  <c r="AB105" i="39"/>
  <c r="AA105" i="39"/>
  <c r="Z105" i="39"/>
  <c r="Y105" i="39"/>
  <c r="X105" i="39"/>
  <c r="V105" i="39"/>
  <c r="AO104" i="39"/>
  <c r="AN104" i="39"/>
  <c r="AM104" i="39"/>
  <c r="AL104" i="39"/>
  <c r="AK104" i="39"/>
  <c r="AJ104" i="39"/>
  <c r="AI104" i="39"/>
  <c r="AH104" i="39"/>
  <c r="AG104" i="39"/>
  <c r="AF104" i="39"/>
  <c r="AE104" i="39"/>
  <c r="AD104" i="39"/>
  <c r="AC104" i="39"/>
  <c r="AB104" i="39"/>
  <c r="AA104" i="39"/>
  <c r="Z104" i="39"/>
  <c r="Y104" i="39"/>
  <c r="X104" i="39"/>
  <c r="W104" i="39"/>
  <c r="V104" i="39"/>
  <c r="AO103" i="39"/>
  <c r="AN103" i="39"/>
  <c r="AM103" i="39"/>
  <c r="AL103" i="39"/>
  <c r="AK103" i="39"/>
  <c r="AJ103" i="39"/>
  <c r="AI103" i="39"/>
  <c r="AH103" i="39"/>
  <c r="AG103" i="39"/>
  <c r="AF103" i="39"/>
  <c r="AE103" i="39"/>
  <c r="AD103" i="39"/>
  <c r="AC103" i="39"/>
  <c r="AB103" i="39"/>
  <c r="AA103" i="39"/>
  <c r="Z103" i="39"/>
  <c r="Y103" i="39"/>
  <c r="X103" i="39"/>
  <c r="V103" i="39"/>
  <c r="AO102" i="39"/>
  <c r="AN102" i="39"/>
  <c r="AM102" i="39"/>
  <c r="AL102" i="39"/>
  <c r="AK102" i="39"/>
  <c r="AJ102" i="39"/>
  <c r="AI102" i="39"/>
  <c r="AH102" i="39"/>
  <c r="AG102" i="39"/>
  <c r="AF102" i="39"/>
  <c r="AE102" i="39"/>
  <c r="AD102" i="39"/>
  <c r="AC102" i="39"/>
  <c r="AB102" i="39"/>
  <c r="AA102" i="39"/>
  <c r="Z102" i="39"/>
  <c r="Y102" i="39"/>
  <c r="X102" i="39"/>
  <c r="W102" i="39"/>
  <c r="V102" i="39"/>
  <c r="AO101" i="39"/>
  <c r="AN101" i="39"/>
  <c r="AM101" i="39"/>
  <c r="AL101" i="39"/>
  <c r="AK101" i="39"/>
  <c r="AJ101" i="39"/>
  <c r="AI101" i="39"/>
  <c r="AH101" i="39"/>
  <c r="AG101" i="39"/>
  <c r="AF101" i="39"/>
  <c r="AE101" i="39"/>
  <c r="AD101" i="39"/>
  <c r="AC101" i="39"/>
  <c r="AB101" i="39"/>
  <c r="AA101" i="39"/>
  <c r="Z101" i="39"/>
  <c r="Y101" i="39"/>
  <c r="X101" i="39"/>
  <c r="V101" i="39"/>
  <c r="AO100" i="39"/>
  <c r="AN100" i="39"/>
  <c r="AM100" i="39"/>
  <c r="AL100" i="39"/>
  <c r="AK100" i="39"/>
  <c r="AJ100" i="39"/>
  <c r="AI100" i="39"/>
  <c r="AH100" i="39"/>
  <c r="AG100" i="39"/>
  <c r="AF100" i="39"/>
  <c r="AE100" i="39"/>
  <c r="AD100" i="39"/>
  <c r="AC100" i="39"/>
  <c r="AB100" i="39"/>
  <c r="AA100" i="39"/>
  <c r="Z100" i="39"/>
  <c r="Y100" i="39"/>
  <c r="X100" i="39"/>
  <c r="V100" i="39"/>
  <c r="AA95" i="39"/>
  <c r="Z95" i="39"/>
  <c r="Y95" i="39"/>
  <c r="X95" i="39"/>
  <c r="AC94" i="39"/>
  <c r="AB94" i="39"/>
  <c r="AA94" i="39"/>
  <c r="W94" i="39"/>
  <c r="V94" i="39"/>
  <c r="AD93" i="39"/>
  <c r="AC93" i="39"/>
  <c r="AB93" i="39"/>
  <c r="Y93" i="39"/>
  <c r="W93" i="39"/>
  <c r="V93" i="39"/>
  <c r="AA92" i="39"/>
  <c r="Z92" i="39"/>
  <c r="Y92" i="39"/>
  <c r="X92" i="39"/>
  <c r="AC91" i="39"/>
  <c r="AB91" i="39"/>
  <c r="AA91" i="39"/>
  <c r="W91" i="39"/>
  <c r="V91" i="39"/>
  <c r="AD90" i="39"/>
  <c r="AC90" i="39"/>
  <c r="Z90" i="39"/>
  <c r="Y90" i="39"/>
  <c r="W90" i="39"/>
  <c r="AA89" i="39"/>
  <c r="Z89" i="39"/>
  <c r="X89" i="39"/>
  <c r="AC88" i="39"/>
  <c r="AB88" i="39"/>
  <c r="AA88" i="39"/>
  <c r="X88" i="39"/>
  <c r="W88" i="39"/>
  <c r="V88" i="39"/>
  <c r="B88" i="39"/>
  <c r="AD87" i="39"/>
  <c r="Z87" i="39"/>
  <c r="Y87" i="39"/>
  <c r="B85" i="39"/>
  <c r="Z82" i="39"/>
  <c r="Y82" i="39"/>
  <c r="X82" i="39"/>
  <c r="W82" i="39"/>
  <c r="V82" i="39"/>
  <c r="Z81" i="39"/>
  <c r="Y81" i="39"/>
  <c r="X81" i="39"/>
  <c r="W81" i="39"/>
  <c r="V81" i="39"/>
  <c r="Z80" i="39"/>
  <c r="Y80" i="39"/>
  <c r="X80" i="39"/>
  <c r="W80" i="39"/>
  <c r="V80" i="39"/>
  <c r="Z79" i="39"/>
  <c r="Y79" i="39"/>
  <c r="X79" i="39"/>
  <c r="W79" i="39"/>
  <c r="V79" i="39"/>
  <c r="Z78" i="39"/>
  <c r="Y78" i="39"/>
  <c r="X78" i="39"/>
  <c r="W78" i="39"/>
  <c r="V78" i="39"/>
  <c r="Z77" i="39"/>
  <c r="Y77" i="39"/>
  <c r="X77" i="39"/>
  <c r="W77" i="39"/>
  <c r="V77" i="39"/>
  <c r="Z76" i="39"/>
  <c r="Y76" i="39"/>
  <c r="X76" i="39"/>
  <c r="W76" i="39"/>
  <c r="V76" i="39"/>
  <c r="Z75" i="39"/>
  <c r="Y75" i="39"/>
  <c r="X75" i="39"/>
  <c r="V75" i="39"/>
  <c r="Z74" i="39"/>
  <c r="Y74" i="39"/>
  <c r="X74" i="39"/>
  <c r="W74" i="39"/>
  <c r="V74" i="39"/>
  <c r="Z73" i="39"/>
  <c r="Y73" i="39"/>
  <c r="X73" i="39"/>
  <c r="W73" i="39"/>
  <c r="V73" i="39"/>
  <c r="Z68" i="39"/>
  <c r="Y68" i="39"/>
  <c r="X68" i="39"/>
  <c r="W68" i="39"/>
  <c r="V68" i="39"/>
  <c r="Z67" i="39"/>
  <c r="Y67" i="39"/>
  <c r="X67" i="39"/>
  <c r="W67" i="39"/>
  <c r="V67" i="39"/>
  <c r="Z66" i="39"/>
  <c r="Y66" i="39"/>
  <c r="X66" i="39"/>
  <c r="V66" i="39"/>
  <c r="Z65" i="39"/>
  <c r="Y65" i="39"/>
  <c r="X65" i="39"/>
  <c r="W65" i="39"/>
  <c r="V65" i="39"/>
  <c r="Z64" i="39"/>
  <c r="Y64" i="39"/>
  <c r="X64" i="39"/>
  <c r="W64" i="39"/>
  <c r="V64" i="39"/>
  <c r="Z63" i="39"/>
  <c r="Y63" i="39"/>
  <c r="X63" i="39"/>
  <c r="W63" i="39"/>
  <c r="V63" i="39"/>
  <c r="B63" i="39"/>
  <c r="AQ33" i="39" s="1"/>
  <c r="Z62" i="39"/>
  <c r="Y62" i="39"/>
  <c r="X62" i="39"/>
  <c r="W62" i="39"/>
  <c r="V62" i="39"/>
  <c r="Z61" i="39"/>
  <c r="Y61" i="39"/>
  <c r="X61" i="39"/>
  <c r="W61" i="39"/>
  <c r="V61" i="39"/>
  <c r="Z60" i="39"/>
  <c r="Y60" i="39"/>
  <c r="X60" i="39"/>
  <c r="W60" i="39"/>
  <c r="V60" i="39"/>
  <c r="Z59" i="39"/>
  <c r="Y59" i="39"/>
  <c r="X59" i="39"/>
  <c r="W59" i="39"/>
  <c r="V59" i="39"/>
  <c r="Z58" i="39"/>
  <c r="Y58" i="39"/>
  <c r="X58" i="39"/>
  <c r="W58" i="39"/>
  <c r="V58" i="39"/>
  <c r="Z57" i="39"/>
  <c r="Y57" i="39"/>
  <c r="X57" i="39"/>
  <c r="W57" i="39"/>
  <c r="V57" i="39"/>
  <c r="B57" i="39"/>
  <c r="AQ31" i="39" s="1"/>
  <c r="Z56" i="39"/>
  <c r="Y56" i="39"/>
  <c r="X56" i="39"/>
  <c r="W56" i="39"/>
  <c r="V56" i="39"/>
  <c r="AC47" i="39"/>
  <c r="AC46" i="39"/>
  <c r="AE45" i="39"/>
  <c r="AC45" i="39"/>
  <c r="AE46" i="39" s="1"/>
  <c r="J38" i="39" s="1"/>
  <c r="B45" i="39"/>
  <c r="AP44" i="39"/>
  <c r="B94" i="39" s="1"/>
  <c r="AP43" i="39"/>
  <c r="B91" i="39" s="1"/>
  <c r="AP42" i="39"/>
  <c r="X40" i="39"/>
  <c r="AP41" i="39"/>
  <c r="X39" i="39"/>
  <c r="AP40" i="39"/>
  <c r="B82" i="39" s="1"/>
  <c r="X38" i="39"/>
  <c r="X37" i="39"/>
  <c r="X36" i="39"/>
  <c r="B38" i="39"/>
  <c r="AK37" i="39"/>
  <c r="AU59" i="39" s="1"/>
  <c r="X35" i="39"/>
  <c r="AL36" i="39"/>
  <c r="AK36" i="39"/>
  <c r="AU58" i="39" s="1"/>
  <c r="X34" i="39"/>
  <c r="AL35" i="39"/>
  <c r="AK35" i="39"/>
  <c r="AU57" i="39" s="1"/>
  <c r="X33" i="39"/>
  <c r="Q35" i="39"/>
  <c r="P35" i="39"/>
  <c r="O35" i="39" s="1"/>
  <c r="E18" i="39" s="1"/>
  <c r="AL34" i="39"/>
  <c r="AK34" i="39"/>
  <c r="AU56" i="39" s="1"/>
  <c r="X32" i="39"/>
  <c r="AL33" i="39"/>
  <c r="AK33" i="39"/>
  <c r="AU55" i="39" s="1"/>
  <c r="X31" i="39"/>
  <c r="AL32" i="39"/>
  <c r="AK32" i="39"/>
  <c r="AU54" i="39" s="1"/>
  <c r="X30" i="39"/>
  <c r="AL31" i="39"/>
  <c r="AK31" i="39"/>
  <c r="AU53" i="39" s="1"/>
  <c r="AG31" i="39"/>
  <c r="X29" i="39"/>
  <c r="AL30" i="39"/>
  <c r="AK30" i="39"/>
  <c r="AU52" i="39" s="1"/>
  <c r="X28" i="39"/>
  <c r="B30" i="39"/>
  <c r="AL29" i="39"/>
  <c r="AK29" i="39"/>
  <c r="AU51" i="39" s="1"/>
  <c r="X27" i="39"/>
  <c r="X26" i="39"/>
  <c r="AQ27" i="39"/>
  <c r="B27" i="39"/>
  <c r="P25" i="39"/>
  <c r="I24" i="39" s="1"/>
  <c r="P24" i="39"/>
  <c r="G20" i="39" s="1"/>
  <c r="G24" i="39"/>
  <c r="E24" i="39"/>
  <c r="C24" i="39"/>
  <c r="AB23" i="39"/>
  <c r="AA23" i="39"/>
  <c r="AC23" i="39" s="1"/>
  <c r="Z23" i="39"/>
  <c r="Y23" i="39"/>
  <c r="I23" i="39"/>
  <c r="G23" i="39"/>
  <c r="E23" i="39"/>
  <c r="C23" i="39"/>
  <c r="AB22" i="39"/>
  <c r="AA22" i="39"/>
  <c r="AC22" i="39" s="1"/>
  <c r="Z22" i="39"/>
  <c r="Y22" i="39"/>
  <c r="I22" i="39"/>
  <c r="G22" i="39"/>
  <c r="E22" i="39"/>
  <c r="C22" i="39"/>
  <c r="I21" i="39"/>
  <c r="G21" i="39"/>
  <c r="E21" i="39"/>
  <c r="C21" i="39"/>
  <c r="AQ20" i="39"/>
  <c r="AI20" i="39"/>
  <c r="I20" i="39"/>
  <c r="AQ19" i="39"/>
  <c r="B69" i="39" s="1"/>
  <c r="AQ35" i="39" s="1"/>
  <c r="AI19" i="39"/>
  <c r="AQ18" i="39"/>
  <c r="B66" i="39" s="1"/>
  <c r="AQ34" i="39" s="1"/>
  <c r="AI18" i="39"/>
  <c r="AJ18" i="39" s="1"/>
  <c r="AK18" i="39" s="1"/>
  <c r="AV26" i="39" s="1"/>
  <c r="I18" i="39"/>
  <c r="AI17" i="39"/>
  <c r="AI16" i="39"/>
  <c r="AI15" i="39"/>
  <c r="AJ15" i="39" s="1"/>
  <c r="AK15" i="39" s="1"/>
  <c r="AU26" i="39" s="1"/>
  <c r="AQ14" i="39"/>
  <c r="AI14" i="39"/>
  <c r="I14" i="39"/>
  <c r="AQ13" i="39"/>
  <c r="B60" i="39" s="1"/>
  <c r="AQ32" i="39" s="1"/>
  <c r="AI13" i="39"/>
  <c r="AQ12" i="39"/>
  <c r="AI12" i="39"/>
  <c r="AJ12" i="39" s="1"/>
  <c r="AK12" i="39" s="1"/>
  <c r="AT26" i="39" s="1"/>
  <c r="AI11" i="39"/>
  <c r="AC11" i="39"/>
  <c r="AB11" i="39"/>
  <c r="AA11" i="39"/>
  <c r="Z11" i="39"/>
  <c r="Y11" i="39"/>
  <c r="AI10" i="39"/>
  <c r="AC10" i="39"/>
  <c r="AB10" i="39"/>
  <c r="AA10" i="39"/>
  <c r="Z10" i="39"/>
  <c r="Y10" i="39"/>
  <c r="AJ9" i="39"/>
  <c r="AI9" i="39"/>
  <c r="AC9" i="39"/>
  <c r="AB9" i="39"/>
  <c r="AA9" i="39"/>
  <c r="Z9" i="39"/>
  <c r="Y9" i="39"/>
  <c r="AQ8" i="39"/>
  <c r="B54" i="39" s="1"/>
  <c r="AQ30" i="39" s="1"/>
  <c r="AB8" i="39"/>
  <c r="AA8" i="39"/>
  <c r="Z8" i="39"/>
  <c r="AC8" i="39" s="1"/>
  <c r="Y8" i="39"/>
  <c r="AD8" i="39" s="1"/>
  <c r="AB36" i="39" s="1"/>
  <c r="AQ7" i="39"/>
  <c r="AQ6" i="39"/>
  <c r="B48" i="39" s="1"/>
  <c r="V46" i="38"/>
  <c r="AD31" i="38"/>
  <c r="AD32" i="38"/>
  <c r="AD30" i="38"/>
  <c r="AA215" i="38"/>
  <c r="V214" i="38"/>
  <c r="V213" i="38"/>
  <c r="V212" i="38"/>
  <c r="V211" i="38"/>
  <c r="V210" i="38"/>
  <c r="V209" i="38"/>
  <c r="V208" i="38"/>
  <c r="V207" i="38"/>
  <c r="V206" i="38"/>
  <c r="V205" i="38"/>
  <c r="V204" i="38"/>
  <c r="V203" i="38"/>
  <c r="V202" i="38"/>
  <c r="V201" i="38"/>
  <c r="V200" i="38"/>
  <c r="V199" i="38"/>
  <c r="V198" i="38"/>
  <c r="V197" i="38"/>
  <c r="V196" i="38"/>
  <c r="V195" i="38"/>
  <c r="V194" i="38"/>
  <c r="V193" i="38"/>
  <c r="V192" i="38"/>
  <c r="V191" i="38"/>
  <c r="V190" i="38"/>
  <c r="V189" i="38"/>
  <c r="V188" i="38"/>
  <c r="AO179" i="38"/>
  <c r="AN179" i="38"/>
  <c r="AM179" i="38"/>
  <c r="AL179" i="38"/>
  <c r="AK179" i="38"/>
  <c r="AJ179" i="38"/>
  <c r="AI179" i="38"/>
  <c r="AH179" i="38"/>
  <c r="AG179" i="38"/>
  <c r="AF179" i="38"/>
  <c r="AE179" i="38"/>
  <c r="AD179" i="38"/>
  <c r="AC179" i="38"/>
  <c r="AB179" i="38"/>
  <c r="AA179" i="38"/>
  <c r="Z179" i="38"/>
  <c r="Y179" i="38"/>
  <c r="X179" i="38"/>
  <c r="W179" i="38"/>
  <c r="V179" i="38"/>
  <c r="AO178" i="38"/>
  <c r="AN178" i="38"/>
  <c r="AM178" i="38"/>
  <c r="AL178" i="38"/>
  <c r="AK178" i="38"/>
  <c r="AJ178" i="38"/>
  <c r="AI178" i="38"/>
  <c r="AH178" i="38"/>
  <c r="AG178" i="38"/>
  <c r="AF178" i="38"/>
  <c r="AE178" i="38"/>
  <c r="AD178" i="38"/>
  <c r="AC178" i="38"/>
  <c r="AB178" i="38"/>
  <c r="AA178" i="38"/>
  <c r="Z178" i="38"/>
  <c r="Y178" i="38"/>
  <c r="X178" i="38"/>
  <c r="W178" i="38"/>
  <c r="V178" i="38"/>
  <c r="AO177" i="38"/>
  <c r="AN177" i="38"/>
  <c r="AM177" i="38"/>
  <c r="AL177" i="38"/>
  <c r="AK177" i="38"/>
  <c r="AJ177" i="38"/>
  <c r="AI177" i="38"/>
  <c r="AH177" i="38"/>
  <c r="AG177" i="38"/>
  <c r="AF177" i="38"/>
  <c r="AE177" i="38"/>
  <c r="AD177" i="38"/>
  <c r="AC177" i="38"/>
  <c r="AB177" i="38"/>
  <c r="AA177" i="38"/>
  <c r="Z177" i="38"/>
  <c r="Y177" i="38"/>
  <c r="X177" i="38"/>
  <c r="W177" i="38"/>
  <c r="V177" i="38"/>
  <c r="AO176" i="38"/>
  <c r="AN176" i="38"/>
  <c r="AM176" i="38"/>
  <c r="AL176" i="38"/>
  <c r="AK176" i="38"/>
  <c r="AJ176" i="38"/>
  <c r="AI176" i="38"/>
  <c r="AH176" i="38"/>
  <c r="AG176" i="38"/>
  <c r="AF176" i="38"/>
  <c r="AE176" i="38"/>
  <c r="AD176" i="38"/>
  <c r="AC176" i="38"/>
  <c r="AB176" i="38"/>
  <c r="AA176" i="38"/>
  <c r="Z176" i="38"/>
  <c r="Y176" i="38"/>
  <c r="X176" i="38"/>
  <c r="V176" i="38"/>
  <c r="AO175" i="38"/>
  <c r="AN175" i="38"/>
  <c r="AM175" i="38"/>
  <c r="AL175" i="38"/>
  <c r="AK175" i="38"/>
  <c r="AJ175" i="38"/>
  <c r="AI175" i="38"/>
  <c r="AH175" i="38"/>
  <c r="AG175" i="38"/>
  <c r="AF175" i="38"/>
  <c r="AE175" i="38"/>
  <c r="AD175" i="38"/>
  <c r="AC175" i="38"/>
  <c r="AB175" i="38"/>
  <c r="AA175" i="38"/>
  <c r="Z175" i="38"/>
  <c r="Y175" i="38"/>
  <c r="X175" i="38"/>
  <c r="V175" i="38"/>
  <c r="AO174" i="38"/>
  <c r="AN174" i="38"/>
  <c r="AM174" i="38"/>
  <c r="AL174" i="38"/>
  <c r="AK174" i="38"/>
  <c r="AJ174" i="38"/>
  <c r="AI174" i="38"/>
  <c r="AH174" i="38"/>
  <c r="AG174" i="38"/>
  <c r="AF174" i="38"/>
  <c r="AE174" i="38"/>
  <c r="AD174" i="38"/>
  <c r="AC174" i="38"/>
  <c r="AB174" i="38"/>
  <c r="AA174" i="38"/>
  <c r="Z174" i="38"/>
  <c r="Y174" i="38"/>
  <c r="X174" i="38"/>
  <c r="V174" i="38"/>
  <c r="AO173" i="38"/>
  <c r="AN173" i="38"/>
  <c r="AM173" i="38"/>
  <c r="AL173" i="38"/>
  <c r="AK173" i="38"/>
  <c r="AJ173" i="38"/>
  <c r="AI173" i="38"/>
  <c r="AH173" i="38"/>
  <c r="AG173" i="38"/>
  <c r="AF173" i="38"/>
  <c r="AE173" i="38"/>
  <c r="AD173" i="38"/>
  <c r="AC173" i="38"/>
  <c r="AB173" i="38"/>
  <c r="AA173" i="38"/>
  <c r="Z173" i="38"/>
  <c r="Y173" i="38"/>
  <c r="X173" i="38"/>
  <c r="V173" i="38"/>
  <c r="AO172" i="38"/>
  <c r="AN172" i="38"/>
  <c r="AM172" i="38"/>
  <c r="AL172" i="38"/>
  <c r="AK172" i="38"/>
  <c r="AJ172" i="38"/>
  <c r="AI172" i="38"/>
  <c r="AH172" i="38"/>
  <c r="AG172" i="38"/>
  <c r="AF172" i="38"/>
  <c r="AE172" i="38"/>
  <c r="AD172" i="38"/>
  <c r="AC172" i="38"/>
  <c r="AB172" i="38"/>
  <c r="AA172" i="38"/>
  <c r="Z172" i="38"/>
  <c r="Y172" i="38"/>
  <c r="X172" i="38"/>
  <c r="W172" i="38"/>
  <c r="V172" i="38"/>
  <c r="AO171" i="38"/>
  <c r="AN171" i="38"/>
  <c r="AM171" i="38"/>
  <c r="AL171" i="38"/>
  <c r="AK171" i="38"/>
  <c r="AJ171" i="38"/>
  <c r="AI171" i="38"/>
  <c r="AH171" i="38"/>
  <c r="AG171" i="38"/>
  <c r="AF171" i="38"/>
  <c r="AE171" i="38"/>
  <c r="AD171" i="38"/>
  <c r="AC171" i="38"/>
  <c r="AB171" i="38"/>
  <c r="AA171" i="38"/>
  <c r="Z171" i="38"/>
  <c r="Y171" i="38"/>
  <c r="X171" i="38"/>
  <c r="V171" i="38"/>
  <c r="AO170" i="38"/>
  <c r="AN170" i="38"/>
  <c r="AM170" i="38"/>
  <c r="AL170" i="38"/>
  <c r="AK170" i="38"/>
  <c r="AJ170" i="38"/>
  <c r="AI170" i="38"/>
  <c r="AH170" i="38"/>
  <c r="AG170" i="38"/>
  <c r="AF170" i="38"/>
  <c r="AE170" i="38"/>
  <c r="AD170" i="38"/>
  <c r="AC170" i="38"/>
  <c r="AB170" i="38"/>
  <c r="AA170" i="38"/>
  <c r="Z170" i="38"/>
  <c r="Y170" i="38"/>
  <c r="X170" i="38"/>
  <c r="V170" i="38"/>
  <c r="AO169" i="38"/>
  <c r="AN169" i="38"/>
  <c r="AM169" i="38"/>
  <c r="AL169" i="38"/>
  <c r="AK169" i="38"/>
  <c r="AJ169" i="38"/>
  <c r="AI169" i="38"/>
  <c r="AH169" i="38"/>
  <c r="AG169" i="38"/>
  <c r="AF169" i="38"/>
  <c r="AE169" i="38"/>
  <c r="AD169" i="38"/>
  <c r="AC169" i="38"/>
  <c r="AB169" i="38"/>
  <c r="AA169" i="38"/>
  <c r="Z169" i="38"/>
  <c r="Y169" i="38"/>
  <c r="X169" i="38"/>
  <c r="W169" i="38"/>
  <c r="V169" i="38"/>
  <c r="AO168" i="38"/>
  <c r="AN168" i="38"/>
  <c r="AM168" i="38"/>
  <c r="AL168" i="38"/>
  <c r="AK168" i="38"/>
  <c r="AJ168" i="38"/>
  <c r="AI168" i="38"/>
  <c r="AH168" i="38"/>
  <c r="AG168" i="38"/>
  <c r="AF168" i="38"/>
  <c r="AE168" i="38"/>
  <c r="AD168" i="38"/>
  <c r="AC168" i="38"/>
  <c r="AB168" i="38"/>
  <c r="AB95" i="38" s="1"/>
  <c r="AA168" i="38"/>
  <c r="Z168" i="38"/>
  <c r="Z95" i="38" s="1"/>
  <c r="Y168" i="38"/>
  <c r="Y95" i="38" s="1"/>
  <c r="X168" i="38"/>
  <c r="W168" i="38"/>
  <c r="V168" i="38"/>
  <c r="V95" i="38" s="1"/>
  <c r="AO167" i="38"/>
  <c r="AN167" i="38"/>
  <c r="AM167" i="38"/>
  <c r="AL167" i="38"/>
  <c r="AK167" i="38"/>
  <c r="AJ167" i="38"/>
  <c r="AI167" i="38"/>
  <c r="AH167" i="38"/>
  <c r="AG167" i="38"/>
  <c r="AF167" i="38"/>
  <c r="AE167" i="38"/>
  <c r="AD167" i="38"/>
  <c r="AD94" i="38" s="1"/>
  <c r="AC167" i="38"/>
  <c r="AB167" i="38"/>
  <c r="AA167" i="38"/>
  <c r="AA94" i="38" s="1"/>
  <c r="Z167" i="38"/>
  <c r="Y167" i="38"/>
  <c r="X167" i="38"/>
  <c r="W167" i="38"/>
  <c r="V167" i="38"/>
  <c r="AO166" i="38"/>
  <c r="AN166" i="38"/>
  <c r="AM166" i="38"/>
  <c r="AL166" i="38"/>
  <c r="X93" i="38" s="1"/>
  <c r="AK166" i="38"/>
  <c r="AJ166" i="38"/>
  <c r="AI166" i="38"/>
  <c r="AH166" i="38"/>
  <c r="AG166" i="38"/>
  <c r="AF166" i="38"/>
  <c r="AE166" i="38"/>
  <c r="AD166" i="38"/>
  <c r="AC166" i="38"/>
  <c r="AC93" i="38" s="1"/>
  <c r="AB166" i="38"/>
  <c r="AA166" i="38"/>
  <c r="Z166" i="38"/>
  <c r="Y166" i="38"/>
  <c r="X166" i="38"/>
  <c r="W166" i="38"/>
  <c r="W93" i="38" s="1"/>
  <c r="V166" i="38"/>
  <c r="AO165" i="38"/>
  <c r="AN165" i="38"/>
  <c r="AM165" i="38"/>
  <c r="AL165" i="38"/>
  <c r="AK165" i="38"/>
  <c r="AJ165" i="38"/>
  <c r="AI165" i="38"/>
  <c r="AH165" i="38"/>
  <c r="AG165" i="38"/>
  <c r="AF165" i="38"/>
  <c r="AE165" i="38"/>
  <c r="AD165" i="38"/>
  <c r="AC165" i="38"/>
  <c r="AB165" i="38"/>
  <c r="AB92" i="38" s="1"/>
  <c r="AA165" i="38"/>
  <c r="AA92" i="38" s="1"/>
  <c r="Z165" i="38"/>
  <c r="Z92" i="38" s="1"/>
  <c r="Y165" i="38"/>
  <c r="Y92" i="38" s="1"/>
  <c r="X165" i="38"/>
  <c r="W165" i="38"/>
  <c r="V165" i="38"/>
  <c r="V92" i="38" s="1"/>
  <c r="AO164" i="38"/>
  <c r="AN164" i="38"/>
  <c r="AM164" i="38"/>
  <c r="AL164" i="38"/>
  <c r="AK164" i="38"/>
  <c r="AJ164" i="38"/>
  <c r="AI164" i="38"/>
  <c r="AH164" i="38"/>
  <c r="AG164" i="38"/>
  <c r="AF164" i="38"/>
  <c r="AE164" i="38"/>
  <c r="AD164" i="38"/>
  <c r="AC164" i="38"/>
  <c r="AB164" i="38"/>
  <c r="AB91" i="38" s="1"/>
  <c r="AA164" i="38"/>
  <c r="AA91" i="38" s="1"/>
  <c r="Z164" i="38"/>
  <c r="Y164" i="38"/>
  <c r="X164" i="38"/>
  <c r="W164" i="38"/>
  <c r="V164" i="38"/>
  <c r="V91" i="38" s="1"/>
  <c r="AO163" i="38"/>
  <c r="AN163" i="38"/>
  <c r="AM163" i="38"/>
  <c r="AL163" i="38"/>
  <c r="AK163" i="38"/>
  <c r="AJ163" i="38"/>
  <c r="AI163" i="38"/>
  <c r="AH163" i="38"/>
  <c r="AG163" i="38"/>
  <c r="AF163" i="38"/>
  <c r="AE163" i="38"/>
  <c r="AD163" i="38"/>
  <c r="AD90" i="38" s="1"/>
  <c r="AC163" i="38"/>
  <c r="AC90" i="38" s="1"/>
  <c r="AB163" i="38"/>
  <c r="AA163" i="38"/>
  <c r="Z163" i="38"/>
  <c r="Z90" i="38" s="1"/>
  <c r="Y163" i="38"/>
  <c r="X163" i="38"/>
  <c r="W163" i="38"/>
  <c r="W90" i="38" s="1"/>
  <c r="V163" i="38"/>
  <c r="V90" i="38" s="1"/>
  <c r="AO162" i="38"/>
  <c r="AN162" i="38"/>
  <c r="AM162" i="38"/>
  <c r="AL162" i="38"/>
  <c r="AK162" i="38"/>
  <c r="AJ162" i="38"/>
  <c r="AI162" i="38"/>
  <c r="AH162" i="38"/>
  <c r="AG162" i="38"/>
  <c r="AF162" i="38"/>
  <c r="AE162" i="38"/>
  <c r="AD162" i="38"/>
  <c r="AD89" i="38" s="1"/>
  <c r="AC162" i="38"/>
  <c r="AB162" i="38"/>
  <c r="AB89" i="38" s="1"/>
  <c r="AA162" i="38"/>
  <c r="AA89" i="38" s="1"/>
  <c r="Z162" i="38"/>
  <c r="Y162" i="38"/>
  <c r="Y89" i="38" s="1"/>
  <c r="X162" i="38"/>
  <c r="W162" i="38"/>
  <c r="V162" i="38"/>
  <c r="V89" i="38" s="1"/>
  <c r="AO161" i="38"/>
  <c r="AN161" i="38"/>
  <c r="AM161" i="38"/>
  <c r="AL161" i="38"/>
  <c r="X88" i="38" s="1"/>
  <c r="AK161" i="38"/>
  <c r="AJ161" i="38"/>
  <c r="AI161" i="38"/>
  <c r="AH161" i="38"/>
  <c r="AG161" i="38"/>
  <c r="AF161" i="38"/>
  <c r="AE161" i="38"/>
  <c r="AD161" i="38"/>
  <c r="AC161" i="38"/>
  <c r="AC88" i="38" s="1"/>
  <c r="AB161" i="38"/>
  <c r="AB88" i="38" s="1"/>
  <c r="AA161" i="38"/>
  <c r="AA88" i="38" s="1"/>
  <c r="Z161" i="38"/>
  <c r="Y161" i="38"/>
  <c r="X161" i="38"/>
  <c r="W161" i="38"/>
  <c r="W88" i="38" s="1"/>
  <c r="V161" i="38"/>
  <c r="V88" i="38" s="1"/>
  <c r="AO160" i="38"/>
  <c r="AN160" i="38"/>
  <c r="AM160" i="38"/>
  <c r="AL160" i="38"/>
  <c r="X87" i="38" s="1"/>
  <c r="AK160" i="38"/>
  <c r="AJ160" i="38"/>
  <c r="AI160" i="38"/>
  <c r="AH160" i="38"/>
  <c r="AG160" i="38"/>
  <c r="AF160" i="38"/>
  <c r="AE160" i="38"/>
  <c r="AD160" i="38"/>
  <c r="AD87" i="38" s="1"/>
  <c r="AC160" i="38"/>
  <c r="AC87" i="38" s="1"/>
  <c r="AB160" i="38"/>
  <c r="AB87" i="38" s="1"/>
  <c r="AA160" i="38"/>
  <c r="Z160" i="38"/>
  <c r="Z87" i="38" s="1"/>
  <c r="Y160" i="38"/>
  <c r="Y87" i="38" s="1"/>
  <c r="X160" i="38"/>
  <c r="V160" i="38"/>
  <c r="AO159" i="38"/>
  <c r="AN159" i="38"/>
  <c r="AM159" i="38"/>
  <c r="AL159" i="38"/>
  <c r="AK159" i="38"/>
  <c r="AJ159" i="38"/>
  <c r="AI159" i="38"/>
  <c r="AH159" i="38"/>
  <c r="AG159" i="38"/>
  <c r="AF159" i="38"/>
  <c r="AE159" i="38"/>
  <c r="AD159" i="38"/>
  <c r="AC159" i="38"/>
  <c r="AB159" i="38"/>
  <c r="AA159" i="38"/>
  <c r="Z159" i="38"/>
  <c r="Y159" i="38"/>
  <c r="X159" i="38"/>
  <c r="W159" i="38"/>
  <c r="V159" i="38"/>
  <c r="AO158" i="38"/>
  <c r="AN158" i="38"/>
  <c r="AM158" i="38"/>
  <c r="AL158" i="38"/>
  <c r="AK158" i="38"/>
  <c r="AJ158" i="38"/>
  <c r="AI158" i="38"/>
  <c r="AH158" i="38"/>
  <c r="AG158" i="38"/>
  <c r="AF158" i="38"/>
  <c r="AE158" i="38"/>
  <c r="AD158" i="38"/>
  <c r="AC158" i="38"/>
  <c r="AB158" i="38"/>
  <c r="AA158" i="38"/>
  <c r="Z158" i="38"/>
  <c r="Y158" i="38"/>
  <c r="X158" i="38"/>
  <c r="W158" i="38"/>
  <c r="V158" i="38"/>
  <c r="AO157" i="38"/>
  <c r="AN157" i="38"/>
  <c r="AM157" i="38"/>
  <c r="AL157" i="38"/>
  <c r="AK157" i="38"/>
  <c r="AJ157" i="38"/>
  <c r="AI157" i="38"/>
  <c r="AH157" i="38"/>
  <c r="AG157" i="38"/>
  <c r="AF157" i="38"/>
  <c r="AE157" i="38"/>
  <c r="AD157" i="38"/>
  <c r="AC157" i="38"/>
  <c r="AB157" i="38"/>
  <c r="AA157" i="38"/>
  <c r="Z157" i="38"/>
  <c r="Y157" i="38"/>
  <c r="X157" i="38"/>
  <c r="W157" i="38"/>
  <c r="V157" i="38"/>
  <c r="AO156" i="38"/>
  <c r="AN156" i="38"/>
  <c r="AM156" i="38"/>
  <c r="AL156" i="38"/>
  <c r="AK156" i="38"/>
  <c r="AJ156" i="38"/>
  <c r="AI156" i="38"/>
  <c r="AH156" i="38"/>
  <c r="AG156" i="38"/>
  <c r="AF156" i="38"/>
  <c r="AE156" i="38"/>
  <c r="AD156" i="38"/>
  <c r="AC156" i="38"/>
  <c r="AB156" i="38"/>
  <c r="AA156" i="38"/>
  <c r="Z156" i="38"/>
  <c r="Y156" i="38"/>
  <c r="X156" i="38"/>
  <c r="W156" i="38"/>
  <c r="V156" i="38"/>
  <c r="AO155" i="38"/>
  <c r="AN155" i="38"/>
  <c r="AM155" i="38"/>
  <c r="AL155" i="38"/>
  <c r="AK155" i="38"/>
  <c r="AJ155" i="38"/>
  <c r="AI155" i="38"/>
  <c r="AH155" i="38"/>
  <c r="AG155" i="38"/>
  <c r="AF155" i="38"/>
  <c r="AE155" i="38"/>
  <c r="AD155" i="38"/>
  <c r="AC155" i="38"/>
  <c r="AB155" i="38"/>
  <c r="AA155" i="38"/>
  <c r="Z155" i="38"/>
  <c r="Y155" i="38"/>
  <c r="X155" i="38"/>
  <c r="W155" i="38"/>
  <c r="V155" i="38"/>
  <c r="AO154" i="38"/>
  <c r="AN154" i="38"/>
  <c r="AM154" i="38"/>
  <c r="AL154" i="38"/>
  <c r="AK154" i="38"/>
  <c r="AJ154" i="38"/>
  <c r="AI154" i="38"/>
  <c r="AH154" i="38"/>
  <c r="AG154" i="38"/>
  <c r="AF154" i="38"/>
  <c r="AE154" i="38"/>
  <c r="AD154" i="38"/>
  <c r="AC154" i="38"/>
  <c r="AB154" i="38"/>
  <c r="AA154" i="38"/>
  <c r="Z154" i="38"/>
  <c r="Y154" i="38"/>
  <c r="X154" i="38"/>
  <c r="W154" i="38"/>
  <c r="V154" i="38"/>
  <c r="AO153" i="38"/>
  <c r="AN153" i="38"/>
  <c r="AM153" i="38"/>
  <c r="AL153" i="38"/>
  <c r="AK153" i="38"/>
  <c r="AJ153" i="38"/>
  <c r="AI153" i="38"/>
  <c r="AH153" i="38"/>
  <c r="AG153" i="38"/>
  <c r="AF153" i="38"/>
  <c r="AE153" i="38"/>
  <c r="AD153" i="38"/>
  <c r="AC153" i="38"/>
  <c r="AB153" i="38"/>
  <c r="AA153" i="38"/>
  <c r="Z153" i="38"/>
  <c r="Y153" i="38"/>
  <c r="X153" i="38"/>
  <c r="W153" i="38"/>
  <c r="V153" i="38"/>
  <c r="AO152" i="38"/>
  <c r="AN152" i="38"/>
  <c r="AM152" i="38"/>
  <c r="AL152" i="38"/>
  <c r="AK152" i="38"/>
  <c r="AJ152" i="38"/>
  <c r="AI152" i="38"/>
  <c r="AH152" i="38"/>
  <c r="AG152" i="38"/>
  <c r="AF152" i="38"/>
  <c r="AE152" i="38"/>
  <c r="AD152" i="38"/>
  <c r="AC152" i="38"/>
  <c r="AB152" i="38"/>
  <c r="AA152" i="38"/>
  <c r="Z152" i="38"/>
  <c r="Y152" i="38"/>
  <c r="X152" i="38"/>
  <c r="W152" i="38"/>
  <c r="V152" i="38"/>
  <c r="AO151" i="38"/>
  <c r="AN151" i="38"/>
  <c r="AM151" i="38"/>
  <c r="AL151" i="38"/>
  <c r="AK151" i="38"/>
  <c r="AJ151" i="38"/>
  <c r="AI151" i="38"/>
  <c r="AH151" i="38"/>
  <c r="AG151" i="38"/>
  <c r="AF151" i="38"/>
  <c r="AE151" i="38"/>
  <c r="AD151" i="38"/>
  <c r="AC151" i="38"/>
  <c r="AB151" i="38"/>
  <c r="AA151" i="38"/>
  <c r="Z151" i="38"/>
  <c r="Y151" i="38"/>
  <c r="X151" i="38"/>
  <c r="W151" i="38"/>
  <c r="V151" i="38"/>
  <c r="AO150" i="38"/>
  <c r="AN150" i="38"/>
  <c r="AM150" i="38"/>
  <c r="AL150" i="38"/>
  <c r="AK150" i="38"/>
  <c r="AJ150" i="38"/>
  <c r="AI150" i="38"/>
  <c r="AH150" i="38"/>
  <c r="AG150" i="38"/>
  <c r="AF150" i="38"/>
  <c r="AE150" i="38"/>
  <c r="AD150" i="38"/>
  <c r="AC150" i="38"/>
  <c r="AB150" i="38"/>
  <c r="AA150" i="38"/>
  <c r="Z150" i="38"/>
  <c r="Y150" i="38"/>
  <c r="X150" i="38"/>
  <c r="W150" i="38"/>
  <c r="V150" i="38"/>
  <c r="AO149" i="38"/>
  <c r="AN149" i="38"/>
  <c r="AM149" i="38"/>
  <c r="AL149" i="38"/>
  <c r="AK149" i="38"/>
  <c r="AJ149" i="38"/>
  <c r="AI149" i="38"/>
  <c r="AH149" i="38"/>
  <c r="AG149" i="38"/>
  <c r="AF149" i="38"/>
  <c r="AE149" i="38"/>
  <c r="AD149" i="38"/>
  <c r="AC149" i="38"/>
  <c r="AB149" i="38"/>
  <c r="AA149" i="38"/>
  <c r="Z149" i="38"/>
  <c r="Y149" i="38"/>
  <c r="X149" i="38"/>
  <c r="V149" i="38"/>
  <c r="AO148" i="38"/>
  <c r="AN148" i="38"/>
  <c r="AM148" i="38"/>
  <c r="AL148" i="38"/>
  <c r="AK148" i="38"/>
  <c r="AJ148" i="38"/>
  <c r="AI148" i="38"/>
  <c r="AH148" i="38"/>
  <c r="AG148" i="38"/>
  <c r="AF148" i="38"/>
  <c r="AE148" i="38"/>
  <c r="AD148" i="38"/>
  <c r="AC148" i="38"/>
  <c r="AB148" i="38"/>
  <c r="AA148" i="38"/>
  <c r="Z148" i="38"/>
  <c r="Y148" i="38"/>
  <c r="X148" i="38"/>
  <c r="V148" i="38"/>
  <c r="AO147" i="38"/>
  <c r="AN147" i="38"/>
  <c r="AM147" i="38"/>
  <c r="AL147" i="38"/>
  <c r="AK147" i="38"/>
  <c r="AJ147" i="38"/>
  <c r="AI147" i="38"/>
  <c r="AH147" i="38"/>
  <c r="AG147" i="38"/>
  <c r="AF147" i="38"/>
  <c r="AE147" i="38"/>
  <c r="AD147" i="38"/>
  <c r="AC147" i="38"/>
  <c r="AB147" i="38"/>
  <c r="AA147" i="38"/>
  <c r="Z147" i="38"/>
  <c r="Y147" i="38"/>
  <c r="X147" i="38"/>
  <c r="V147" i="38"/>
  <c r="AO146" i="38"/>
  <c r="AN146" i="38"/>
  <c r="AM146" i="38"/>
  <c r="AL146" i="38"/>
  <c r="AK146" i="38"/>
  <c r="AJ146" i="38"/>
  <c r="AI146" i="38"/>
  <c r="AH146" i="38"/>
  <c r="AG146" i="38"/>
  <c r="AF146" i="38"/>
  <c r="AE146" i="38"/>
  <c r="AD146" i="38"/>
  <c r="AC146" i="38"/>
  <c r="AB146" i="38"/>
  <c r="AA146" i="38"/>
  <c r="Z146" i="38"/>
  <c r="Y146" i="38"/>
  <c r="X146" i="38"/>
  <c r="V146" i="38"/>
  <c r="AO145" i="38"/>
  <c r="AN145" i="38"/>
  <c r="AM145" i="38"/>
  <c r="AL145" i="38"/>
  <c r="AK145" i="38"/>
  <c r="AJ145" i="38"/>
  <c r="AI145" i="38"/>
  <c r="AH145" i="38"/>
  <c r="AG145" i="38"/>
  <c r="AF145" i="38"/>
  <c r="AE145" i="38"/>
  <c r="AD145" i="38"/>
  <c r="AC145" i="38"/>
  <c r="AB145" i="38"/>
  <c r="AA145" i="38"/>
  <c r="Z145" i="38"/>
  <c r="Y145" i="38"/>
  <c r="X145" i="38"/>
  <c r="W145" i="38"/>
  <c r="V145" i="38"/>
  <c r="AO144" i="38"/>
  <c r="AN144" i="38"/>
  <c r="AM144" i="38"/>
  <c r="AL144" i="38"/>
  <c r="AK144" i="38"/>
  <c r="AJ144" i="38"/>
  <c r="AI144" i="38"/>
  <c r="AH144" i="38"/>
  <c r="AG144" i="38"/>
  <c r="AF144" i="38"/>
  <c r="AE144" i="38"/>
  <c r="AD144" i="38"/>
  <c r="AC144" i="38"/>
  <c r="AB144" i="38"/>
  <c r="AA144" i="38"/>
  <c r="Z144" i="38"/>
  <c r="Y144" i="38"/>
  <c r="X144" i="38"/>
  <c r="W144" i="38"/>
  <c r="V144" i="38"/>
  <c r="AO143" i="38"/>
  <c r="AN143" i="38"/>
  <c r="AM143" i="38"/>
  <c r="AL143" i="38"/>
  <c r="AK143" i="38"/>
  <c r="AJ143" i="38"/>
  <c r="AI143" i="38"/>
  <c r="AH143" i="38"/>
  <c r="AG143" i="38"/>
  <c r="AF143" i="38"/>
  <c r="AE143" i="38"/>
  <c r="AD143" i="38"/>
  <c r="AC143" i="38"/>
  <c r="AB143" i="38"/>
  <c r="AA143" i="38"/>
  <c r="Z143" i="38"/>
  <c r="Y143" i="38"/>
  <c r="X143" i="38"/>
  <c r="W143" i="38"/>
  <c r="V143" i="38"/>
  <c r="Q143" i="38"/>
  <c r="AO142" i="38"/>
  <c r="AN142" i="38"/>
  <c r="AM142" i="38"/>
  <c r="AL142" i="38"/>
  <c r="AK142" i="38"/>
  <c r="AJ142" i="38"/>
  <c r="AI142" i="38"/>
  <c r="AH142" i="38"/>
  <c r="AG142" i="38"/>
  <c r="AF142" i="38"/>
  <c r="AE142" i="38"/>
  <c r="AD142" i="38"/>
  <c r="AC142" i="38"/>
  <c r="AB142" i="38"/>
  <c r="AA142" i="38"/>
  <c r="Z142" i="38"/>
  <c r="Y142" i="38"/>
  <c r="X142" i="38"/>
  <c r="W142" i="38"/>
  <c r="V142" i="38"/>
  <c r="Q142" i="38"/>
  <c r="AO141" i="38"/>
  <c r="AN141" i="38"/>
  <c r="AM141" i="38"/>
  <c r="AL141" i="38"/>
  <c r="AK141" i="38"/>
  <c r="AJ141" i="38"/>
  <c r="AI141" i="38"/>
  <c r="AH141" i="38"/>
  <c r="AG141" i="38"/>
  <c r="AF141" i="38"/>
  <c r="AE141" i="38"/>
  <c r="AD141" i="38"/>
  <c r="AC141" i="38"/>
  <c r="AB141" i="38"/>
  <c r="AA141" i="38"/>
  <c r="Z141" i="38"/>
  <c r="Y141" i="38"/>
  <c r="X141" i="38"/>
  <c r="W141" i="38"/>
  <c r="V141" i="38"/>
  <c r="Q141" i="38"/>
  <c r="AO140" i="38"/>
  <c r="AN140" i="38"/>
  <c r="AM140" i="38"/>
  <c r="AL140" i="38"/>
  <c r="AK140" i="38"/>
  <c r="AJ140" i="38"/>
  <c r="AI140" i="38"/>
  <c r="AH140" i="38"/>
  <c r="AG140" i="38"/>
  <c r="AF140" i="38"/>
  <c r="AE140" i="38"/>
  <c r="AD140" i="38"/>
  <c r="AC140" i="38"/>
  <c r="AB140" i="38"/>
  <c r="AA140" i="38"/>
  <c r="Z140" i="38"/>
  <c r="Y140" i="38"/>
  <c r="X140" i="38"/>
  <c r="W140" i="38"/>
  <c r="V140" i="38"/>
  <c r="Q140" i="38"/>
  <c r="AO139" i="38"/>
  <c r="AN139" i="38"/>
  <c r="AM139" i="38"/>
  <c r="AL139" i="38"/>
  <c r="AK139" i="38"/>
  <c r="AJ139" i="38"/>
  <c r="AI139" i="38"/>
  <c r="AH139" i="38"/>
  <c r="AG139" i="38"/>
  <c r="AF139" i="38"/>
  <c r="AE139" i="38"/>
  <c r="AD139" i="38"/>
  <c r="AC139" i="38"/>
  <c r="AB139" i="38"/>
  <c r="AA139" i="38"/>
  <c r="Z139" i="38"/>
  <c r="Y139" i="38"/>
  <c r="X139" i="38"/>
  <c r="W139" i="38"/>
  <c r="V139" i="38"/>
  <c r="Q139" i="38"/>
  <c r="AO138" i="38"/>
  <c r="AN138" i="38"/>
  <c r="AM138" i="38"/>
  <c r="AL138" i="38"/>
  <c r="AK138" i="38"/>
  <c r="AJ138" i="38"/>
  <c r="AI138" i="38"/>
  <c r="AH138" i="38"/>
  <c r="AG138" i="38"/>
  <c r="AF138" i="38"/>
  <c r="AE138" i="38"/>
  <c r="AD138" i="38"/>
  <c r="AC138" i="38"/>
  <c r="AB138" i="38"/>
  <c r="AA138" i="38"/>
  <c r="Z138" i="38"/>
  <c r="Y138" i="38"/>
  <c r="X138" i="38"/>
  <c r="W138" i="38"/>
  <c r="V138" i="38"/>
  <c r="Q138" i="38"/>
  <c r="AO137" i="38"/>
  <c r="AN137" i="38"/>
  <c r="AM137" i="38"/>
  <c r="AL137" i="38"/>
  <c r="AK137" i="38"/>
  <c r="AJ137" i="38"/>
  <c r="AI137" i="38"/>
  <c r="AH137" i="38"/>
  <c r="AG137" i="38"/>
  <c r="AF137" i="38"/>
  <c r="AE137" i="38"/>
  <c r="AD137" i="38"/>
  <c r="AC137" i="38"/>
  <c r="AB137" i="38"/>
  <c r="AA137" i="38"/>
  <c r="Z137" i="38"/>
  <c r="Y137" i="38"/>
  <c r="X137" i="38"/>
  <c r="W137" i="38"/>
  <c r="V137" i="38"/>
  <c r="Q137" i="38"/>
  <c r="AO136" i="38"/>
  <c r="AN136" i="38"/>
  <c r="AM136" i="38"/>
  <c r="AL136" i="38"/>
  <c r="AK136" i="38"/>
  <c r="AJ136" i="38"/>
  <c r="AI136" i="38"/>
  <c r="AH136" i="38"/>
  <c r="AG136" i="38"/>
  <c r="AF136" i="38"/>
  <c r="AE136" i="38"/>
  <c r="AD136" i="38"/>
  <c r="AC136" i="38"/>
  <c r="AB136" i="38"/>
  <c r="AA136" i="38"/>
  <c r="Z136" i="38"/>
  <c r="Y136" i="38"/>
  <c r="X136" i="38"/>
  <c r="W136" i="38"/>
  <c r="V136" i="38"/>
  <c r="Q136" i="38"/>
  <c r="AO135" i="38"/>
  <c r="AN135" i="38"/>
  <c r="AM135" i="38"/>
  <c r="AL135" i="38"/>
  <c r="AK135" i="38"/>
  <c r="AJ135" i="38"/>
  <c r="AI135" i="38"/>
  <c r="AH135" i="38"/>
  <c r="AG135" i="38"/>
  <c r="AF135" i="38"/>
  <c r="AE135" i="38"/>
  <c r="AD135" i="38"/>
  <c r="AC135" i="38"/>
  <c r="AB135" i="38"/>
  <c r="AA135" i="38"/>
  <c r="Z135" i="38"/>
  <c r="Y135" i="38"/>
  <c r="X135" i="38"/>
  <c r="W135" i="38"/>
  <c r="V135" i="38"/>
  <c r="Q135" i="38"/>
  <c r="AO134" i="38"/>
  <c r="AN134" i="38"/>
  <c r="AM134" i="38"/>
  <c r="AL134" i="38"/>
  <c r="AK134" i="38"/>
  <c r="AJ134" i="38"/>
  <c r="AI134" i="38"/>
  <c r="AH134" i="38"/>
  <c r="AG134" i="38"/>
  <c r="AF134" i="38"/>
  <c r="AE134" i="38"/>
  <c r="AD134" i="38"/>
  <c r="AC134" i="38"/>
  <c r="AB134" i="38"/>
  <c r="AA134" i="38"/>
  <c r="Z134" i="38"/>
  <c r="Y134" i="38"/>
  <c r="X134" i="38"/>
  <c r="W134" i="38"/>
  <c r="V134" i="38"/>
  <c r="Q134" i="38"/>
  <c r="AO133" i="38"/>
  <c r="AN133" i="38"/>
  <c r="AM133" i="38"/>
  <c r="AL133" i="38"/>
  <c r="AK133" i="38"/>
  <c r="AJ133" i="38"/>
  <c r="AI133" i="38"/>
  <c r="AH133" i="38"/>
  <c r="AG133" i="38"/>
  <c r="AF133" i="38"/>
  <c r="AE133" i="38"/>
  <c r="AD133" i="38"/>
  <c r="AC133" i="38"/>
  <c r="AB133" i="38"/>
  <c r="AA133" i="38"/>
  <c r="Z133" i="38"/>
  <c r="Y133" i="38"/>
  <c r="X133" i="38"/>
  <c r="W133" i="38"/>
  <c r="V133" i="38"/>
  <c r="Q133" i="38"/>
  <c r="AO132" i="38"/>
  <c r="AN132" i="38"/>
  <c r="AM132" i="38"/>
  <c r="AL132" i="38"/>
  <c r="AK132" i="38"/>
  <c r="AJ132" i="38"/>
  <c r="AI132" i="38"/>
  <c r="AH132" i="38"/>
  <c r="AG132" i="38"/>
  <c r="AF132" i="38"/>
  <c r="AE132" i="38"/>
  <c r="AD132" i="38"/>
  <c r="AC132" i="38"/>
  <c r="AB132" i="38"/>
  <c r="AA132" i="38"/>
  <c r="Z132" i="38"/>
  <c r="Y132" i="38"/>
  <c r="X132" i="38"/>
  <c r="W132" i="38"/>
  <c r="V132" i="38"/>
  <c r="Q132" i="38"/>
  <c r="AO131" i="38"/>
  <c r="AN131" i="38"/>
  <c r="AM131" i="38"/>
  <c r="AL131" i="38"/>
  <c r="AK131" i="38"/>
  <c r="AJ131" i="38"/>
  <c r="AI131" i="38"/>
  <c r="AH131" i="38"/>
  <c r="AG131" i="38"/>
  <c r="AF131" i="38"/>
  <c r="AE131" i="38"/>
  <c r="AD131" i="38"/>
  <c r="AC131" i="38"/>
  <c r="AB131" i="38"/>
  <c r="AA131" i="38"/>
  <c r="Z131" i="38"/>
  <c r="Y131" i="38"/>
  <c r="X131" i="38"/>
  <c r="W131" i="38"/>
  <c r="V131" i="38"/>
  <c r="Q131" i="38"/>
  <c r="AO130" i="38"/>
  <c r="AN130" i="38"/>
  <c r="AM130" i="38"/>
  <c r="AL130" i="38"/>
  <c r="AK130" i="38"/>
  <c r="AJ130" i="38"/>
  <c r="AI130" i="38"/>
  <c r="AH130" i="38"/>
  <c r="AG130" i="38"/>
  <c r="AF130" i="38"/>
  <c r="AE130" i="38"/>
  <c r="AD130" i="38"/>
  <c r="AC130" i="38"/>
  <c r="AB130" i="38"/>
  <c r="AA130" i="38"/>
  <c r="Z130" i="38"/>
  <c r="Y130" i="38"/>
  <c r="X130" i="38"/>
  <c r="W130" i="38"/>
  <c r="V130" i="38"/>
  <c r="Q130" i="38"/>
  <c r="AO129" i="38"/>
  <c r="AN129" i="38"/>
  <c r="AM129" i="38"/>
  <c r="AL129" i="38"/>
  <c r="AK129" i="38"/>
  <c r="AJ129" i="38"/>
  <c r="AI129" i="38"/>
  <c r="AH129" i="38"/>
  <c r="AG129" i="38"/>
  <c r="AF129" i="38"/>
  <c r="AE129" i="38"/>
  <c r="AD129" i="38"/>
  <c r="AC129" i="38"/>
  <c r="AB129" i="38"/>
  <c r="AA129" i="38"/>
  <c r="Z129" i="38"/>
  <c r="Y129" i="38"/>
  <c r="X129" i="38"/>
  <c r="W129" i="38"/>
  <c r="V129" i="38"/>
  <c r="Q129" i="38"/>
  <c r="AO128" i="38"/>
  <c r="AN128" i="38"/>
  <c r="AM128" i="38"/>
  <c r="AL128" i="38"/>
  <c r="AK128" i="38"/>
  <c r="AJ128" i="38"/>
  <c r="AI128" i="38"/>
  <c r="AH128" i="38"/>
  <c r="AG128" i="38"/>
  <c r="AF128" i="38"/>
  <c r="AE128" i="38"/>
  <c r="AD128" i="38"/>
  <c r="AC128" i="38"/>
  <c r="AB128" i="38"/>
  <c r="AA128" i="38"/>
  <c r="Z128" i="38"/>
  <c r="Y128" i="38"/>
  <c r="X128" i="38"/>
  <c r="V128" i="38"/>
  <c r="Q128" i="38"/>
  <c r="AO127" i="38"/>
  <c r="AN127" i="38"/>
  <c r="AM127" i="38"/>
  <c r="AL127" i="38"/>
  <c r="AK127" i="38"/>
  <c r="AJ127" i="38"/>
  <c r="AI127" i="38"/>
  <c r="AH127" i="38"/>
  <c r="AG127" i="38"/>
  <c r="AF127" i="38"/>
  <c r="AE127" i="38"/>
  <c r="AD127" i="38"/>
  <c r="AC127" i="38"/>
  <c r="AB127" i="38"/>
  <c r="AA127" i="38"/>
  <c r="Z127" i="38"/>
  <c r="Y127" i="38"/>
  <c r="X127" i="38"/>
  <c r="V127" i="38"/>
  <c r="Q127" i="38"/>
  <c r="AO126" i="38"/>
  <c r="AN126" i="38"/>
  <c r="AM126" i="38"/>
  <c r="AL126" i="38"/>
  <c r="AK126" i="38"/>
  <c r="AJ126" i="38"/>
  <c r="AI126" i="38"/>
  <c r="AH126" i="38"/>
  <c r="AG126" i="38"/>
  <c r="AF126" i="38"/>
  <c r="AE126" i="38"/>
  <c r="AD126" i="38"/>
  <c r="AC126" i="38"/>
  <c r="AB126" i="38"/>
  <c r="AA126" i="38"/>
  <c r="Z126" i="38"/>
  <c r="Y126" i="38"/>
  <c r="X126" i="38"/>
  <c r="V126" i="38"/>
  <c r="Q126" i="38"/>
  <c r="AO125" i="38"/>
  <c r="AN125" i="38"/>
  <c r="AM125" i="38"/>
  <c r="AL125" i="38"/>
  <c r="AK125" i="38"/>
  <c r="AJ125" i="38"/>
  <c r="AI125" i="38"/>
  <c r="AH125" i="38"/>
  <c r="AG125" i="38"/>
  <c r="AF125" i="38"/>
  <c r="AE125" i="38"/>
  <c r="AD125" i="38"/>
  <c r="AC125" i="38"/>
  <c r="AB125" i="38"/>
  <c r="AA125" i="38"/>
  <c r="Z125" i="38"/>
  <c r="Y125" i="38"/>
  <c r="X125" i="38"/>
  <c r="V125" i="38"/>
  <c r="Q125" i="38"/>
  <c r="AO124" i="38"/>
  <c r="AN124" i="38"/>
  <c r="AM124" i="38"/>
  <c r="AL124" i="38"/>
  <c r="AK124" i="38"/>
  <c r="AJ124" i="38"/>
  <c r="AI124" i="38"/>
  <c r="AH124" i="38"/>
  <c r="AG124" i="38"/>
  <c r="AF124" i="38"/>
  <c r="AE124" i="38"/>
  <c r="AD124" i="38"/>
  <c r="AC124" i="38"/>
  <c r="AB124" i="38"/>
  <c r="AA124" i="38"/>
  <c r="Z124" i="38"/>
  <c r="Y124" i="38"/>
  <c r="X124" i="38"/>
  <c r="V124" i="38"/>
  <c r="Q124" i="38"/>
  <c r="AO123" i="38"/>
  <c r="AN123" i="38"/>
  <c r="AM123" i="38"/>
  <c r="AL123" i="38"/>
  <c r="AK123" i="38"/>
  <c r="AJ123" i="38"/>
  <c r="AI123" i="38"/>
  <c r="AH123" i="38"/>
  <c r="AG123" i="38"/>
  <c r="AF123" i="38"/>
  <c r="AE123" i="38"/>
  <c r="AD123" i="38"/>
  <c r="AC123" i="38"/>
  <c r="AB123" i="38"/>
  <c r="AA123" i="38"/>
  <c r="Z123" i="38"/>
  <c r="Y123" i="38"/>
  <c r="X123" i="38"/>
  <c r="W123" i="38"/>
  <c r="V123" i="38"/>
  <c r="Q123" i="38"/>
  <c r="AO122" i="38"/>
  <c r="AN122" i="38"/>
  <c r="AM122" i="38"/>
  <c r="AL122" i="38"/>
  <c r="AK122" i="38"/>
  <c r="AJ122" i="38"/>
  <c r="AI122" i="38"/>
  <c r="AH122" i="38"/>
  <c r="AG122" i="38"/>
  <c r="AF122" i="38"/>
  <c r="AE122" i="38"/>
  <c r="AD122" i="38"/>
  <c r="AC122" i="38"/>
  <c r="AB122" i="38"/>
  <c r="AA122" i="38"/>
  <c r="Z122" i="38"/>
  <c r="Y122" i="38"/>
  <c r="X122" i="38"/>
  <c r="V122" i="38"/>
  <c r="Q122" i="38"/>
  <c r="AO121" i="38"/>
  <c r="AN121" i="38"/>
  <c r="AM121" i="38"/>
  <c r="AL121" i="38"/>
  <c r="AK121" i="38"/>
  <c r="AJ121" i="38"/>
  <c r="AI121" i="38"/>
  <c r="AH121" i="38"/>
  <c r="AG121" i="38"/>
  <c r="AF121" i="38"/>
  <c r="AE121" i="38"/>
  <c r="AD121" i="38"/>
  <c r="AC121" i="38"/>
  <c r="AB121" i="38"/>
  <c r="AA121" i="38"/>
  <c r="Z121" i="38"/>
  <c r="Y121" i="38"/>
  <c r="X121" i="38"/>
  <c r="V121" i="38"/>
  <c r="Q121" i="38"/>
  <c r="AO120" i="38"/>
  <c r="AN120" i="38"/>
  <c r="AM120" i="38"/>
  <c r="AL120" i="38"/>
  <c r="AK120" i="38"/>
  <c r="AJ120" i="38"/>
  <c r="AI120" i="38"/>
  <c r="AH120" i="38"/>
  <c r="AG120" i="38"/>
  <c r="AF120" i="38"/>
  <c r="AE120" i="38"/>
  <c r="AD120" i="38"/>
  <c r="AC120" i="38"/>
  <c r="AB120" i="38"/>
  <c r="AA120" i="38"/>
  <c r="Z120" i="38"/>
  <c r="Y120" i="38"/>
  <c r="X120" i="38"/>
  <c r="W120" i="38"/>
  <c r="V120" i="38"/>
  <c r="Q120" i="38"/>
  <c r="AO119" i="38"/>
  <c r="AN119" i="38"/>
  <c r="AM119" i="38"/>
  <c r="AL119" i="38"/>
  <c r="AK119" i="38"/>
  <c r="AJ119" i="38"/>
  <c r="AI119" i="38"/>
  <c r="AH119" i="38"/>
  <c r="AG119" i="38"/>
  <c r="AF119" i="38"/>
  <c r="AE119" i="38"/>
  <c r="AD119" i="38"/>
  <c r="AC119" i="38"/>
  <c r="AB119" i="38"/>
  <c r="AA119" i="38"/>
  <c r="Z119" i="38"/>
  <c r="Y119" i="38"/>
  <c r="X119" i="38"/>
  <c r="V119" i="38"/>
  <c r="Q119" i="38"/>
  <c r="AO118" i="38"/>
  <c r="AN118" i="38"/>
  <c r="AM118" i="38"/>
  <c r="AL118" i="38"/>
  <c r="AK118" i="38"/>
  <c r="AJ118" i="38"/>
  <c r="AI118" i="38"/>
  <c r="AH118" i="38"/>
  <c r="AG118" i="38"/>
  <c r="AF118" i="38"/>
  <c r="AE118" i="38"/>
  <c r="AD118" i="38"/>
  <c r="AC118" i="38"/>
  <c r="AB118" i="38"/>
  <c r="AA118" i="38"/>
  <c r="Z118" i="38"/>
  <c r="Y118" i="38"/>
  <c r="X118" i="38"/>
  <c r="V118" i="38"/>
  <c r="Q118" i="38"/>
  <c r="AO117" i="38"/>
  <c r="AN117" i="38"/>
  <c r="AM117" i="38"/>
  <c r="AL117" i="38"/>
  <c r="AK117" i="38"/>
  <c r="AJ117" i="38"/>
  <c r="AI117" i="38"/>
  <c r="AH117" i="38"/>
  <c r="AG117" i="38"/>
  <c r="AF117" i="38"/>
  <c r="AE117" i="38"/>
  <c r="AD117" i="38"/>
  <c r="AC117" i="38"/>
  <c r="AB117" i="38"/>
  <c r="AA117" i="38"/>
  <c r="Z117" i="38"/>
  <c r="Y117" i="38"/>
  <c r="X117" i="38"/>
  <c r="V117" i="38"/>
  <c r="Q117" i="38"/>
  <c r="AO116" i="38"/>
  <c r="AN116" i="38"/>
  <c r="AM116" i="38"/>
  <c r="AL116" i="38"/>
  <c r="AK116" i="38"/>
  <c r="AJ116" i="38"/>
  <c r="AI116" i="38"/>
  <c r="AH116" i="38"/>
  <c r="AG116" i="38"/>
  <c r="AF116" i="38"/>
  <c r="AE116" i="38"/>
  <c r="AD116" i="38"/>
  <c r="AC116" i="38"/>
  <c r="AB116" i="38"/>
  <c r="AA116" i="38"/>
  <c r="Z116" i="38"/>
  <c r="Y116" i="38"/>
  <c r="X116" i="38"/>
  <c r="V116" i="38"/>
  <c r="AO115" i="38"/>
  <c r="AN115" i="38"/>
  <c r="AM115" i="38"/>
  <c r="AL115" i="38"/>
  <c r="AK115" i="38"/>
  <c r="AJ115" i="38"/>
  <c r="AI115" i="38"/>
  <c r="AH115" i="38"/>
  <c r="AG115" i="38"/>
  <c r="AF115" i="38"/>
  <c r="AE115" i="38"/>
  <c r="AD115" i="38"/>
  <c r="AC115" i="38"/>
  <c r="AB115" i="38"/>
  <c r="AA115" i="38"/>
  <c r="Z115" i="38"/>
  <c r="Y115" i="38"/>
  <c r="X115" i="38"/>
  <c r="W115" i="38"/>
  <c r="V115" i="38"/>
  <c r="AO114" i="38"/>
  <c r="AN114" i="38"/>
  <c r="AM114" i="38"/>
  <c r="AL114" i="38"/>
  <c r="AK114" i="38"/>
  <c r="AJ114" i="38"/>
  <c r="AI114" i="38"/>
  <c r="AH114" i="38"/>
  <c r="AG114" i="38"/>
  <c r="AF114" i="38"/>
  <c r="AE114" i="38"/>
  <c r="AD114" i="38"/>
  <c r="AC114" i="38"/>
  <c r="AB114" i="38"/>
  <c r="AA114" i="38"/>
  <c r="Z114" i="38"/>
  <c r="Y114" i="38"/>
  <c r="X114" i="38"/>
  <c r="W114" i="38"/>
  <c r="V114" i="38"/>
  <c r="AO113" i="38"/>
  <c r="AN113" i="38"/>
  <c r="AM113" i="38"/>
  <c r="AL113" i="38"/>
  <c r="AK113" i="38"/>
  <c r="AJ113" i="38"/>
  <c r="AI113" i="38"/>
  <c r="AH113" i="38"/>
  <c r="AG113" i="38"/>
  <c r="AF113" i="38"/>
  <c r="AE113" i="38"/>
  <c r="AD113" i="38"/>
  <c r="AC113" i="38"/>
  <c r="AB113" i="38"/>
  <c r="AA113" i="38"/>
  <c r="Z113" i="38"/>
  <c r="Y113" i="38"/>
  <c r="X113" i="38"/>
  <c r="W113" i="38"/>
  <c r="V113" i="38"/>
  <c r="AO112" i="38"/>
  <c r="AN112" i="38"/>
  <c r="AM112" i="38"/>
  <c r="AL112" i="38"/>
  <c r="AK112" i="38"/>
  <c r="AJ112" i="38"/>
  <c r="AI112" i="38"/>
  <c r="AH112" i="38"/>
  <c r="AG112" i="38"/>
  <c r="AF112" i="38"/>
  <c r="AE112" i="38"/>
  <c r="AD112" i="38"/>
  <c r="AC112" i="38"/>
  <c r="AB112" i="38"/>
  <c r="AA112" i="38"/>
  <c r="Z112" i="38"/>
  <c r="Y112" i="38"/>
  <c r="X112" i="38"/>
  <c r="V112" i="38"/>
  <c r="AO111" i="38"/>
  <c r="AN111" i="38"/>
  <c r="AM111" i="38"/>
  <c r="AL111" i="38"/>
  <c r="AK111" i="38"/>
  <c r="AJ111" i="38"/>
  <c r="AI111" i="38"/>
  <c r="AH111" i="38"/>
  <c r="AG111" i="38"/>
  <c r="AF111" i="38"/>
  <c r="AE111" i="38"/>
  <c r="AD111" i="38"/>
  <c r="AC111" i="38"/>
  <c r="AB111" i="38"/>
  <c r="AA111" i="38"/>
  <c r="Z111" i="38"/>
  <c r="Y111" i="38"/>
  <c r="X111" i="38"/>
  <c r="V111" i="38"/>
  <c r="AO110" i="38"/>
  <c r="AN110" i="38"/>
  <c r="AM110" i="38"/>
  <c r="AL110" i="38"/>
  <c r="AK110" i="38"/>
  <c r="AJ110" i="38"/>
  <c r="AI110" i="38"/>
  <c r="AH110" i="38"/>
  <c r="AG110" i="38"/>
  <c r="AF110" i="38"/>
  <c r="AE110" i="38"/>
  <c r="AD110" i="38"/>
  <c r="AC110" i="38"/>
  <c r="AB110" i="38"/>
  <c r="AA110" i="38"/>
  <c r="Z110" i="38"/>
  <c r="Y110" i="38"/>
  <c r="X110" i="38"/>
  <c r="V110" i="38"/>
  <c r="AO109" i="38"/>
  <c r="AN109" i="38"/>
  <c r="AM109" i="38"/>
  <c r="AL109" i="38"/>
  <c r="AK109" i="38"/>
  <c r="AJ109" i="38"/>
  <c r="AI109" i="38"/>
  <c r="AH109" i="38"/>
  <c r="AG109" i="38"/>
  <c r="AF109" i="38"/>
  <c r="AE109" i="38"/>
  <c r="AD109" i="38"/>
  <c r="AC109" i="38"/>
  <c r="AB109" i="38"/>
  <c r="AA109" i="38"/>
  <c r="Z109" i="38"/>
  <c r="Y109" i="38"/>
  <c r="X109" i="38"/>
  <c r="V109" i="38"/>
  <c r="AO108" i="38"/>
  <c r="AN108" i="38"/>
  <c r="AM108" i="38"/>
  <c r="AL108" i="38"/>
  <c r="AK108" i="38"/>
  <c r="AJ108" i="38"/>
  <c r="AI108" i="38"/>
  <c r="AH108" i="38"/>
  <c r="AG108" i="38"/>
  <c r="AF108" i="38"/>
  <c r="AE108" i="38"/>
  <c r="AD108" i="38"/>
  <c r="AC108" i="38"/>
  <c r="AB108" i="38"/>
  <c r="AA108" i="38"/>
  <c r="Z108" i="38"/>
  <c r="Y108" i="38"/>
  <c r="X108" i="38"/>
  <c r="V108" i="38"/>
  <c r="AO107" i="38"/>
  <c r="AN107" i="38"/>
  <c r="AM107" i="38"/>
  <c r="AL107" i="38"/>
  <c r="AK107" i="38"/>
  <c r="AJ107" i="38"/>
  <c r="AI107" i="38"/>
  <c r="AH107" i="38"/>
  <c r="AG107" i="38"/>
  <c r="AF107" i="38"/>
  <c r="AE107" i="38"/>
  <c r="AD107" i="38"/>
  <c r="AC107" i="38"/>
  <c r="AB107" i="38"/>
  <c r="AA107" i="38"/>
  <c r="Z107" i="38"/>
  <c r="Y107" i="38"/>
  <c r="X107" i="38"/>
  <c r="V107" i="38"/>
  <c r="AO106" i="38"/>
  <c r="AN106" i="38"/>
  <c r="AM106" i="38"/>
  <c r="AL106" i="38"/>
  <c r="AK106" i="38"/>
  <c r="AJ106" i="38"/>
  <c r="AI106" i="38"/>
  <c r="AH106" i="38"/>
  <c r="AG106" i="38"/>
  <c r="AF106" i="38"/>
  <c r="AE106" i="38"/>
  <c r="AD106" i="38"/>
  <c r="AC106" i="38"/>
  <c r="AB106" i="38"/>
  <c r="AA106" i="38"/>
  <c r="Z106" i="38"/>
  <c r="Y106" i="38"/>
  <c r="X106" i="38"/>
  <c r="V106" i="38"/>
  <c r="AO105" i="38"/>
  <c r="AN105" i="38"/>
  <c r="AM105" i="38"/>
  <c r="AL105" i="38"/>
  <c r="AK105" i="38"/>
  <c r="AJ105" i="38"/>
  <c r="AI105" i="38"/>
  <c r="AH105" i="38"/>
  <c r="AG105" i="38"/>
  <c r="AF105" i="38"/>
  <c r="AE105" i="38"/>
  <c r="AD105" i="38"/>
  <c r="AC105" i="38"/>
  <c r="AB105" i="38"/>
  <c r="AA105" i="38"/>
  <c r="Z105" i="38"/>
  <c r="Y105" i="38"/>
  <c r="X105" i="38"/>
  <c r="V105" i="38"/>
  <c r="AO104" i="38"/>
  <c r="AN104" i="38"/>
  <c r="AM104" i="38"/>
  <c r="AL104" i="38"/>
  <c r="AK104" i="38"/>
  <c r="AJ104" i="38"/>
  <c r="AI104" i="38"/>
  <c r="AH104" i="38"/>
  <c r="AG104" i="38"/>
  <c r="AF104" i="38"/>
  <c r="AE104" i="38"/>
  <c r="AD104" i="38"/>
  <c r="AC104" i="38"/>
  <c r="AB104" i="38"/>
  <c r="AA104" i="38"/>
  <c r="Z104" i="38"/>
  <c r="Y104" i="38"/>
  <c r="X104" i="38"/>
  <c r="W104" i="38"/>
  <c r="V104" i="38"/>
  <c r="AO103" i="38"/>
  <c r="AN103" i="38"/>
  <c r="AM103" i="38"/>
  <c r="AL103" i="38"/>
  <c r="AK103" i="38"/>
  <c r="AJ103" i="38"/>
  <c r="AI103" i="38"/>
  <c r="AH103" i="38"/>
  <c r="AG103" i="38"/>
  <c r="AF103" i="38"/>
  <c r="AE103" i="38"/>
  <c r="AD103" i="38"/>
  <c r="AC103" i="38"/>
  <c r="AB103" i="38"/>
  <c r="AA103" i="38"/>
  <c r="Z103" i="38"/>
  <c r="Y103" i="38"/>
  <c r="X103" i="38"/>
  <c r="V103" i="38"/>
  <c r="AO102" i="38"/>
  <c r="AN102" i="38"/>
  <c r="AM102" i="38"/>
  <c r="AL102" i="38"/>
  <c r="AK102" i="38"/>
  <c r="AJ102" i="38"/>
  <c r="AI102" i="38"/>
  <c r="AH102" i="38"/>
  <c r="AG102" i="38"/>
  <c r="AF102" i="38"/>
  <c r="AE102" i="38"/>
  <c r="AD102" i="38"/>
  <c r="AC102" i="38"/>
  <c r="AB102" i="38"/>
  <c r="AA102" i="38"/>
  <c r="Z102" i="38"/>
  <c r="Y102" i="38"/>
  <c r="X102" i="38"/>
  <c r="W102" i="38"/>
  <c r="V102" i="38"/>
  <c r="AO101" i="38"/>
  <c r="AN101" i="38"/>
  <c r="AM101" i="38"/>
  <c r="AL101" i="38"/>
  <c r="AK101" i="38"/>
  <c r="AJ101" i="38"/>
  <c r="AI101" i="38"/>
  <c r="AH101" i="38"/>
  <c r="AG101" i="38"/>
  <c r="AF101" i="38"/>
  <c r="AE101" i="38"/>
  <c r="AD101" i="38"/>
  <c r="AC101" i="38"/>
  <c r="AB101" i="38"/>
  <c r="AA101" i="38"/>
  <c r="Z101" i="38"/>
  <c r="Y101" i="38"/>
  <c r="X101" i="38"/>
  <c r="V101" i="38"/>
  <c r="AO100" i="38"/>
  <c r="AN100" i="38"/>
  <c r="AM100" i="38"/>
  <c r="AL100" i="38"/>
  <c r="AK100" i="38"/>
  <c r="AJ100" i="38"/>
  <c r="AI100" i="38"/>
  <c r="AH100" i="38"/>
  <c r="AG100" i="38"/>
  <c r="AF100" i="38"/>
  <c r="AE100" i="38"/>
  <c r="AD100" i="38"/>
  <c r="AC100" i="38"/>
  <c r="AB100" i="38"/>
  <c r="AA100" i="38"/>
  <c r="Z100" i="38"/>
  <c r="Y100" i="38"/>
  <c r="X100" i="38"/>
  <c r="V100" i="38"/>
  <c r="AD95" i="38"/>
  <c r="AC95" i="38"/>
  <c r="AA95" i="38"/>
  <c r="X95" i="38"/>
  <c r="W95" i="38"/>
  <c r="AC94" i="38"/>
  <c r="AB94" i="38"/>
  <c r="Z94" i="38"/>
  <c r="Y94" i="38"/>
  <c r="X94" i="38"/>
  <c r="W94" i="38"/>
  <c r="V94" i="38"/>
  <c r="AD93" i="38"/>
  <c r="AB93" i="38"/>
  <c r="AA93" i="38"/>
  <c r="Z93" i="38"/>
  <c r="Y93" i="38"/>
  <c r="V93" i="38"/>
  <c r="AD92" i="38"/>
  <c r="AC92" i="38"/>
  <c r="X92" i="38"/>
  <c r="W92" i="38"/>
  <c r="AD91" i="38"/>
  <c r="AC91" i="38"/>
  <c r="Z91" i="38"/>
  <c r="Y91" i="38"/>
  <c r="X91" i="38"/>
  <c r="W91" i="38"/>
  <c r="AB90" i="38"/>
  <c r="AA90" i="38"/>
  <c r="Y90" i="38"/>
  <c r="X90" i="38"/>
  <c r="AC89" i="38"/>
  <c r="Z89" i="38"/>
  <c r="X89" i="38"/>
  <c r="W89" i="38"/>
  <c r="AD88" i="38"/>
  <c r="AE88" i="38" s="1"/>
  <c r="Z88" i="38"/>
  <c r="Y88" i="38"/>
  <c r="B88" i="38"/>
  <c r="AA87" i="38"/>
  <c r="V87" i="38"/>
  <c r="B85" i="38"/>
  <c r="Z82" i="38"/>
  <c r="Y82" i="38"/>
  <c r="X82" i="38"/>
  <c r="W82" i="38"/>
  <c r="V82" i="38"/>
  <c r="B82" i="38"/>
  <c r="Z81" i="38"/>
  <c r="Y81" i="38"/>
  <c r="X81" i="38"/>
  <c r="W81" i="38"/>
  <c r="V81" i="38"/>
  <c r="Z80" i="38"/>
  <c r="Y80" i="38"/>
  <c r="X80" i="38"/>
  <c r="W80" i="38"/>
  <c r="V80" i="38"/>
  <c r="Z79" i="38"/>
  <c r="Y79" i="38"/>
  <c r="X79" i="38"/>
  <c r="W79" i="38"/>
  <c r="V79" i="38"/>
  <c r="Z78" i="38"/>
  <c r="Y78" i="38"/>
  <c r="X78" i="38"/>
  <c r="W78" i="38"/>
  <c r="V78" i="38"/>
  <c r="Z77" i="38"/>
  <c r="Y77" i="38"/>
  <c r="X77" i="38"/>
  <c r="W77" i="38"/>
  <c r="V77" i="38"/>
  <c r="Z76" i="38"/>
  <c r="Y76" i="38"/>
  <c r="X76" i="38"/>
  <c r="W76" i="38"/>
  <c r="V76" i="38"/>
  <c r="Z75" i="38"/>
  <c r="Y75" i="38"/>
  <c r="X75" i="38"/>
  <c r="V75" i="38"/>
  <c r="Z74" i="38"/>
  <c r="Y74" i="38"/>
  <c r="X74" i="38"/>
  <c r="W74" i="38"/>
  <c r="V74" i="38"/>
  <c r="Z73" i="38"/>
  <c r="Y73" i="38"/>
  <c r="X73" i="38"/>
  <c r="W73" i="38"/>
  <c r="V73" i="38"/>
  <c r="Z68" i="38"/>
  <c r="Y68" i="38"/>
  <c r="X68" i="38"/>
  <c r="W68" i="38"/>
  <c r="V68" i="38"/>
  <c r="Z67" i="38"/>
  <c r="Y67" i="38"/>
  <c r="X67" i="38"/>
  <c r="W67" i="38"/>
  <c r="V67" i="38"/>
  <c r="Z66" i="38"/>
  <c r="Y66" i="38"/>
  <c r="X66" i="38"/>
  <c r="V66" i="38"/>
  <c r="Z65" i="38"/>
  <c r="Y65" i="38"/>
  <c r="X65" i="38"/>
  <c r="W65" i="38"/>
  <c r="V65" i="38"/>
  <c r="Z64" i="38"/>
  <c r="Y64" i="38"/>
  <c r="X64" i="38"/>
  <c r="W64" i="38"/>
  <c r="V64" i="38"/>
  <c r="Z63" i="38"/>
  <c r="Y63" i="38"/>
  <c r="X63" i="38"/>
  <c r="W63" i="38"/>
  <c r="V63" i="38"/>
  <c r="B63" i="38"/>
  <c r="Z62" i="38"/>
  <c r="Y62" i="38"/>
  <c r="X62" i="38"/>
  <c r="W62" i="38"/>
  <c r="V62" i="38"/>
  <c r="Z61" i="38"/>
  <c r="Y61" i="38"/>
  <c r="X61" i="38"/>
  <c r="W61" i="38"/>
  <c r="V61" i="38"/>
  <c r="Z60" i="38"/>
  <c r="Y60" i="38"/>
  <c r="X60" i="38"/>
  <c r="W60" i="38"/>
  <c r="V60" i="38"/>
  <c r="Z59" i="38"/>
  <c r="Y59" i="38"/>
  <c r="X59" i="38"/>
  <c r="W59" i="38"/>
  <c r="V59" i="38"/>
  <c r="Z58" i="38"/>
  <c r="Y58" i="38"/>
  <c r="X58" i="38"/>
  <c r="W58" i="38"/>
  <c r="V58" i="38"/>
  <c r="Z57" i="38"/>
  <c r="Y57" i="38"/>
  <c r="X57" i="38"/>
  <c r="W57" i="38"/>
  <c r="V57" i="38"/>
  <c r="Z56" i="38"/>
  <c r="Y56" i="38"/>
  <c r="X56" i="38"/>
  <c r="W56" i="38"/>
  <c r="V56" i="38"/>
  <c r="AC47" i="38"/>
  <c r="AC46" i="38"/>
  <c r="AE45" i="38"/>
  <c r="AC45" i="38"/>
  <c r="B45" i="38"/>
  <c r="AP44" i="38"/>
  <c r="B94" i="38" s="1"/>
  <c r="AP43" i="38"/>
  <c r="B91" i="38" s="1"/>
  <c r="AP42" i="38"/>
  <c r="X42" i="38"/>
  <c r="AP41" i="38"/>
  <c r="X41" i="38"/>
  <c r="AP40" i="38"/>
  <c r="X40" i="38"/>
  <c r="X39" i="38"/>
  <c r="X38" i="38"/>
  <c r="B38" i="38"/>
  <c r="AK37" i="38"/>
  <c r="AU59" i="38" s="1"/>
  <c r="X37" i="38"/>
  <c r="AL36" i="38"/>
  <c r="AK36" i="38"/>
  <c r="AU58" i="38" s="1"/>
  <c r="X36" i="38"/>
  <c r="AL35" i="38"/>
  <c r="AK35" i="38"/>
  <c r="AU57" i="38" s="1"/>
  <c r="X35" i="38"/>
  <c r="Q35" i="38"/>
  <c r="P35" i="38"/>
  <c r="O35" i="38" s="1"/>
  <c r="E18" i="38" s="1"/>
  <c r="AL34" i="38"/>
  <c r="AK34" i="38"/>
  <c r="AU56" i="38" s="1"/>
  <c r="X34" i="38"/>
  <c r="AQ33" i="38"/>
  <c r="AL33" i="38"/>
  <c r="AK33" i="38"/>
  <c r="AU55" i="38" s="1"/>
  <c r="X33" i="38"/>
  <c r="AL32" i="38"/>
  <c r="AK32" i="38"/>
  <c r="AU54" i="38" s="1"/>
  <c r="X32" i="38"/>
  <c r="AL31" i="38"/>
  <c r="AK31" i="38"/>
  <c r="AU53" i="38" s="1"/>
  <c r="AG31" i="38"/>
  <c r="X31" i="38"/>
  <c r="AL30" i="38"/>
  <c r="AK30" i="38"/>
  <c r="AU52" i="38" s="1"/>
  <c r="X30" i="38"/>
  <c r="B30" i="38"/>
  <c r="AQ29" i="38"/>
  <c r="AL29" i="38"/>
  <c r="AK29" i="38"/>
  <c r="AU51" i="38" s="1"/>
  <c r="X29" i="38"/>
  <c r="X28" i="38"/>
  <c r="AQ27" i="38"/>
  <c r="B27" i="38"/>
  <c r="P25" i="38"/>
  <c r="P24" i="38" s="1"/>
  <c r="G20" i="38" s="1"/>
  <c r="G24" i="38"/>
  <c r="E24" i="38"/>
  <c r="C24" i="38"/>
  <c r="AB23" i="38"/>
  <c r="AA23" i="38"/>
  <c r="Z23" i="38"/>
  <c r="AC23" i="38" s="1"/>
  <c r="AD22" i="38" s="1"/>
  <c r="AB39" i="38" s="1"/>
  <c r="AC32" i="38" s="1"/>
  <c r="Y23" i="38"/>
  <c r="I23" i="38"/>
  <c r="G23" i="38"/>
  <c r="E23" i="38"/>
  <c r="C23" i="38"/>
  <c r="AC22" i="38"/>
  <c r="AB22" i="38"/>
  <c r="AA22" i="38"/>
  <c r="Z22" i="38"/>
  <c r="Y22" i="38"/>
  <c r="I22" i="38"/>
  <c r="G22" i="38"/>
  <c r="E22" i="38"/>
  <c r="C22" i="38"/>
  <c r="I21" i="38"/>
  <c r="G21" i="38"/>
  <c r="E21" i="38"/>
  <c r="C21" i="38"/>
  <c r="AQ20" i="38"/>
  <c r="AI20" i="38"/>
  <c r="I20" i="38"/>
  <c r="AQ19" i="38"/>
  <c r="AI19" i="38"/>
  <c r="AQ18" i="38"/>
  <c r="AK18" i="38"/>
  <c r="AV26" i="38" s="1"/>
  <c r="AI18" i="38"/>
  <c r="AJ18" i="38" s="1"/>
  <c r="I18" i="38"/>
  <c r="AI17" i="38"/>
  <c r="AI16" i="38"/>
  <c r="AI15" i="38"/>
  <c r="AJ15" i="38" s="1"/>
  <c r="AK15" i="38" s="1"/>
  <c r="AU26" i="38" s="1"/>
  <c r="AQ14" i="38"/>
  <c r="AI14" i="38"/>
  <c r="I14" i="38"/>
  <c r="AQ13" i="38"/>
  <c r="AI13" i="38"/>
  <c r="AQ12" i="38"/>
  <c r="AI12" i="38"/>
  <c r="AJ12" i="38" s="1"/>
  <c r="AK12" i="38" s="1"/>
  <c r="AT26" i="38" s="1"/>
  <c r="AI11" i="38"/>
  <c r="AB11" i="38"/>
  <c r="AA11" i="38"/>
  <c r="Z11" i="38"/>
  <c r="AC11" i="38" s="1"/>
  <c r="Y11" i="38"/>
  <c r="AI10" i="38"/>
  <c r="AB10" i="38"/>
  <c r="AA10" i="38"/>
  <c r="Z10" i="38"/>
  <c r="AC10" i="38" s="1"/>
  <c r="Y10" i="38"/>
  <c r="AJ9" i="38"/>
  <c r="AI9" i="38"/>
  <c r="AB9" i="38"/>
  <c r="AA9" i="38"/>
  <c r="Z9" i="38"/>
  <c r="AC9" i="38" s="1"/>
  <c r="Y9" i="38"/>
  <c r="AQ8" i="38"/>
  <c r="AD8" i="38"/>
  <c r="AB36" i="38" s="1"/>
  <c r="AC8" i="38"/>
  <c r="AB8" i="38"/>
  <c r="AA8" i="38"/>
  <c r="Z8" i="38"/>
  <c r="Y8" i="38"/>
  <c r="AQ7" i="38"/>
  <c r="B51" i="38" s="1"/>
  <c r="AQ6" i="38"/>
  <c r="V46" i="37"/>
  <c r="AD31" i="37"/>
  <c r="AD32" i="37"/>
  <c r="AD30" i="37"/>
  <c r="AA215" i="37"/>
  <c r="V214" i="37"/>
  <c r="V213" i="37"/>
  <c r="V212" i="37"/>
  <c r="V211" i="37"/>
  <c r="V210" i="37"/>
  <c r="V209" i="37"/>
  <c r="V208" i="37"/>
  <c r="V207" i="37"/>
  <c r="V206" i="37"/>
  <c r="V205" i="37"/>
  <c r="V204" i="37"/>
  <c r="V203" i="37"/>
  <c r="V202" i="37"/>
  <c r="V201" i="37"/>
  <c r="V200" i="37"/>
  <c r="V199" i="37"/>
  <c r="V198" i="37"/>
  <c r="V197" i="37"/>
  <c r="V196" i="37"/>
  <c r="V195" i="37"/>
  <c r="V194" i="37"/>
  <c r="V193" i="37"/>
  <c r="V192" i="37"/>
  <c r="V191" i="37"/>
  <c r="V190" i="37"/>
  <c r="V189" i="37"/>
  <c r="V188" i="37"/>
  <c r="AO179" i="37"/>
  <c r="AN179" i="37"/>
  <c r="AM179" i="37"/>
  <c r="AL179" i="37"/>
  <c r="AK179" i="37"/>
  <c r="AJ179" i="37"/>
  <c r="AI179" i="37"/>
  <c r="AH179" i="37"/>
  <c r="AG179" i="37"/>
  <c r="AF179" i="37"/>
  <c r="AE179" i="37"/>
  <c r="AD179" i="37"/>
  <c r="AC179" i="37"/>
  <c r="AB179" i="37"/>
  <c r="AA179" i="37"/>
  <c r="Z179" i="37"/>
  <c r="Y179" i="37"/>
  <c r="X179" i="37"/>
  <c r="W179" i="37"/>
  <c r="V179" i="37"/>
  <c r="AO178" i="37"/>
  <c r="AN178" i="37"/>
  <c r="AM178" i="37"/>
  <c r="AL178" i="37"/>
  <c r="AK178" i="37"/>
  <c r="AJ178" i="37"/>
  <c r="AI178" i="37"/>
  <c r="AH178" i="37"/>
  <c r="AG178" i="37"/>
  <c r="AF178" i="37"/>
  <c r="AE178" i="37"/>
  <c r="AD178" i="37"/>
  <c r="AC178" i="37"/>
  <c r="AB178" i="37"/>
  <c r="AA178" i="37"/>
  <c r="Z178" i="37"/>
  <c r="Y178" i="37"/>
  <c r="X178" i="37"/>
  <c r="W178" i="37"/>
  <c r="V178" i="37"/>
  <c r="AO177" i="37"/>
  <c r="AN177" i="37"/>
  <c r="AM177" i="37"/>
  <c r="AL177" i="37"/>
  <c r="AK177" i="37"/>
  <c r="AJ177" i="37"/>
  <c r="AI177" i="37"/>
  <c r="AH177" i="37"/>
  <c r="AG177" i="37"/>
  <c r="AF177" i="37"/>
  <c r="AE177" i="37"/>
  <c r="AD177" i="37"/>
  <c r="AC177" i="37"/>
  <c r="AB177" i="37"/>
  <c r="AA177" i="37"/>
  <c r="Z177" i="37"/>
  <c r="Y177" i="37"/>
  <c r="X177" i="37"/>
  <c r="W177" i="37"/>
  <c r="V177" i="37"/>
  <c r="AO176" i="37"/>
  <c r="AN176" i="37"/>
  <c r="AM176" i="37"/>
  <c r="AL176" i="37"/>
  <c r="AK176" i="37"/>
  <c r="AJ176" i="37"/>
  <c r="AI176" i="37"/>
  <c r="AH176" i="37"/>
  <c r="AG176" i="37"/>
  <c r="AF176" i="37"/>
  <c r="AE176" i="37"/>
  <c r="AD176" i="37"/>
  <c r="AC176" i="37"/>
  <c r="AB176" i="37"/>
  <c r="AA176" i="37"/>
  <c r="Z176" i="37"/>
  <c r="Y176" i="37"/>
  <c r="X176" i="37"/>
  <c r="V176" i="37"/>
  <c r="AO175" i="37"/>
  <c r="AN175" i="37"/>
  <c r="AM175" i="37"/>
  <c r="AL175" i="37"/>
  <c r="AK175" i="37"/>
  <c r="AJ175" i="37"/>
  <c r="AI175" i="37"/>
  <c r="AH175" i="37"/>
  <c r="AG175" i="37"/>
  <c r="AF175" i="37"/>
  <c r="AE175" i="37"/>
  <c r="AD175" i="37"/>
  <c r="AC175" i="37"/>
  <c r="AB175" i="37"/>
  <c r="AA175" i="37"/>
  <c r="Z175" i="37"/>
  <c r="Y175" i="37"/>
  <c r="X175" i="37"/>
  <c r="V175" i="37"/>
  <c r="AO174" i="37"/>
  <c r="AN174" i="37"/>
  <c r="AM174" i="37"/>
  <c r="AL174" i="37"/>
  <c r="AK174" i="37"/>
  <c r="AJ174" i="37"/>
  <c r="AI174" i="37"/>
  <c r="AH174" i="37"/>
  <c r="AG174" i="37"/>
  <c r="AF174" i="37"/>
  <c r="AE174" i="37"/>
  <c r="AD174" i="37"/>
  <c r="AC174" i="37"/>
  <c r="AB174" i="37"/>
  <c r="AA174" i="37"/>
  <c r="Z174" i="37"/>
  <c r="Y174" i="37"/>
  <c r="X174" i="37"/>
  <c r="V174" i="37"/>
  <c r="AO173" i="37"/>
  <c r="AN173" i="37"/>
  <c r="AM173" i="37"/>
  <c r="AL173" i="37"/>
  <c r="AK173" i="37"/>
  <c r="AJ173" i="37"/>
  <c r="AI173" i="37"/>
  <c r="AH173" i="37"/>
  <c r="AG173" i="37"/>
  <c r="AF173" i="37"/>
  <c r="AE173" i="37"/>
  <c r="AD173" i="37"/>
  <c r="AC173" i="37"/>
  <c r="AB173" i="37"/>
  <c r="AA173" i="37"/>
  <c r="Z173" i="37"/>
  <c r="Y173" i="37"/>
  <c r="X173" i="37"/>
  <c r="V173" i="37"/>
  <c r="AO172" i="37"/>
  <c r="AN172" i="37"/>
  <c r="AM172" i="37"/>
  <c r="AL172" i="37"/>
  <c r="AK172" i="37"/>
  <c r="AJ172" i="37"/>
  <c r="AI172" i="37"/>
  <c r="AH172" i="37"/>
  <c r="AG172" i="37"/>
  <c r="AF172" i="37"/>
  <c r="AE172" i="37"/>
  <c r="AD172" i="37"/>
  <c r="AC172" i="37"/>
  <c r="AB172" i="37"/>
  <c r="AA172" i="37"/>
  <c r="Z172" i="37"/>
  <c r="Y172" i="37"/>
  <c r="X172" i="37"/>
  <c r="W172" i="37"/>
  <c r="V172" i="37"/>
  <c r="AO171" i="37"/>
  <c r="AN171" i="37"/>
  <c r="AM171" i="37"/>
  <c r="AL171" i="37"/>
  <c r="AK171" i="37"/>
  <c r="AJ171" i="37"/>
  <c r="AI171" i="37"/>
  <c r="AH171" i="37"/>
  <c r="AG171" i="37"/>
  <c r="AF171" i="37"/>
  <c r="AE171" i="37"/>
  <c r="AD171" i="37"/>
  <c r="AC171" i="37"/>
  <c r="AB171" i="37"/>
  <c r="AA171" i="37"/>
  <c r="Z171" i="37"/>
  <c r="Y171" i="37"/>
  <c r="X171" i="37"/>
  <c r="V171" i="37"/>
  <c r="AO170" i="37"/>
  <c r="AN170" i="37"/>
  <c r="AM170" i="37"/>
  <c r="AL170" i="37"/>
  <c r="AK170" i="37"/>
  <c r="AJ170" i="37"/>
  <c r="AI170" i="37"/>
  <c r="AH170" i="37"/>
  <c r="AG170" i="37"/>
  <c r="AF170" i="37"/>
  <c r="AE170" i="37"/>
  <c r="AD170" i="37"/>
  <c r="AC170" i="37"/>
  <c r="AB170" i="37"/>
  <c r="AA170" i="37"/>
  <c r="Z170" i="37"/>
  <c r="Y170" i="37"/>
  <c r="X170" i="37"/>
  <c r="V170" i="37"/>
  <c r="AO169" i="37"/>
  <c r="AN169" i="37"/>
  <c r="AM169" i="37"/>
  <c r="AL169" i="37"/>
  <c r="AK169" i="37"/>
  <c r="AJ169" i="37"/>
  <c r="AI169" i="37"/>
  <c r="AH169" i="37"/>
  <c r="AG169" i="37"/>
  <c r="AF169" i="37"/>
  <c r="AE169" i="37"/>
  <c r="AD169" i="37"/>
  <c r="AC169" i="37"/>
  <c r="AB169" i="37"/>
  <c r="AA169" i="37"/>
  <c r="Z169" i="37"/>
  <c r="Y169" i="37"/>
  <c r="X169" i="37"/>
  <c r="W169" i="37"/>
  <c r="V169" i="37"/>
  <c r="AO168" i="37"/>
  <c r="AN168" i="37"/>
  <c r="AM168" i="37"/>
  <c r="AL168" i="37"/>
  <c r="AK168" i="37"/>
  <c r="AJ168" i="37"/>
  <c r="AI168" i="37"/>
  <c r="AH168" i="37"/>
  <c r="AG168" i="37"/>
  <c r="AF168" i="37"/>
  <c r="AE168" i="37"/>
  <c r="AD168" i="37"/>
  <c r="AD95" i="37" s="1"/>
  <c r="AC168" i="37"/>
  <c r="AB168" i="37"/>
  <c r="AB95" i="37" s="1"/>
  <c r="AA168" i="37"/>
  <c r="AA95" i="37" s="1"/>
  <c r="Z168" i="37"/>
  <c r="Z95" i="37" s="1"/>
  <c r="Y168" i="37"/>
  <c r="X168" i="37"/>
  <c r="W168" i="37"/>
  <c r="V168" i="37"/>
  <c r="AO167" i="37"/>
  <c r="AN167" i="37"/>
  <c r="AM167" i="37"/>
  <c r="AL167" i="37"/>
  <c r="X94" i="37" s="1"/>
  <c r="AK167" i="37"/>
  <c r="AJ167" i="37"/>
  <c r="AI167" i="37"/>
  <c r="AH167" i="37"/>
  <c r="AG167" i="37"/>
  <c r="AF167" i="37"/>
  <c r="AE167" i="37"/>
  <c r="AD167" i="37"/>
  <c r="AD94" i="37" s="1"/>
  <c r="AC167" i="37"/>
  <c r="AC94" i="37" s="1"/>
  <c r="AB167" i="37"/>
  <c r="AB94" i="37" s="1"/>
  <c r="AA167" i="37"/>
  <c r="Z167" i="37"/>
  <c r="Z94" i="37" s="1"/>
  <c r="Y167" i="37"/>
  <c r="X167" i="37"/>
  <c r="W167" i="37"/>
  <c r="W94" i="37" s="1"/>
  <c r="V167" i="37"/>
  <c r="V94" i="37" s="1"/>
  <c r="AO166" i="37"/>
  <c r="AN166" i="37"/>
  <c r="AM166" i="37"/>
  <c r="AL166" i="37"/>
  <c r="AK166" i="37"/>
  <c r="AJ166" i="37"/>
  <c r="AI166" i="37"/>
  <c r="AH166" i="37"/>
  <c r="AG166" i="37"/>
  <c r="AF166" i="37"/>
  <c r="AE166" i="37"/>
  <c r="AD166" i="37"/>
  <c r="AD93" i="37" s="1"/>
  <c r="AC166" i="37"/>
  <c r="AB166" i="37"/>
  <c r="AB93" i="37" s="1"/>
  <c r="AA166" i="37"/>
  <c r="Z166" i="37"/>
  <c r="Z93" i="37" s="1"/>
  <c r="Y166" i="37"/>
  <c r="Y93" i="37" s="1"/>
  <c r="X166" i="37"/>
  <c r="W166" i="37"/>
  <c r="V166" i="37"/>
  <c r="V93" i="37" s="1"/>
  <c r="AO165" i="37"/>
  <c r="AN165" i="37"/>
  <c r="AM165" i="37"/>
  <c r="AL165" i="37"/>
  <c r="X92" i="37" s="1"/>
  <c r="AK165" i="37"/>
  <c r="AJ165" i="37"/>
  <c r="AI165" i="37"/>
  <c r="AH165" i="37"/>
  <c r="AG165" i="37"/>
  <c r="AF165" i="37"/>
  <c r="AE165" i="37"/>
  <c r="AD165" i="37"/>
  <c r="AD92" i="37" s="1"/>
  <c r="AC165" i="37"/>
  <c r="AB165" i="37"/>
  <c r="AB92" i="37" s="1"/>
  <c r="AA165" i="37"/>
  <c r="AA92" i="37" s="1"/>
  <c r="Z165" i="37"/>
  <c r="Z92" i="37" s="1"/>
  <c r="Y165" i="37"/>
  <c r="X165" i="37"/>
  <c r="W165" i="37"/>
  <c r="V165" i="37"/>
  <c r="V92" i="37" s="1"/>
  <c r="AO164" i="37"/>
  <c r="AN164" i="37"/>
  <c r="AM164" i="37"/>
  <c r="AL164" i="37"/>
  <c r="X91" i="37" s="1"/>
  <c r="AK164" i="37"/>
  <c r="AJ164" i="37"/>
  <c r="AI164" i="37"/>
  <c r="AH164" i="37"/>
  <c r="AG164" i="37"/>
  <c r="AF164" i="37"/>
  <c r="AE164" i="37"/>
  <c r="AD164" i="37"/>
  <c r="AC164" i="37"/>
  <c r="AB164" i="37"/>
  <c r="AA164" i="37"/>
  <c r="Z164" i="37"/>
  <c r="Z91" i="37" s="1"/>
  <c r="Y164" i="37"/>
  <c r="X164" i="37"/>
  <c r="W164" i="37"/>
  <c r="W91" i="37" s="1"/>
  <c r="V164" i="37"/>
  <c r="V91" i="37" s="1"/>
  <c r="AO163" i="37"/>
  <c r="AN163" i="37"/>
  <c r="AM163" i="37"/>
  <c r="AL163" i="37"/>
  <c r="X90" i="37" s="1"/>
  <c r="AK163" i="37"/>
  <c r="AJ163" i="37"/>
  <c r="AI163" i="37"/>
  <c r="AH163" i="37"/>
  <c r="AG163" i="37"/>
  <c r="AF163" i="37"/>
  <c r="AE163" i="37"/>
  <c r="AD163" i="37"/>
  <c r="AD90" i="37" s="1"/>
  <c r="AC163" i="37"/>
  <c r="AB163" i="37"/>
  <c r="AB90" i="37" s="1"/>
  <c r="AA163" i="37"/>
  <c r="Z163" i="37"/>
  <c r="Z90" i="37" s="1"/>
  <c r="Y163" i="37"/>
  <c r="Y90" i="37" s="1"/>
  <c r="X163" i="37"/>
  <c r="W163" i="37"/>
  <c r="V163" i="37"/>
  <c r="V90" i="37" s="1"/>
  <c r="AO162" i="37"/>
  <c r="AN162" i="37"/>
  <c r="AM162" i="37"/>
  <c r="AL162" i="37"/>
  <c r="X89" i="37" s="1"/>
  <c r="AK162" i="37"/>
  <c r="AJ162" i="37"/>
  <c r="AI162" i="37"/>
  <c r="AH162" i="37"/>
  <c r="AG162" i="37"/>
  <c r="AF162" i="37"/>
  <c r="AE162" i="37"/>
  <c r="AD162" i="37"/>
  <c r="AD89" i="37" s="1"/>
  <c r="AC162" i="37"/>
  <c r="AB162" i="37"/>
  <c r="AB89" i="37" s="1"/>
  <c r="AA162" i="37"/>
  <c r="AA89" i="37" s="1"/>
  <c r="Z162" i="37"/>
  <c r="Z89" i="37" s="1"/>
  <c r="Y162" i="37"/>
  <c r="X162" i="37"/>
  <c r="W162" i="37"/>
  <c r="V162" i="37"/>
  <c r="V89" i="37" s="1"/>
  <c r="AO161" i="37"/>
  <c r="AN161" i="37"/>
  <c r="AM161" i="37"/>
  <c r="AL161" i="37"/>
  <c r="X88" i="37" s="1"/>
  <c r="AK161" i="37"/>
  <c r="AJ161" i="37"/>
  <c r="AI161" i="37"/>
  <c r="AH161" i="37"/>
  <c r="AG161" i="37"/>
  <c r="AF161" i="37"/>
  <c r="AE161" i="37"/>
  <c r="AD161" i="37"/>
  <c r="AC161" i="37"/>
  <c r="AC88" i="37" s="1"/>
  <c r="AB161" i="37"/>
  <c r="AB88" i="37" s="1"/>
  <c r="AA161" i="37"/>
  <c r="Z161" i="37"/>
  <c r="Z88" i="37" s="1"/>
  <c r="Y161" i="37"/>
  <c r="X161" i="37"/>
  <c r="W161" i="37"/>
  <c r="W88" i="37" s="1"/>
  <c r="V161" i="37"/>
  <c r="V88" i="37" s="1"/>
  <c r="AO160" i="37"/>
  <c r="AN160" i="37"/>
  <c r="AM160" i="37"/>
  <c r="AL160" i="37"/>
  <c r="X87" i="37" s="1"/>
  <c r="AK160" i="37"/>
  <c r="AJ160" i="37"/>
  <c r="AI160" i="37"/>
  <c r="AH160" i="37"/>
  <c r="AG160" i="37"/>
  <c r="AF160" i="37"/>
  <c r="AE160" i="37"/>
  <c r="AD160" i="37"/>
  <c r="AD87" i="37" s="1"/>
  <c r="AC160" i="37"/>
  <c r="AB160" i="37"/>
  <c r="AB87" i="37" s="1"/>
  <c r="AA160" i="37"/>
  <c r="Z160" i="37"/>
  <c r="Z87" i="37" s="1"/>
  <c r="Y160" i="37"/>
  <c r="Y87" i="37" s="1"/>
  <c r="X160" i="37"/>
  <c r="V160" i="37"/>
  <c r="V87" i="37" s="1"/>
  <c r="AO159" i="37"/>
  <c r="AN159" i="37"/>
  <c r="AM159" i="37"/>
  <c r="AL159" i="37"/>
  <c r="AK159" i="37"/>
  <c r="AJ159" i="37"/>
  <c r="AI159" i="37"/>
  <c r="AH159" i="37"/>
  <c r="AG159" i="37"/>
  <c r="AF159" i="37"/>
  <c r="AE159" i="37"/>
  <c r="AD159" i="37"/>
  <c r="AC159" i="37"/>
  <c r="AB159" i="37"/>
  <c r="AA159" i="37"/>
  <c r="Z159" i="37"/>
  <c r="Y159" i="37"/>
  <c r="X159" i="37"/>
  <c r="W159" i="37"/>
  <c r="V159" i="37"/>
  <c r="AO158" i="37"/>
  <c r="AN158" i="37"/>
  <c r="AM158" i="37"/>
  <c r="AL158" i="37"/>
  <c r="AK158" i="37"/>
  <c r="AJ158" i="37"/>
  <c r="AI158" i="37"/>
  <c r="AH158" i="37"/>
  <c r="AG158" i="37"/>
  <c r="AF158" i="37"/>
  <c r="AE158" i="37"/>
  <c r="AD158" i="37"/>
  <c r="AC158" i="37"/>
  <c r="AB158" i="37"/>
  <c r="AA158" i="37"/>
  <c r="Z158" i="37"/>
  <c r="Y158" i="37"/>
  <c r="X158" i="37"/>
  <c r="W158" i="37"/>
  <c r="V158" i="37"/>
  <c r="AO157" i="37"/>
  <c r="AN157" i="37"/>
  <c r="AM157" i="37"/>
  <c r="AL157" i="37"/>
  <c r="AK157" i="37"/>
  <c r="AJ157" i="37"/>
  <c r="AI157" i="37"/>
  <c r="AH157" i="37"/>
  <c r="AG157" i="37"/>
  <c r="AF157" i="37"/>
  <c r="AE157" i="37"/>
  <c r="AD157" i="37"/>
  <c r="AC157" i="37"/>
  <c r="AB157" i="37"/>
  <c r="AA157" i="37"/>
  <c r="Z157" i="37"/>
  <c r="Y157" i="37"/>
  <c r="X157" i="37"/>
  <c r="W157" i="37"/>
  <c r="V157" i="37"/>
  <c r="AO156" i="37"/>
  <c r="AN156" i="37"/>
  <c r="AM156" i="37"/>
  <c r="AL156" i="37"/>
  <c r="AK156" i="37"/>
  <c r="AJ156" i="37"/>
  <c r="AI156" i="37"/>
  <c r="AH156" i="37"/>
  <c r="AG156" i="37"/>
  <c r="AF156" i="37"/>
  <c r="AE156" i="37"/>
  <c r="AD156" i="37"/>
  <c r="AC156" i="37"/>
  <c r="AB156" i="37"/>
  <c r="AA156" i="37"/>
  <c r="Z156" i="37"/>
  <c r="Y156" i="37"/>
  <c r="X156" i="37"/>
  <c r="W156" i="37"/>
  <c r="V156" i="37"/>
  <c r="AO155" i="37"/>
  <c r="AN155" i="37"/>
  <c r="AM155" i="37"/>
  <c r="AL155" i="37"/>
  <c r="AK155" i="37"/>
  <c r="AJ155" i="37"/>
  <c r="AI155" i="37"/>
  <c r="AH155" i="37"/>
  <c r="AG155" i="37"/>
  <c r="AF155" i="37"/>
  <c r="AE155" i="37"/>
  <c r="AD155" i="37"/>
  <c r="AC155" i="37"/>
  <c r="AB155" i="37"/>
  <c r="AA155" i="37"/>
  <c r="Z155" i="37"/>
  <c r="Y155" i="37"/>
  <c r="X155" i="37"/>
  <c r="W155" i="37"/>
  <c r="V155" i="37"/>
  <c r="AO154" i="37"/>
  <c r="AN154" i="37"/>
  <c r="AM154" i="37"/>
  <c r="AL154" i="37"/>
  <c r="AK154" i="37"/>
  <c r="AJ154" i="37"/>
  <c r="AI154" i="37"/>
  <c r="AH154" i="37"/>
  <c r="AG154" i="37"/>
  <c r="AF154" i="37"/>
  <c r="AE154" i="37"/>
  <c r="AD154" i="37"/>
  <c r="AC154" i="37"/>
  <c r="AB154" i="37"/>
  <c r="AA154" i="37"/>
  <c r="Z154" i="37"/>
  <c r="Y154" i="37"/>
  <c r="X154" i="37"/>
  <c r="W154" i="37"/>
  <c r="V154" i="37"/>
  <c r="AO153" i="37"/>
  <c r="AN153" i="37"/>
  <c r="AM153" i="37"/>
  <c r="AL153" i="37"/>
  <c r="AK153" i="37"/>
  <c r="AJ153" i="37"/>
  <c r="AI153" i="37"/>
  <c r="AH153" i="37"/>
  <c r="AG153" i="37"/>
  <c r="AF153" i="37"/>
  <c r="AE153" i="37"/>
  <c r="AD153" i="37"/>
  <c r="AC153" i="37"/>
  <c r="AB153" i="37"/>
  <c r="AA153" i="37"/>
  <c r="Z153" i="37"/>
  <c r="Y153" i="37"/>
  <c r="X153" i="37"/>
  <c r="W153" i="37"/>
  <c r="V153" i="37"/>
  <c r="AO152" i="37"/>
  <c r="AN152" i="37"/>
  <c r="AM152" i="37"/>
  <c r="AL152" i="37"/>
  <c r="AK152" i="37"/>
  <c r="AJ152" i="37"/>
  <c r="AI152" i="37"/>
  <c r="AH152" i="37"/>
  <c r="AG152" i="37"/>
  <c r="AF152" i="37"/>
  <c r="AE152" i="37"/>
  <c r="AD152" i="37"/>
  <c r="AC152" i="37"/>
  <c r="AB152" i="37"/>
  <c r="AA152" i="37"/>
  <c r="Z152" i="37"/>
  <c r="Y152" i="37"/>
  <c r="X152" i="37"/>
  <c r="W152" i="37"/>
  <c r="V152" i="37"/>
  <c r="AO151" i="37"/>
  <c r="AN151" i="37"/>
  <c r="AM151" i="37"/>
  <c r="AL151" i="37"/>
  <c r="AK151" i="37"/>
  <c r="AJ151" i="37"/>
  <c r="AI151" i="37"/>
  <c r="AH151" i="37"/>
  <c r="AG151" i="37"/>
  <c r="AF151" i="37"/>
  <c r="AE151" i="37"/>
  <c r="AD151" i="37"/>
  <c r="AC151" i="37"/>
  <c r="AB151" i="37"/>
  <c r="AA151" i="37"/>
  <c r="Z151" i="37"/>
  <c r="Y151" i="37"/>
  <c r="X151" i="37"/>
  <c r="W151" i="37"/>
  <c r="V151" i="37"/>
  <c r="AO150" i="37"/>
  <c r="AN150" i="37"/>
  <c r="AM150" i="37"/>
  <c r="AL150" i="37"/>
  <c r="AK150" i="37"/>
  <c r="AJ150" i="37"/>
  <c r="AI150" i="37"/>
  <c r="AH150" i="37"/>
  <c r="AG150" i="37"/>
  <c r="AF150" i="37"/>
  <c r="AE150" i="37"/>
  <c r="AD150" i="37"/>
  <c r="AC150" i="37"/>
  <c r="AB150" i="37"/>
  <c r="AA150" i="37"/>
  <c r="Z150" i="37"/>
  <c r="Y150" i="37"/>
  <c r="X150" i="37"/>
  <c r="W150" i="37"/>
  <c r="V150" i="37"/>
  <c r="AO149" i="37"/>
  <c r="AN149" i="37"/>
  <c r="AM149" i="37"/>
  <c r="AL149" i="37"/>
  <c r="AK149" i="37"/>
  <c r="AJ149" i="37"/>
  <c r="AI149" i="37"/>
  <c r="AH149" i="37"/>
  <c r="AG149" i="37"/>
  <c r="AF149" i="37"/>
  <c r="AE149" i="37"/>
  <c r="AD149" i="37"/>
  <c r="AC149" i="37"/>
  <c r="AB149" i="37"/>
  <c r="AA149" i="37"/>
  <c r="Z149" i="37"/>
  <c r="Y149" i="37"/>
  <c r="X149" i="37"/>
  <c r="V149" i="37"/>
  <c r="AO148" i="37"/>
  <c r="AN148" i="37"/>
  <c r="AM148" i="37"/>
  <c r="AL148" i="37"/>
  <c r="AK148" i="37"/>
  <c r="AJ148" i="37"/>
  <c r="AI148" i="37"/>
  <c r="AH148" i="37"/>
  <c r="AG148" i="37"/>
  <c r="AF148" i="37"/>
  <c r="AE148" i="37"/>
  <c r="AD148" i="37"/>
  <c r="AC148" i="37"/>
  <c r="AB148" i="37"/>
  <c r="AA148" i="37"/>
  <c r="Z148" i="37"/>
  <c r="Y148" i="37"/>
  <c r="X148" i="37"/>
  <c r="V148" i="37"/>
  <c r="AO147" i="37"/>
  <c r="AN147" i="37"/>
  <c r="AM147" i="37"/>
  <c r="AL147" i="37"/>
  <c r="AK147" i="37"/>
  <c r="AJ147" i="37"/>
  <c r="AI147" i="37"/>
  <c r="AH147" i="37"/>
  <c r="AG147" i="37"/>
  <c r="AF147" i="37"/>
  <c r="AE147" i="37"/>
  <c r="AD147" i="37"/>
  <c r="AC147" i="37"/>
  <c r="AB147" i="37"/>
  <c r="AA147" i="37"/>
  <c r="Z147" i="37"/>
  <c r="Y147" i="37"/>
  <c r="X147" i="37"/>
  <c r="V147" i="37"/>
  <c r="AO146" i="37"/>
  <c r="AN146" i="37"/>
  <c r="AM146" i="37"/>
  <c r="AL146" i="37"/>
  <c r="AK146" i="37"/>
  <c r="AJ146" i="37"/>
  <c r="AI146" i="37"/>
  <c r="AH146" i="37"/>
  <c r="AG146" i="37"/>
  <c r="AF146" i="37"/>
  <c r="AE146" i="37"/>
  <c r="AD146" i="37"/>
  <c r="AC146" i="37"/>
  <c r="AB146" i="37"/>
  <c r="AA146" i="37"/>
  <c r="Z146" i="37"/>
  <c r="Y146" i="37"/>
  <c r="X146" i="37"/>
  <c r="V146" i="37"/>
  <c r="AO145" i="37"/>
  <c r="AN145" i="37"/>
  <c r="AM145" i="37"/>
  <c r="AL145" i="37"/>
  <c r="AK145" i="37"/>
  <c r="AJ145" i="37"/>
  <c r="AI145" i="37"/>
  <c r="AH145" i="37"/>
  <c r="AG145" i="37"/>
  <c r="AF145" i="37"/>
  <c r="AE145" i="37"/>
  <c r="AD145" i="37"/>
  <c r="AC145" i="37"/>
  <c r="AB145" i="37"/>
  <c r="AA145" i="37"/>
  <c r="Z145" i="37"/>
  <c r="Y145" i="37"/>
  <c r="X145" i="37"/>
  <c r="W145" i="37"/>
  <c r="V145" i="37"/>
  <c r="AO144" i="37"/>
  <c r="AN144" i="37"/>
  <c r="AM144" i="37"/>
  <c r="AL144" i="37"/>
  <c r="AK144" i="37"/>
  <c r="AJ144" i="37"/>
  <c r="AI144" i="37"/>
  <c r="AH144" i="37"/>
  <c r="AG144" i="37"/>
  <c r="AF144" i="37"/>
  <c r="AE144" i="37"/>
  <c r="AD144" i="37"/>
  <c r="AC144" i="37"/>
  <c r="AB144" i="37"/>
  <c r="AA144" i="37"/>
  <c r="Z144" i="37"/>
  <c r="Y144" i="37"/>
  <c r="X144" i="37"/>
  <c r="W144" i="37"/>
  <c r="V144" i="37"/>
  <c r="AO143" i="37"/>
  <c r="AN143" i="37"/>
  <c r="AM143" i="37"/>
  <c r="AL143" i="37"/>
  <c r="AK143" i="37"/>
  <c r="AJ143" i="37"/>
  <c r="AI143" i="37"/>
  <c r="AH143" i="37"/>
  <c r="AG143" i="37"/>
  <c r="AF143" i="37"/>
  <c r="AE143" i="37"/>
  <c r="AD143" i="37"/>
  <c r="AC143" i="37"/>
  <c r="AB143" i="37"/>
  <c r="AA143" i="37"/>
  <c r="Z143" i="37"/>
  <c r="Y143" i="37"/>
  <c r="X143" i="37"/>
  <c r="W143" i="37"/>
  <c r="V143" i="37"/>
  <c r="Q143" i="37"/>
  <c r="AO142" i="37"/>
  <c r="AN142" i="37"/>
  <c r="AM142" i="37"/>
  <c r="AL142" i="37"/>
  <c r="AK142" i="37"/>
  <c r="AJ142" i="37"/>
  <c r="AI142" i="37"/>
  <c r="AH142" i="37"/>
  <c r="AG142" i="37"/>
  <c r="AF142" i="37"/>
  <c r="AE142" i="37"/>
  <c r="AD142" i="37"/>
  <c r="AC142" i="37"/>
  <c r="AB142" i="37"/>
  <c r="AA142" i="37"/>
  <c r="Z142" i="37"/>
  <c r="Y142" i="37"/>
  <c r="X142" i="37"/>
  <c r="W142" i="37"/>
  <c r="V142" i="37"/>
  <c r="Q142" i="37"/>
  <c r="AO141" i="37"/>
  <c r="AN141" i="37"/>
  <c r="AM141" i="37"/>
  <c r="AL141" i="37"/>
  <c r="AK141" i="37"/>
  <c r="AJ141" i="37"/>
  <c r="AI141" i="37"/>
  <c r="AH141" i="37"/>
  <c r="AG141" i="37"/>
  <c r="AF141" i="37"/>
  <c r="AE141" i="37"/>
  <c r="AD141" i="37"/>
  <c r="AC141" i="37"/>
  <c r="AB141" i="37"/>
  <c r="AA141" i="37"/>
  <c r="Z141" i="37"/>
  <c r="Y141" i="37"/>
  <c r="X141" i="37"/>
  <c r="W141" i="37"/>
  <c r="V141" i="37"/>
  <c r="Q141" i="37"/>
  <c r="AO140" i="37"/>
  <c r="AN140" i="37"/>
  <c r="AM140" i="37"/>
  <c r="AL140" i="37"/>
  <c r="AK140" i="37"/>
  <c r="AJ140" i="37"/>
  <c r="AI140" i="37"/>
  <c r="AH140" i="37"/>
  <c r="AG140" i="37"/>
  <c r="AF140" i="37"/>
  <c r="AE140" i="37"/>
  <c r="AD140" i="37"/>
  <c r="AC140" i="37"/>
  <c r="AB140" i="37"/>
  <c r="AA140" i="37"/>
  <c r="Z140" i="37"/>
  <c r="Y140" i="37"/>
  <c r="X140" i="37"/>
  <c r="W140" i="37"/>
  <c r="V140" i="37"/>
  <c r="Q140" i="37"/>
  <c r="AO139" i="37"/>
  <c r="AN139" i="37"/>
  <c r="AM139" i="37"/>
  <c r="AL139" i="37"/>
  <c r="AK139" i="37"/>
  <c r="AJ139" i="37"/>
  <c r="AI139" i="37"/>
  <c r="AH139" i="37"/>
  <c r="AG139" i="37"/>
  <c r="AF139" i="37"/>
  <c r="AE139" i="37"/>
  <c r="AD139" i="37"/>
  <c r="AC139" i="37"/>
  <c r="AB139" i="37"/>
  <c r="AA139" i="37"/>
  <c r="Z139" i="37"/>
  <c r="Y139" i="37"/>
  <c r="X139" i="37"/>
  <c r="W139" i="37"/>
  <c r="V139" i="37"/>
  <c r="Q139" i="37"/>
  <c r="AO138" i="37"/>
  <c r="AN138" i="37"/>
  <c r="AM138" i="37"/>
  <c r="AL138" i="37"/>
  <c r="AK138" i="37"/>
  <c r="AJ138" i="37"/>
  <c r="AI138" i="37"/>
  <c r="AH138" i="37"/>
  <c r="AG138" i="37"/>
  <c r="AF138" i="37"/>
  <c r="AE138" i="37"/>
  <c r="AD138" i="37"/>
  <c r="AC138" i="37"/>
  <c r="AB138" i="37"/>
  <c r="AA138" i="37"/>
  <c r="Z138" i="37"/>
  <c r="Y138" i="37"/>
  <c r="X138" i="37"/>
  <c r="W138" i="37"/>
  <c r="V138" i="37"/>
  <c r="Q138" i="37"/>
  <c r="AO137" i="37"/>
  <c r="AN137" i="37"/>
  <c r="AM137" i="37"/>
  <c r="AL137" i="37"/>
  <c r="AK137" i="37"/>
  <c r="AJ137" i="37"/>
  <c r="AI137" i="37"/>
  <c r="AH137" i="37"/>
  <c r="AG137" i="37"/>
  <c r="AF137" i="37"/>
  <c r="AE137" i="37"/>
  <c r="AD137" i="37"/>
  <c r="AC137" i="37"/>
  <c r="AB137" i="37"/>
  <c r="AA137" i="37"/>
  <c r="Z137" i="37"/>
  <c r="Y137" i="37"/>
  <c r="X137" i="37"/>
  <c r="W137" i="37"/>
  <c r="V137" i="37"/>
  <c r="Q137" i="37"/>
  <c r="AO136" i="37"/>
  <c r="AN136" i="37"/>
  <c r="AM136" i="37"/>
  <c r="AL136" i="37"/>
  <c r="AK136" i="37"/>
  <c r="AJ136" i="37"/>
  <c r="AI136" i="37"/>
  <c r="AH136" i="37"/>
  <c r="AG136" i="37"/>
  <c r="AF136" i="37"/>
  <c r="AE136" i="37"/>
  <c r="AD136" i="37"/>
  <c r="AC136" i="37"/>
  <c r="AB136" i="37"/>
  <c r="AA136" i="37"/>
  <c r="Z136" i="37"/>
  <c r="Y136" i="37"/>
  <c r="X136" i="37"/>
  <c r="W136" i="37"/>
  <c r="V136" i="37"/>
  <c r="Q136" i="37"/>
  <c r="AO135" i="37"/>
  <c r="AN135" i="37"/>
  <c r="AM135" i="37"/>
  <c r="AL135" i="37"/>
  <c r="AK135" i="37"/>
  <c r="AJ135" i="37"/>
  <c r="AI135" i="37"/>
  <c r="AH135" i="37"/>
  <c r="AG135" i="37"/>
  <c r="AF135" i="37"/>
  <c r="AE135" i="37"/>
  <c r="AD135" i="37"/>
  <c r="AC135" i="37"/>
  <c r="AB135" i="37"/>
  <c r="AA135" i="37"/>
  <c r="Z135" i="37"/>
  <c r="Y135" i="37"/>
  <c r="X135" i="37"/>
  <c r="W135" i="37"/>
  <c r="V135" i="37"/>
  <c r="Q135" i="37"/>
  <c r="AO134" i="37"/>
  <c r="AN134" i="37"/>
  <c r="AM134" i="37"/>
  <c r="AL134" i="37"/>
  <c r="AK134" i="37"/>
  <c r="AJ134" i="37"/>
  <c r="AI134" i="37"/>
  <c r="AH134" i="37"/>
  <c r="AG134" i="37"/>
  <c r="AF134" i="37"/>
  <c r="AE134" i="37"/>
  <c r="AD134" i="37"/>
  <c r="AC134" i="37"/>
  <c r="AB134" i="37"/>
  <c r="AA134" i="37"/>
  <c r="Z134" i="37"/>
  <c r="Y134" i="37"/>
  <c r="X134" i="37"/>
  <c r="W134" i="37"/>
  <c r="V134" i="37"/>
  <c r="Q134" i="37"/>
  <c r="AO133" i="37"/>
  <c r="AN133" i="37"/>
  <c r="AM133" i="37"/>
  <c r="AL133" i="37"/>
  <c r="AK133" i="37"/>
  <c r="AJ133" i="37"/>
  <c r="AI133" i="37"/>
  <c r="AH133" i="37"/>
  <c r="AG133" i="37"/>
  <c r="AF133" i="37"/>
  <c r="AE133" i="37"/>
  <c r="AD133" i="37"/>
  <c r="AC133" i="37"/>
  <c r="AB133" i="37"/>
  <c r="AA133" i="37"/>
  <c r="Z133" i="37"/>
  <c r="Y133" i="37"/>
  <c r="X133" i="37"/>
  <c r="W133" i="37"/>
  <c r="V133" i="37"/>
  <c r="Q133" i="37"/>
  <c r="AO132" i="37"/>
  <c r="AN132" i="37"/>
  <c r="AM132" i="37"/>
  <c r="AL132" i="37"/>
  <c r="AK132" i="37"/>
  <c r="AJ132" i="37"/>
  <c r="AI132" i="37"/>
  <c r="AH132" i="37"/>
  <c r="AG132" i="37"/>
  <c r="AF132" i="37"/>
  <c r="AE132" i="37"/>
  <c r="AD132" i="37"/>
  <c r="AC132" i="37"/>
  <c r="AB132" i="37"/>
  <c r="AA132" i="37"/>
  <c r="Z132" i="37"/>
  <c r="Y132" i="37"/>
  <c r="X132" i="37"/>
  <c r="W132" i="37"/>
  <c r="V132" i="37"/>
  <c r="Q132" i="37"/>
  <c r="AO131" i="37"/>
  <c r="AN131" i="37"/>
  <c r="AM131" i="37"/>
  <c r="AL131" i="37"/>
  <c r="AK131" i="37"/>
  <c r="AJ131" i="37"/>
  <c r="AI131" i="37"/>
  <c r="AH131" i="37"/>
  <c r="AG131" i="37"/>
  <c r="AF131" i="37"/>
  <c r="AE131" i="37"/>
  <c r="AD131" i="37"/>
  <c r="AC131" i="37"/>
  <c r="AB131" i="37"/>
  <c r="AA131" i="37"/>
  <c r="Z131" i="37"/>
  <c r="Y131" i="37"/>
  <c r="X131" i="37"/>
  <c r="W131" i="37"/>
  <c r="V131" i="37"/>
  <c r="Q131" i="37"/>
  <c r="AO130" i="37"/>
  <c r="AN130" i="37"/>
  <c r="AM130" i="37"/>
  <c r="AL130" i="37"/>
  <c r="AK130" i="37"/>
  <c r="AJ130" i="37"/>
  <c r="AI130" i="37"/>
  <c r="AH130" i="37"/>
  <c r="AG130" i="37"/>
  <c r="AF130" i="37"/>
  <c r="AE130" i="37"/>
  <c r="AD130" i="37"/>
  <c r="AC130" i="37"/>
  <c r="AB130" i="37"/>
  <c r="AA130" i="37"/>
  <c r="Z130" i="37"/>
  <c r="Y130" i="37"/>
  <c r="X130" i="37"/>
  <c r="W130" i="37"/>
  <c r="V130" i="37"/>
  <c r="Q130" i="37"/>
  <c r="AO129" i="37"/>
  <c r="AN129" i="37"/>
  <c r="AM129" i="37"/>
  <c r="AL129" i="37"/>
  <c r="AK129" i="37"/>
  <c r="AJ129" i="37"/>
  <c r="AI129" i="37"/>
  <c r="AH129" i="37"/>
  <c r="AG129" i="37"/>
  <c r="AF129" i="37"/>
  <c r="AE129" i="37"/>
  <c r="AD129" i="37"/>
  <c r="AC129" i="37"/>
  <c r="AB129" i="37"/>
  <c r="AA129" i="37"/>
  <c r="Z129" i="37"/>
  <c r="Y129" i="37"/>
  <c r="X129" i="37"/>
  <c r="W129" i="37"/>
  <c r="V129" i="37"/>
  <c r="Q129" i="37"/>
  <c r="AO128" i="37"/>
  <c r="AN128" i="37"/>
  <c r="AM128" i="37"/>
  <c r="AL128" i="37"/>
  <c r="AK128" i="37"/>
  <c r="AJ128" i="37"/>
  <c r="AI128" i="37"/>
  <c r="AH128" i="37"/>
  <c r="AG128" i="37"/>
  <c r="AF128" i="37"/>
  <c r="AE128" i="37"/>
  <c r="AD128" i="37"/>
  <c r="AC128" i="37"/>
  <c r="AB128" i="37"/>
  <c r="AA128" i="37"/>
  <c r="Z128" i="37"/>
  <c r="Y128" i="37"/>
  <c r="X128" i="37"/>
  <c r="V128" i="37"/>
  <c r="Q128" i="37"/>
  <c r="AO127" i="37"/>
  <c r="AN127" i="37"/>
  <c r="AM127" i="37"/>
  <c r="AL127" i="37"/>
  <c r="AK127" i="37"/>
  <c r="AJ127" i="37"/>
  <c r="AI127" i="37"/>
  <c r="AH127" i="37"/>
  <c r="AG127" i="37"/>
  <c r="AF127" i="37"/>
  <c r="AE127" i="37"/>
  <c r="AD127" i="37"/>
  <c r="AC127" i="37"/>
  <c r="AB127" i="37"/>
  <c r="AA127" i="37"/>
  <c r="Z127" i="37"/>
  <c r="Y127" i="37"/>
  <c r="X127" i="37"/>
  <c r="V127" i="37"/>
  <c r="Q127" i="37"/>
  <c r="AO126" i="37"/>
  <c r="AN126" i="37"/>
  <c r="AM126" i="37"/>
  <c r="AL126" i="37"/>
  <c r="AK126" i="37"/>
  <c r="AJ126" i="37"/>
  <c r="AI126" i="37"/>
  <c r="AH126" i="37"/>
  <c r="AG126" i="37"/>
  <c r="AF126" i="37"/>
  <c r="AE126" i="37"/>
  <c r="AD126" i="37"/>
  <c r="AC126" i="37"/>
  <c r="AB126" i="37"/>
  <c r="AA126" i="37"/>
  <c r="Z126" i="37"/>
  <c r="Y126" i="37"/>
  <c r="X126" i="37"/>
  <c r="V126" i="37"/>
  <c r="Q126" i="37"/>
  <c r="AO125" i="37"/>
  <c r="AN125" i="37"/>
  <c r="AM125" i="37"/>
  <c r="AL125" i="37"/>
  <c r="AK125" i="37"/>
  <c r="AJ125" i="37"/>
  <c r="AI125" i="37"/>
  <c r="AH125" i="37"/>
  <c r="AG125" i="37"/>
  <c r="AF125" i="37"/>
  <c r="AE125" i="37"/>
  <c r="AD125" i="37"/>
  <c r="AC125" i="37"/>
  <c r="AB125" i="37"/>
  <c r="AA125" i="37"/>
  <c r="Z125" i="37"/>
  <c r="Y125" i="37"/>
  <c r="X125" i="37"/>
  <c r="V125" i="37"/>
  <c r="Q125" i="37"/>
  <c r="AO124" i="37"/>
  <c r="AN124" i="37"/>
  <c r="AM124" i="37"/>
  <c r="AL124" i="37"/>
  <c r="AK124" i="37"/>
  <c r="AJ124" i="37"/>
  <c r="AI124" i="37"/>
  <c r="AH124" i="37"/>
  <c r="AG124" i="37"/>
  <c r="AF124" i="37"/>
  <c r="AE124" i="37"/>
  <c r="AD124" i="37"/>
  <c r="AC124" i="37"/>
  <c r="AB124" i="37"/>
  <c r="AA124" i="37"/>
  <c r="Z124" i="37"/>
  <c r="Y124" i="37"/>
  <c r="X124" i="37"/>
  <c r="V124" i="37"/>
  <c r="Q124" i="37"/>
  <c r="AO123" i="37"/>
  <c r="AN123" i="37"/>
  <c r="AM123" i="37"/>
  <c r="AL123" i="37"/>
  <c r="AK123" i="37"/>
  <c r="AJ123" i="37"/>
  <c r="AI123" i="37"/>
  <c r="AH123" i="37"/>
  <c r="AG123" i="37"/>
  <c r="AF123" i="37"/>
  <c r="AE123" i="37"/>
  <c r="AD123" i="37"/>
  <c r="AC123" i="37"/>
  <c r="AB123" i="37"/>
  <c r="AA123" i="37"/>
  <c r="Z123" i="37"/>
  <c r="Y123" i="37"/>
  <c r="X123" i="37"/>
  <c r="W123" i="37"/>
  <c r="V123" i="37"/>
  <c r="Q123" i="37"/>
  <c r="AO122" i="37"/>
  <c r="AN122" i="37"/>
  <c r="AM122" i="37"/>
  <c r="AL122" i="37"/>
  <c r="AK122" i="37"/>
  <c r="AJ122" i="37"/>
  <c r="AI122" i="37"/>
  <c r="AH122" i="37"/>
  <c r="AG122" i="37"/>
  <c r="AF122" i="37"/>
  <c r="AE122" i="37"/>
  <c r="AD122" i="37"/>
  <c r="AC122" i="37"/>
  <c r="AB122" i="37"/>
  <c r="AA122" i="37"/>
  <c r="Z122" i="37"/>
  <c r="Y122" i="37"/>
  <c r="X122" i="37"/>
  <c r="V122" i="37"/>
  <c r="Q122" i="37"/>
  <c r="AO121" i="37"/>
  <c r="AN121" i="37"/>
  <c r="AM121" i="37"/>
  <c r="AL121" i="37"/>
  <c r="AK121" i="37"/>
  <c r="AJ121" i="37"/>
  <c r="AI121" i="37"/>
  <c r="AH121" i="37"/>
  <c r="AG121" i="37"/>
  <c r="AF121" i="37"/>
  <c r="AE121" i="37"/>
  <c r="AD121" i="37"/>
  <c r="AC121" i="37"/>
  <c r="AB121" i="37"/>
  <c r="AA121" i="37"/>
  <c r="Z121" i="37"/>
  <c r="Y121" i="37"/>
  <c r="X121" i="37"/>
  <c r="V121" i="37"/>
  <c r="Q121" i="37"/>
  <c r="AO120" i="37"/>
  <c r="AN120" i="37"/>
  <c r="AM120" i="37"/>
  <c r="AL120" i="37"/>
  <c r="AK120" i="37"/>
  <c r="AJ120" i="37"/>
  <c r="AI120" i="37"/>
  <c r="AH120" i="37"/>
  <c r="AG120" i="37"/>
  <c r="AF120" i="37"/>
  <c r="AE120" i="37"/>
  <c r="AD120" i="37"/>
  <c r="AC120" i="37"/>
  <c r="AB120" i="37"/>
  <c r="AA120" i="37"/>
  <c r="Z120" i="37"/>
  <c r="Y120" i="37"/>
  <c r="X120" i="37"/>
  <c r="W120" i="37"/>
  <c r="V120" i="37"/>
  <c r="Q120" i="37"/>
  <c r="AO119" i="37"/>
  <c r="AN119" i="37"/>
  <c r="AM119" i="37"/>
  <c r="AL119" i="37"/>
  <c r="AK119" i="37"/>
  <c r="AJ119" i="37"/>
  <c r="AI119" i="37"/>
  <c r="AH119" i="37"/>
  <c r="AG119" i="37"/>
  <c r="AF119" i="37"/>
  <c r="AE119" i="37"/>
  <c r="AD119" i="37"/>
  <c r="AC119" i="37"/>
  <c r="AB119" i="37"/>
  <c r="AA119" i="37"/>
  <c r="Z119" i="37"/>
  <c r="Y119" i="37"/>
  <c r="X119" i="37"/>
  <c r="V119" i="37"/>
  <c r="Q119" i="37"/>
  <c r="AO118" i="37"/>
  <c r="AN118" i="37"/>
  <c r="AM118" i="37"/>
  <c r="AL118" i="37"/>
  <c r="AK118" i="37"/>
  <c r="AJ118" i="37"/>
  <c r="AI118" i="37"/>
  <c r="AH118" i="37"/>
  <c r="AG118" i="37"/>
  <c r="AF118" i="37"/>
  <c r="AE118" i="37"/>
  <c r="AD118" i="37"/>
  <c r="AC118" i="37"/>
  <c r="AB118" i="37"/>
  <c r="AA118" i="37"/>
  <c r="Z118" i="37"/>
  <c r="Y118" i="37"/>
  <c r="X118" i="37"/>
  <c r="V118" i="37"/>
  <c r="Q118" i="37"/>
  <c r="AO117" i="37"/>
  <c r="AN117" i="37"/>
  <c r="AM117" i="37"/>
  <c r="AL117" i="37"/>
  <c r="AK117" i="37"/>
  <c r="AJ117" i="37"/>
  <c r="AI117" i="37"/>
  <c r="AH117" i="37"/>
  <c r="AG117" i="37"/>
  <c r="AF117" i="37"/>
  <c r="AE117" i="37"/>
  <c r="AD117" i="37"/>
  <c r="AC117" i="37"/>
  <c r="AB117" i="37"/>
  <c r="AA117" i="37"/>
  <c r="Z117" i="37"/>
  <c r="Y117" i="37"/>
  <c r="X117" i="37"/>
  <c r="V117" i="37"/>
  <c r="Q117" i="37"/>
  <c r="AO116" i="37"/>
  <c r="AN116" i="37"/>
  <c r="AM116" i="37"/>
  <c r="AL116" i="37"/>
  <c r="AK116" i="37"/>
  <c r="AJ116" i="37"/>
  <c r="AI116" i="37"/>
  <c r="AH116" i="37"/>
  <c r="AG116" i="37"/>
  <c r="AF116" i="37"/>
  <c r="AE116" i="37"/>
  <c r="AD116" i="37"/>
  <c r="AC116" i="37"/>
  <c r="AB116" i="37"/>
  <c r="AA116" i="37"/>
  <c r="Z116" i="37"/>
  <c r="Y116" i="37"/>
  <c r="X116" i="37"/>
  <c r="V116" i="37"/>
  <c r="AO115" i="37"/>
  <c r="AN115" i="37"/>
  <c r="AM115" i="37"/>
  <c r="AL115" i="37"/>
  <c r="AK115" i="37"/>
  <c r="AJ115" i="37"/>
  <c r="AI115" i="37"/>
  <c r="AH115" i="37"/>
  <c r="AG115" i="37"/>
  <c r="AF115" i="37"/>
  <c r="AE115" i="37"/>
  <c r="AD115" i="37"/>
  <c r="AC115" i="37"/>
  <c r="AB115" i="37"/>
  <c r="AA115" i="37"/>
  <c r="Z115" i="37"/>
  <c r="Y115" i="37"/>
  <c r="X115" i="37"/>
  <c r="W115" i="37"/>
  <c r="V115" i="37"/>
  <c r="AO114" i="37"/>
  <c r="AN114" i="37"/>
  <c r="AM114" i="37"/>
  <c r="AL114" i="37"/>
  <c r="AK114" i="37"/>
  <c r="AJ114" i="37"/>
  <c r="AI114" i="37"/>
  <c r="AH114" i="37"/>
  <c r="AG114" i="37"/>
  <c r="AF114" i="37"/>
  <c r="AE114" i="37"/>
  <c r="AD114" i="37"/>
  <c r="AC114" i="37"/>
  <c r="AB114" i="37"/>
  <c r="AA114" i="37"/>
  <c r="Z114" i="37"/>
  <c r="Y114" i="37"/>
  <c r="X114" i="37"/>
  <c r="W114" i="37"/>
  <c r="V114" i="37"/>
  <c r="AO113" i="37"/>
  <c r="AN113" i="37"/>
  <c r="AM113" i="37"/>
  <c r="AL113" i="37"/>
  <c r="AK113" i="37"/>
  <c r="AJ113" i="37"/>
  <c r="AI113" i="37"/>
  <c r="AH113" i="37"/>
  <c r="AG113" i="37"/>
  <c r="AF113" i="37"/>
  <c r="AE113" i="37"/>
  <c r="AD113" i="37"/>
  <c r="AC113" i="37"/>
  <c r="AB113" i="37"/>
  <c r="AA113" i="37"/>
  <c r="Z113" i="37"/>
  <c r="Y113" i="37"/>
  <c r="X113" i="37"/>
  <c r="W113" i="37"/>
  <c r="V113" i="37"/>
  <c r="AO112" i="37"/>
  <c r="AN112" i="37"/>
  <c r="AM112" i="37"/>
  <c r="AL112" i="37"/>
  <c r="AK112" i="37"/>
  <c r="AJ112" i="37"/>
  <c r="AI112" i="37"/>
  <c r="AH112" i="37"/>
  <c r="AG112" i="37"/>
  <c r="AF112" i="37"/>
  <c r="AE112" i="37"/>
  <c r="AD112" i="37"/>
  <c r="AC112" i="37"/>
  <c r="AB112" i="37"/>
  <c r="AA112" i="37"/>
  <c r="Z112" i="37"/>
  <c r="Y112" i="37"/>
  <c r="X112" i="37"/>
  <c r="V112" i="37"/>
  <c r="AO111" i="37"/>
  <c r="AN111" i="37"/>
  <c r="AM111" i="37"/>
  <c r="AL111" i="37"/>
  <c r="AK111" i="37"/>
  <c r="AJ111" i="37"/>
  <c r="AI111" i="37"/>
  <c r="AH111" i="37"/>
  <c r="AG111" i="37"/>
  <c r="AF111" i="37"/>
  <c r="AE111" i="37"/>
  <c r="AD111" i="37"/>
  <c r="AC111" i="37"/>
  <c r="AB111" i="37"/>
  <c r="AA111" i="37"/>
  <c r="Z111" i="37"/>
  <c r="Y111" i="37"/>
  <c r="X111" i="37"/>
  <c r="V111" i="37"/>
  <c r="AO110" i="37"/>
  <c r="AN110" i="37"/>
  <c r="AM110" i="37"/>
  <c r="AL110" i="37"/>
  <c r="AK110" i="37"/>
  <c r="AJ110" i="37"/>
  <c r="AI110" i="37"/>
  <c r="AH110" i="37"/>
  <c r="AG110" i="37"/>
  <c r="AF110" i="37"/>
  <c r="AE110" i="37"/>
  <c r="AD110" i="37"/>
  <c r="AC110" i="37"/>
  <c r="AB110" i="37"/>
  <c r="AA110" i="37"/>
  <c r="Z110" i="37"/>
  <c r="Y110" i="37"/>
  <c r="X110" i="37"/>
  <c r="V110" i="37"/>
  <c r="AO109" i="37"/>
  <c r="AN109" i="37"/>
  <c r="AM109" i="37"/>
  <c r="AL109" i="37"/>
  <c r="AK109" i="37"/>
  <c r="AJ109" i="37"/>
  <c r="AI109" i="37"/>
  <c r="AH109" i="37"/>
  <c r="AG109" i="37"/>
  <c r="AF109" i="37"/>
  <c r="AE109" i="37"/>
  <c r="AD109" i="37"/>
  <c r="AC109" i="37"/>
  <c r="AB109" i="37"/>
  <c r="AA109" i="37"/>
  <c r="Z109" i="37"/>
  <c r="Y109" i="37"/>
  <c r="X109" i="37"/>
  <c r="V109" i="37"/>
  <c r="AO108" i="37"/>
  <c r="AN108" i="37"/>
  <c r="AM108" i="37"/>
  <c r="AL108" i="37"/>
  <c r="AK108" i="37"/>
  <c r="AJ108" i="37"/>
  <c r="AI108" i="37"/>
  <c r="AH108" i="37"/>
  <c r="AG108" i="37"/>
  <c r="AF108" i="37"/>
  <c r="AE108" i="37"/>
  <c r="AD108" i="37"/>
  <c r="AC108" i="37"/>
  <c r="AB108" i="37"/>
  <c r="AA108" i="37"/>
  <c r="Z108" i="37"/>
  <c r="Y108" i="37"/>
  <c r="X108" i="37"/>
  <c r="V108" i="37"/>
  <c r="AO107" i="37"/>
  <c r="AN107" i="37"/>
  <c r="AM107" i="37"/>
  <c r="AL107" i="37"/>
  <c r="AK107" i="37"/>
  <c r="AJ107" i="37"/>
  <c r="AI107" i="37"/>
  <c r="AH107" i="37"/>
  <c r="AG107" i="37"/>
  <c r="AF107" i="37"/>
  <c r="AE107" i="37"/>
  <c r="AD107" i="37"/>
  <c r="AC107" i="37"/>
  <c r="AB107" i="37"/>
  <c r="AA107" i="37"/>
  <c r="Z107" i="37"/>
  <c r="Y107" i="37"/>
  <c r="X107" i="37"/>
  <c r="V107" i="37"/>
  <c r="AO106" i="37"/>
  <c r="AN106" i="37"/>
  <c r="AM106" i="37"/>
  <c r="AL106" i="37"/>
  <c r="AK106" i="37"/>
  <c r="AJ106" i="37"/>
  <c r="AI106" i="37"/>
  <c r="AH106" i="37"/>
  <c r="AG106" i="37"/>
  <c r="AF106" i="37"/>
  <c r="AE106" i="37"/>
  <c r="AD106" i="37"/>
  <c r="AC106" i="37"/>
  <c r="AB106" i="37"/>
  <c r="AA106" i="37"/>
  <c r="Z106" i="37"/>
  <c r="Y106" i="37"/>
  <c r="X106" i="37"/>
  <c r="V106" i="37"/>
  <c r="AO105" i="37"/>
  <c r="AN105" i="37"/>
  <c r="AM105" i="37"/>
  <c r="AL105" i="37"/>
  <c r="AK105" i="37"/>
  <c r="AJ105" i="37"/>
  <c r="AI105" i="37"/>
  <c r="AH105" i="37"/>
  <c r="AG105" i="37"/>
  <c r="AF105" i="37"/>
  <c r="AE105" i="37"/>
  <c r="AD105" i="37"/>
  <c r="AC105" i="37"/>
  <c r="AB105" i="37"/>
  <c r="AA105" i="37"/>
  <c r="Z105" i="37"/>
  <c r="Y105" i="37"/>
  <c r="X105" i="37"/>
  <c r="V105" i="37"/>
  <c r="AO104" i="37"/>
  <c r="AN104" i="37"/>
  <c r="AM104" i="37"/>
  <c r="AL104" i="37"/>
  <c r="AK104" i="37"/>
  <c r="AJ104" i="37"/>
  <c r="AI104" i="37"/>
  <c r="AH104" i="37"/>
  <c r="AG104" i="37"/>
  <c r="AF104" i="37"/>
  <c r="AE104" i="37"/>
  <c r="AD104" i="37"/>
  <c r="AC104" i="37"/>
  <c r="AB104" i="37"/>
  <c r="AA104" i="37"/>
  <c r="Z104" i="37"/>
  <c r="Y104" i="37"/>
  <c r="X104" i="37"/>
  <c r="W104" i="37"/>
  <c r="V104" i="37"/>
  <c r="AO103" i="37"/>
  <c r="AN103" i="37"/>
  <c r="AM103" i="37"/>
  <c r="AL103" i="37"/>
  <c r="AK103" i="37"/>
  <c r="AJ103" i="37"/>
  <c r="AI103" i="37"/>
  <c r="AH103" i="37"/>
  <c r="AG103" i="37"/>
  <c r="AF103" i="37"/>
  <c r="AE103" i="37"/>
  <c r="AD103" i="37"/>
  <c r="AC103" i="37"/>
  <c r="AB103" i="37"/>
  <c r="AA103" i="37"/>
  <c r="Z103" i="37"/>
  <c r="Y103" i="37"/>
  <c r="X103" i="37"/>
  <c r="V103" i="37"/>
  <c r="AO102" i="37"/>
  <c r="AN102" i="37"/>
  <c r="AM102" i="37"/>
  <c r="AL102" i="37"/>
  <c r="AK102" i="37"/>
  <c r="AJ102" i="37"/>
  <c r="AI102" i="37"/>
  <c r="AH102" i="37"/>
  <c r="AG102" i="37"/>
  <c r="AF102" i="37"/>
  <c r="AE102" i="37"/>
  <c r="AD102" i="37"/>
  <c r="AC102" i="37"/>
  <c r="AB102" i="37"/>
  <c r="AA102" i="37"/>
  <c r="Z102" i="37"/>
  <c r="Y102" i="37"/>
  <c r="X102" i="37"/>
  <c r="W102" i="37"/>
  <c r="V102" i="37"/>
  <c r="AO101" i="37"/>
  <c r="AN101" i="37"/>
  <c r="AM101" i="37"/>
  <c r="AL101" i="37"/>
  <c r="AK101" i="37"/>
  <c r="AJ101" i="37"/>
  <c r="AI101" i="37"/>
  <c r="AH101" i="37"/>
  <c r="AG101" i="37"/>
  <c r="AF101" i="37"/>
  <c r="AE101" i="37"/>
  <c r="AD101" i="37"/>
  <c r="AC101" i="37"/>
  <c r="AB101" i="37"/>
  <c r="AA101" i="37"/>
  <c r="Z101" i="37"/>
  <c r="Y101" i="37"/>
  <c r="X101" i="37"/>
  <c r="V101" i="37"/>
  <c r="AO100" i="37"/>
  <c r="AN100" i="37"/>
  <c r="AM100" i="37"/>
  <c r="AL100" i="37"/>
  <c r="AK100" i="37"/>
  <c r="AJ100" i="37"/>
  <c r="AI100" i="37"/>
  <c r="AH100" i="37"/>
  <c r="AG100" i="37"/>
  <c r="AF100" i="37"/>
  <c r="AE100" i="37"/>
  <c r="AD100" i="37"/>
  <c r="AC100" i="37"/>
  <c r="AB100" i="37"/>
  <c r="AA100" i="37"/>
  <c r="Z100" i="37"/>
  <c r="Y100" i="37"/>
  <c r="X100" i="37"/>
  <c r="V100" i="37"/>
  <c r="AC95" i="37"/>
  <c r="Y95" i="37"/>
  <c r="X95" i="37"/>
  <c r="W95" i="37"/>
  <c r="V95" i="37"/>
  <c r="AA94" i="37"/>
  <c r="Y94" i="37"/>
  <c r="AC93" i="37"/>
  <c r="AA93" i="37"/>
  <c r="X93" i="37"/>
  <c r="W93" i="37"/>
  <c r="AC92" i="37"/>
  <c r="Y92" i="37"/>
  <c r="W92" i="37"/>
  <c r="AD91" i="37"/>
  <c r="AC91" i="37"/>
  <c r="AB91" i="37"/>
  <c r="AA91" i="37"/>
  <c r="Y91" i="37"/>
  <c r="AC90" i="37"/>
  <c r="AA90" i="37"/>
  <c r="W90" i="37"/>
  <c r="AC89" i="37"/>
  <c r="Y89" i="37"/>
  <c r="W89" i="37"/>
  <c r="AD88" i="37"/>
  <c r="AA88" i="37"/>
  <c r="Y88" i="37"/>
  <c r="AC87" i="37"/>
  <c r="AA87" i="37"/>
  <c r="B85" i="37"/>
  <c r="Z82" i="37"/>
  <c r="Y82" i="37"/>
  <c r="X82" i="37"/>
  <c r="W82" i="37"/>
  <c r="V82" i="37"/>
  <c r="Z81" i="37"/>
  <c r="Y81" i="37"/>
  <c r="X81" i="37"/>
  <c r="W81" i="37"/>
  <c r="V81" i="37"/>
  <c r="Z80" i="37"/>
  <c r="Y80" i="37"/>
  <c r="X80" i="37"/>
  <c r="W80" i="37"/>
  <c r="V80" i="37"/>
  <c r="Z79" i="37"/>
  <c r="Y79" i="37"/>
  <c r="X79" i="37"/>
  <c r="W79" i="37"/>
  <c r="V79" i="37"/>
  <c r="Z78" i="37"/>
  <c r="Y78" i="37"/>
  <c r="X78" i="37"/>
  <c r="W78" i="37"/>
  <c r="V78" i="37"/>
  <c r="Z77" i="37"/>
  <c r="Y77" i="37"/>
  <c r="X77" i="37"/>
  <c r="W77" i="37"/>
  <c r="V77" i="37"/>
  <c r="Z76" i="37"/>
  <c r="Y76" i="37"/>
  <c r="X76" i="37"/>
  <c r="W76" i="37"/>
  <c r="V76" i="37"/>
  <c r="Z75" i="37"/>
  <c r="Y75" i="37"/>
  <c r="X75" i="37"/>
  <c r="V75" i="37"/>
  <c r="Z74" i="37"/>
  <c r="Y74" i="37"/>
  <c r="X74" i="37"/>
  <c r="W74" i="37"/>
  <c r="V74" i="37"/>
  <c r="Z73" i="37"/>
  <c r="Y73" i="37"/>
  <c r="X73" i="37"/>
  <c r="W73" i="37"/>
  <c r="V73" i="37"/>
  <c r="Z68" i="37"/>
  <c r="Y68" i="37"/>
  <c r="X68" i="37"/>
  <c r="W68" i="37"/>
  <c r="V68" i="37"/>
  <c r="Z67" i="37"/>
  <c r="Y67" i="37"/>
  <c r="X67" i="37"/>
  <c r="W67" i="37"/>
  <c r="V67" i="37"/>
  <c r="Z66" i="37"/>
  <c r="Y66" i="37"/>
  <c r="X66" i="37"/>
  <c r="V66" i="37"/>
  <c r="Z65" i="37"/>
  <c r="Y65" i="37"/>
  <c r="X65" i="37"/>
  <c r="W65" i="37"/>
  <c r="V65" i="37"/>
  <c r="Z64" i="37"/>
  <c r="Y64" i="37"/>
  <c r="X64" i="37"/>
  <c r="W64" i="37"/>
  <c r="V64" i="37"/>
  <c r="Z63" i="37"/>
  <c r="Y63" i="37"/>
  <c r="X63" i="37"/>
  <c r="W63" i="37"/>
  <c r="V63" i="37"/>
  <c r="Z62" i="37"/>
  <c r="Y62" i="37"/>
  <c r="X62" i="37"/>
  <c r="W62" i="37"/>
  <c r="V62" i="37"/>
  <c r="Z61" i="37"/>
  <c r="Y61" i="37"/>
  <c r="X61" i="37"/>
  <c r="W61" i="37"/>
  <c r="V61" i="37"/>
  <c r="Z60" i="37"/>
  <c r="Y60" i="37"/>
  <c r="X60" i="37"/>
  <c r="W60" i="37"/>
  <c r="V60" i="37"/>
  <c r="Z59" i="37"/>
  <c r="Y59" i="37"/>
  <c r="X59" i="37"/>
  <c r="W59" i="37"/>
  <c r="V59" i="37"/>
  <c r="Z58" i="37"/>
  <c r="Y58" i="37"/>
  <c r="X58" i="37"/>
  <c r="W58" i="37"/>
  <c r="V58" i="37"/>
  <c r="Z57" i="37"/>
  <c r="Y57" i="37"/>
  <c r="X57" i="37"/>
  <c r="W57" i="37"/>
  <c r="V57" i="37"/>
  <c r="B57" i="37"/>
  <c r="AQ31" i="37" s="1"/>
  <c r="Z56" i="37"/>
  <c r="Y56" i="37"/>
  <c r="X56" i="37"/>
  <c r="W56" i="37"/>
  <c r="V56" i="37"/>
  <c r="AC47" i="37"/>
  <c r="AC46" i="37"/>
  <c r="AE45" i="37"/>
  <c r="AC45" i="37"/>
  <c r="AE46" i="37" s="1"/>
  <c r="B45" i="37"/>
  <c r="AP44" i="37"/>
  <c r="B94" i="37" s="1"/>
  <c r="AP43" i="37"/>
  <c r="B91" i="37" s="1"/>
  <c r="AP42" i="37"/>
  <c r="B88" i="37" s="1"/>
  <c r="X42" i="37"/>
  <c r="AP41" i="37"/>
  <c r="X41" i="37"/>
  <c r="AP40" i="37"/>
  <c r="B82" i="37" s="1"/>
  <c r="X40" i="37"/>
  <c r="X39" i="37"/>
  <c r="X38" i="37"/>
  <c r="J38" i="37"/>
  <c r="J39" i="37" s="1"/>
  <c r="D39" i="37" s="1"/>
  <c r="D38" i="37"/>
  <c r="B38" i="37"/>
  <c r="AK37" i="37"/>
  <c r="AU59" i="37" s="1"/>
  <c r="X37" i="37"/>
  <c r="AL36" i="37"/>
  <c r="AK36" i="37"/>
  <c r="AU58" i="37" s="1"/>
  <c r="X36" i="37"/>
  <c r="AL35" i="37"/>
  <c r="AK35" i="37"/>
  <c r="AU57" i="37" s="1"/>
  <c r="X35" i="37"/>
  <c r="Q35" i="37"/>
  <c r="P35" i="37"/>
  <c r="O35" i="37" s="1"/>
  <c r="AL34" i="37"/>
  <c r="AK34" i="37"/>
  <c r="AU56" i="37" s="1"/>
  <c r="X34" i="37"/>
  <c r="AL33" i="37"/>
  <c r="AK33" i="37"/>
  <c r="AU55" i="37" s="1"/>
  <c r="X33" i="37"/>
  <c r="AL32" i="37"/>
  <c r="AK32" i="37"/>
  <c r="AU54" i="37" s="1"/>
  <c r="X32" i="37"/>
  <c r="AL31" i="37"/>
  <c r="AK31" i="37"/>
  <c r="AU53" i="37" s="1"/>
  <c r="AG31" i="37"/>
  <c r="X31" i="37"/>
  <c r="AQ30" i="37"/>
  <c r="AL30" i="37"/>
  <c r="AK30" i="37"/>
  <c r="AU52" i="37" s="1"/>
  <c r="X30" i="37"/>
  <c r="B30" i="37"/>
  <c r="AL29" i="37"/>
  <c r="AK29" i="37"/>
  <c r="AU51" i="37" s="1"/>
  <c r="X29" i="37"/>
  <c r="X28" i="37"/>
  <c r="AQ27" i="37"/>
  <c r="B27" i="37"/>
  <c r="P25" i="37"/>
  <c r="P24" i="37" s="1"/>
  <c r="G24" i="37"/>
  <c r="E24" i="37"/>
  <c r="C24" i="37"/>
  <c r="AB23" i="37"/>
  <c r="AA23" i="37"/>
  <c r="AC23" i="37" s="1"/>
  <c r="Z23" i="37"/>
  <c r="Y23" i="37"/>
  <c r="I23" i="37"/>
  <c r="G23" i="37"/>
  <c r="E23" i="37"/>
  <c r="C23" i="37"/>
  <c r="AB22" i="37"/>
  <c r="AA22" i="37"/>
  <c r="AC22" i="37" s="1"/>
  <c r="Z22" i="37"/>
  <c r="Y22" i="37"/>
  <c r="I22" i="37"/>
  <c r="G22" i="37"/>
  <c r="E22" i="37"/>
  <c r="C22" i="37"/>
  <c r="I21" i="37"/>
  <c r="G21" i="37"/>
  <c r="E21" i="37"/>
  <c r="C21" i="37"/>
  <c r="AQ20" i="37"/>
  <c r="AI20" i="37"/>
  <c r="I20" i="37"/>
  <c r="AQ19" i="37"/>
  <c r="B69" i="37" s="1"/>
  <c r="AQ35" i="37" s="1"/>
  <c r="AI19" i="37"/>
  <c r="AQ18" i="37"/>
  <c r="B66" i="37" s="1"/>
  <c r="AQ34" i="37" s="1"/>
  <c r="AI18" i="37"/>
  <c r="AJ18" i="37" s="1"/>
  <c r="AK18" i="37" s="1"/>
  <c r="AV26" i="37" s="1"/>
  <c r="I18" i="37"/>
  <c r="E18" i="37"/>
  <c r="AL18" i="37" s="1"/>
  <c r="AI17" i="37"/>
  <c r="AI16" i="37"/>
  <c r="AL15" i="37"/>
  <c r="AI15" i="37"/>
  <c r="AJ15" i="37" s="1"/>
  <c r="AK15" i="37" s="1"/>
  <c r="AU26" i="37" s="1"/>
  <c r="AQ14" i="37"/>
  <c r="B63" i="37" s="1"/>
  <c r="AQ33" i="37" s="1"/>
  <c r="AI14" i="37"/>
  <c r="I14" i="37"/>
  <c r="AQ13" i="37"/>
  <c r="B60" i="37" s="1"/>
  <c r="AQ32" i="37" s="1"/>
  <c r="AI13" i="37"/>
  <c r="AQ12" i="37"/>
  <c r="AI12" i="37"/>
  <c r="AJ12" i="37" s="1"/>
  <c r="AK12" i="37" s="1"/>
  <c r="AT26" i="37" s="1"/>
  <c r="AI11" i="37"/>
  <c r="AC11" i="37"/>
  <c r="AB11" i="37"/>
  <c r="AA11" i="37"/>
  <c r="Z11" i="37"/>
  <c r="Y11" i="37"/>
  <c r="AI10" i="37"/>
  <c r="AC10" i="37"/>
  <c r="AD8" i="37" s="1"/>
  <c r="AB36" i="37" s="1"/>
  <c r="AB10" i="37"/>
  <c r="AA10" i="37"/>
  <c r="Z10" i="37"/>
  <c r="Y10" i="37"/>
  <c r="AL9" i="37"/>
  <c r="AI9" i="37"/>
  <c r="AJ9" i="37" s="1"/>
  <c r="AK9" i="37" s="1"/>
  <c r="AS26" i="37" s="1"/>
  <c r="AC9" i="37"/>
  <c r="AB9" i="37"/>
  <c r="AA9" i="37"/>
  <c r="Z9" i="37"/>
  <c r="Y9" i="37"/>
  <c r="AQ8" i="37"/>
  <c r="B54" i="37" s="1"/>
  <c r="AB8" i="37"/>
  <c r="AA8" i="37"/>
  <c r="Z8" i="37"/>
  <c r="AC8" i="37" s="1"/>
  <c r="Y8" i="37"/>
  <c r="AQ7" i="37"/>
  <c r="B51" i="37" s="1"/>
  <c r="AQ29" i="37" s="1"/>
  <c r="AQ6" i="37"/>
  <c r="B48" i="37" s="1"/>
  <c r="AE88" i="39" l="1"/>
  <c r="X208" i="37"/>
  <c r="AC208" i="37" s="1"/>
  <c r="AE95" i="37"/>
  <c r="AE93" i="38"/>
  <c r="AE89" i="37"/>
  <c r="Z46" i="37" s="1"/>
  <c r="Z213" i="38"/>
  <c r="AE213" i="38" s="1"/>
  <c r="X208" i="39"/>
  <c r="AC208" i="39" s="1"/>
  <c r="X196" i="40"/>
  <c r="AC196" i="40" s="1"/>
  <c r="AE92" i="38"/>
  <c r="AE95" i="38"/>
  <c r="AE91" i="40"/>
  <c r="AE88" i="37"/>
  <c r="AE94" i="37"/>
  <c r="AE89" i="39"/>
  <c r="Z46" i="39" s="1"/>
  <c r="AE95" i="39"/>
  <c r="AE89" i="40"/>
  <c r="Z46" i="40" s="1"/>
  <c r="AE95" i="40"/>
  <c r="Z213" i="37"/>
  <c r="AE213" i="37" s="1"/>
  <c r="AE93" i="39"/>
  <c r="Z206" i="39"/>
  <c r="AE206" i="39" s="1"/>
  <c r="AE91" i="37"/>
  <c r="V49" i="38"/>
  <c r="AE92" i="39"/>
  <c r="X206" i="40"/>
  <c r="AC206" i="40" s="1"/>
  <c r="W194" i="37"/>
  <c r="AB194" i="37" s="1"/>
  <c r="X210" i="39"/>
  <c r="AC210" i="39" s="1"/>
  <c r="X196" i="39"/>
  <c r="AC196" i="39" s="1"/>
  <c r="AE93" i="40"/>
  <c r="X210" i="40"/>
  <c r="AC210" i="40" s="1"/>
  <c r="W206" i="40"/>
  <c r="AB206" i="40" s="1"/>
  <c r="Y206" i="37"/>
  <c r="AD206" i="37" s="1"/>
  <c r="X194" i="40"/>
  <c r="AC194" i="40" s="1"/>
  <c r="AE92" i="40"/>
  <c r="AE90" i="38"/>
  <c r="AE94" i="39"/>
  <c r="AE94" i="40"/>
  <c r="Z213" i="40"/>
  <c r="AE213" i="40" s="1"/>
  <c r="X208" i="40"/>
  <c r="AC208" i="40" s="1"/>
  <c r="V49" i="37"/>
  <c r="V47" i="37" s="1"/>
  <c r="V48" i="37" s="1"/>
  <c r="V51" i="37" s="1"/>
  <c r="J27" i="37" s="1"/>
  <c r="AE93" i="37"/>
  <c r="X210" i="37"/>
  <c r="AC210" i="37" s="1"/>
  <c r="X196" i="37"/>
  <c r="AC196" i="37" s="1"/>
  <c r="AE87" i="38"/>
  <c r="AE91" i="39"/>
  <c r="W194" i="39"/>
  <c r="AB194" i="39" s="1"/>
  <c r="AE88" i="40"/>
  <c r="W194" i="40"/>
  <c r="AB194" i="40" s="1"/>
  <c r="O111" i="40"/>
  <c r="AT34" i="40"/>
  <c r="J39" i="40"/>
  <c r="E38" i="40"/>
  <c r="D38" i="40"/>
  <c r="AS31" i="40"/>
  <c r="AL9" i="40"/>
  <c r="AK9" i="40" s="1"/>
  <c r="AS26" i="40" s="1"/>
  <c r="AL15" i="40"/>
  <c r="AC30" i="40"/>
  <c r="AL18" i="40"/>
  <c r="AL12" i="40"/>
  <c r="Q96" i="40"/>
  <c r="AU5" i="40"/>
  <c r="Q111" i="40"/>
  <c r="P111" i="40"/>
  <c r="P96" i="40"/>
  <c r="AT5" i="40"/>
  <c r="W192" i="40"/>
  <c r="AB192" i="40" s="1"/>
  <c r="AQ58" i="40"/>
  <c r="B48" i="40"/>
  <c r="AQ28" i="40" s="1"/>
  <c r="W190" i="40"/>
  <c r="AB190" i="40" s="1"/>
  <c r="X192" i="40"/>
  <c r="AC192" i="40" s="1"/>
  <c r="X204" i="40"/>
  <c r="AC204" i="40" s="1"/>
  <c r="W214" i="40"/>
  <c r="AB214" i="40" s="1"/>
  <c r="W188" i="40"/>
  <c r="AB188" i="40" s="1"/>
  <c r="X190" i="40"/>
  <c r="AC190" i="40" s="1"/>
  <c r="W200" i="40"/>
  <c r="AB200" i="40" s="1"/>
  <c r="X202" i="40"/>
  <c r="AC202" i="40" s="1"/>
  <c r="W212" i="40"/>
  <c r="AB212" i="40" s="1"/>
  <c r="X214" i="40"/>
  <c r="AC214" i="40" s="1"/>
  <c r="X188" i="40"/>
  <c r="AC188" i="40" s="1"/>
  <c r="W198" i="40"/>
  <c r="AB198" i="40" s="1"/>
  <c r="X200" i="40"/>
  <c r="AC200" i="40" s="1"/>
  <c r="W210" i="40"/>
  <c r="AB210" i="40" s="1"/>
  <c r="X212" i="40"/>
  <c r="AC212" i="40" s="1"/>
  <c r="V49" i="40"/>
  <c r="V47" i="40" s="1"/>
  <c r="V48" i="40" s="1"/>
  <c r="V51" i="40" s="1"/>
  <c r="J27" i="40" s="1"/>
  <c r="AE87" i="40"/>
  <c r="AE90" i="40"/>
  <c r="W196" i="40"/>
  <c r="AB196" i="40" s="1"/>
  <c r="X198" i="40"/>
  <c r="AC198" i="40" s="1"/>
  <c r="W208" i="40"/>
  <c r="AB208" i="40" s="1"/>
  <c r="Y188" i="40"/>
  <c r="AD188" i="40" s="1"/>
  <c r="Y190" i="40"/>
  <c r="AD190" i="40" s="1"/>
  <c r="Y192" i="40"/>
  <c r="AD192" i="40" s="1"/>
  <c r="Y194" i="40"/>
  <c r="AD194" i="40" s="1"/>
  <c r="Y196" i="40"/>
  <c r="AD196" i="40" s="1"/>
  <c r="Y198" i="40"/>
  <c r="AD198" i="40" s="1"/>
  <c r="Y200" i="40"/>
  <c r="AD200" i="40" s="1"/>
  <c r="Y202" i="40"/>
  <c r="AD202" i="40" s="1"/>
  <c r="Y204" i="40"/>
  <c r="AD204" i="40" s="1"/>
  <c r="Y206" i="40"/>
  <c r="AD206" i="40" s="1"/>
  <c r="Y208" i="40"/>
  <c r="AD208" i="40" s="1"/>
  <c r="Y210" i="40"/>
  <c r="AD210" i="40" s="1"/>
  <c r="Y212" i="40"/>
  <c r="AD212" i="40" s="1"/>
  <c r="Y214" i="40"/>
  <c r="AD214" i="40" s="1"/>
  <c r="Z188" i="40"/>
  <c r="AE188" i="40" s="1"/>
  <c r="W189" i="40"/>
  <c r="AB189" i="40" s="1"/>
  <c r="Z190" i="40"/>
  <c r="AE190" i="40" s="1"/>
  <c r="W191" i="40"/>
  <c r="AB191" i="40" s="1"/>
  <c r="Z192" i="40"/>
  <c r="AE192" i="40" s="1"/>
  <c r="W193" i="40"/>
  <c r="AB193" i="40" s="1"/>
  <c r="Z194" i="40"/>
  <c r="AE194" i="40" s="1"/>
  <c r="W195" i="40"/>
  <c r="AB195" i="40" s="1"/>
  <c r="Z196" i="40"/>
  <c r="AE196" i="40" s="1"/>
  <c r="W197" i="40"/>
  <c r="AB197" i="40" s="1"/>
  <c r="Z198" i="40"/>
  <c r="AE198" i="40" s="1"/>
  <c r="W199" i="40"/>
  <c r="AB199" i="40" s="1"/>
  <c r="Z200" i="40"/>
  <c r="AE200" i="40" s="1"/>
  <c r="Z202" i="40"/>
  <c r="AE202" i="40" s="1"/>
  <c r="Z204" i="40"/>
  <c r="AE204" i="40" s="1"/>
  <c r="W205" i="40"/>
  <c r="AB205" i="40" s="1"/>
  <c r="Z206" i="40"/>
  <c r="AE206" i="40" s="1"/>
  <c r="W207" i="40"/>
  <c r="AB207" i="40" s="1"/>
  <c r="Z208" i="40"/>
  <c r="AE208" i="40" s="1"/>
  <c r="W209" i="40"/>
  <c r="AB209" i="40" s="1"/>
  <c r="Z210" i="40"/>
  <c r="AE210" i="40" s="1"/>
  <c r="W211" i="40"/>
  <c r="AB211" i="40" s="1"/>
  <c r="Z212" i="40"/>
  <c r="AE212" i="40" s="1"/>
  <c r="W213" i="40"/>
  <c r="AB213" i="40" s="1"/>
  <c r="Z214" i="40"/>
  <c r="AE214" i="40" s="1"/>
  <c r="X189" i="40"/>
  <c r="AC189" i="40" s="1"/>
  <c r="X191" i="40"/>
  <c r="AC191" i="40" s="1"/>
  <c r="X193" i="40"/>
  <c r="AC193" i="40" s="1"/>
  <c r="X195" i="40"/>
  <c r="AC195" i="40" s="1"/>
  <c r="X197" i="40"/>
  <c r="AC197" i="40" s="1"/>
  <c r="X199" i="40"/>
  <c r="AC199" i="40" s="1"/>
  <c r="X201" i="40"/>
  <c r="AC201" i="40" s="1"/>
  <c r="X203" i="40"/>
  <c r="AC203" i="40" s="1"/>
  <c r="X205" i="40"/>
  <c r="AC205" i="40" s="1"/>
  <c r="X207" i="40"/>
  <c r="AC207" i="40" s="1"/>
  <c r="X209" i="40"/>
  <c r="AC209" i="40" s="1"/>
  <c r="X211" i="40"/>
  <c r="AC211" i="40" s="1"/>
  <c r="X213" i="40"/>
  <c r="AC213" i="40" s="1"/>
  <c r="Y189" i="40"/>
  <c r="AD189" i="40" s="1"/>
  <c r="Y191" i="40"/>
  <c r="AD191" i="40" s="1"/>
  <c r="Y193" i="40"/>
  <c r="AD193" i="40" s="1"/>
  <c r="Y195" i="40"/>
  <c r="AD195" i="40" s="1"/>
  <c r="Y197" i="40"/>
  <c r="AD197" i="40" s="1"/>
  <c r="Y199" i="40"/>
  <c r="AD199" i="40" s="1"/>
  <c r="Y201" i="40"/>
  <c r="AD201" i="40" s="1"/>
  <c r="Y203" i="40"/>
  <c r="AD203" i="40" s="1"/>
  <c r="Y205" i="40"/>
  <c r="AD205" i="40" s="1"/>
  <c r="Y207" i="40"/>
  <c r="AD207" i="40" s="1"/>
  <c r="Y209" i="40"/>
  <c r="AD209" i="40" s="1"/>
  <c r="Y211" i="40"/>
  <c r="AD211" i="40" s="1"/>
  <c r="Y213" i="40"/>
  <c r="AD213" i="40" s="1"/>
  <c r="Z189" i="40"/>
  <c r="AE189" i="40" s="1"/>
  <c r="Z191" i="40"/>
  <c r="AE191" i="40" s="1"/>
  <c r="Z193" i="40"/>
  <c r="AE193" i="40" s="1"/>
  <c r="Z195" i="40"/>
  <c r="AE195" i="40" s="1"/>
  <c r="Z197" i="40"/>
  <c r="AE197" i="40" s="1"/>
  <c r="Z199" i="40"/>
  <c r="AE199" i="40" s="1"/>
  <c r="Z201" i="40"/>
  <c r="AE201" i="40" s="1"/>
  <c r="Z203" i="40"/>
  <c r="AE203" i="40" s="1"/>
  <c r="Z205" i="40"/>
  <c r="AE205" i="40" s="1"/>
  <c r="Z207" i="40"/>
  <c r="AE207" i="40" s="1"/>
  <c r="Z209" i="40"/>
  <c r="AE209" i="40" s="1"/>
  <c r="Z211" i="40"/>
  <c r="AE211" i="40" s="1"/>
  <c r="AC31" i="39"/>
  <c r="AT5" i="39" s="1"/>
  <c r="AQ28" i="39"/>
  <c r="AV31" i="39"/>
  <c r="AT31" i="39"/>
  <c r="Q111" i="39"/>
  <c r="J39" i="39"/>
  <c r="E38" i="39"/>
  <c r="D38" i="39"/>
  <c r="P96" i="39"/>
  <c r="O111" i="39"/>
  <c r="AV34" i="39"/>
  <c r="AU34" i="39"/>
  <c r="AL18" i="39"/>
  <c r="AL12" i="39"/>
  <c r="AL9" i="39"/>
  <c r="AK9" i="39" s="1"/>
  <c r="AS26" i="39" s="1"/>
  <c r="AL15" i="39"/>
  <c r="AC30" i="39"/>
  <c r="P111" i="39"/>
  <c r="AD22" i="39"/>
  <c r="AB39" i="39" s="1"/>
  <c r="AC32" i="39" s="1"/>
  <c r="AQ58" i="39"/>
  <c r="W192" i="39"/>
  <c r="AB192" i="39" s="1"/>
  <c r="X194" i="39"/>
  <c r="AC194" i="39" s="1"/>
  <c r="X206" i="39"/>
  <c r="AC206" i="39" s="1"/>
  <c r="W190" i="39"/>
  <c r="AB190" i="39" s="1"/>
  <c r="X192" i="39"/>
  <c r="AC192" i="39" s="1"/>
  <c r="X204" i="39"/>
  <c r="AC204" i="39" s="1"/>
  <c r="W214" i="39"/>
  <c r="AB214" i="39" s="1"/>
  <c r="AU31" i="39"/>
  <c r="W188" i="39"/>
  <c r="AB188" i="39" s="1"/>
  <c r="X190" i="39"/>
  <c r="AC190" i="39" s="1"/>
  <c r="W200" i="39"/>
  <c r="AB200" i="39" s="1"/>
  <c r="X202" i="39"/>
  <c r="AC202" i="39" s="1"/>
  <c r="Z212" i="39"/>
  <c r="AE212" i="39" s="1"/>
  <c r="X214" i="39"/>
  <c r="AC214" i="39" s="1"/>
  <c r="B72" i="39"/>
  <c r="AQ36" i="39" s="1"/>
  <c r="B51" i="39"/>
  <c r="AQ29" i="39" s="1"/>
  <c r="X188" i="39"/>
  <c r="AC188" i="39" s="1"/>
  <c r="W198" i="39"/>
  <c r="AB198" i="39" s="1"/>
  <c r="X200" i="39"/>
  <c r="AC200" i="39" s="1"/>
  <c r="Z210" i="39"/>
  <c r="AE210" i="39" s="1"/>
  <c r="X212" i="39"/>
  <c r="AC212" i="39" s="1"/>
  <c r="V49" i="39"/>
  <c r="V47" i="39" s="1"/>
  <c r="Z213" i="39"/>
  <c r="AE213" i="39" s="1"/>
  <c r="AE87" i="39"/>
  <c r="AE90" i="39"/>
  <c r="W196" i="39"/>
  <c r="AB196" i="39" s="1"/>
  <c r="X198" i="39"/>
  <c r="AC198" i="39" s="1"/>
  <c r="Z208" i="39"/>
  <c r="AE208" i="39" s="1"/>
  <c r="Y188" i="39"/>
  <c r="AD188" i="39" s="1"/>
  <c r="Y190" i="39"/>
  <c r="AD190" i="39" s="1"/>
  <c r="Y192" i="39"/>
  <c r="AD192" i="39" s="1"/>
  <c r="Y194" i="39"/>
  <c r="AD194" i="39" s="1"/>
  <c r="Y196" i="39"/>
  <c r="AD196" i="39" s="1"/>
  <c r="Y198" i="39"/>
  <c r="AD198" i="39" s="1"/>
  <c r="Y200" i="39"/>
  <c r="AD200" i="39" s="1"/>
  <c r="Y202" i="39"/>
  <c r="AD202" i="39" s="1"/>
  <c r="Y204" i="39"/>
  <c r="AD204" i="39" s="1"/>
  <c r="Y206" i="39"/>
  <c r="AD206" i="39" s="1"/>
  <c r="Y208" i="39"/>
  <c r="AD208" i="39" s="1"/>
  <c r="Y210" i="39"/>
  <c r="AD210" i="39" s="1"/>
  <c r="Y212" i="39"/>
  <c r="AD212" i="39" s="1"/>
  <c r="Y214" i="39"/>
  <c r="AD214" i="39" s="1"/>
  <c r="Z188" i="39"/>
  <c r="AE188" i="39" s="1"/>
  <c r="W189" i="39"/>
  <c r="AB189" i="39" s="1"/>
  <c r="Z190" i="39"/>
  <c r="AE190" i="39" s="1"/>
  <c r="W191" i="39"/>
  <c r="AB191" i="39" s="1"/>
  <c r="Z192" i="39"/>
  <c r="AE192" i="39" s="1"/>
  <c r="W193" i="39"/>
  <c r="AB193" i="39" s="1"/>
  <c r="Z194" i="39"/>
  <c r="AE194" i="39" s="1"/>
  <c r="W195" i="39"/>
  <c r="AB195" i="39" s="1"/>
  <c r="Z196" i="39"/>
  <c r="AE196" i="39" s="1"/>
  <c r="W197" i="39"/>
  <c r="AB197" i="39" s="1"/>
  <c r="Z198" i="39"/>
  <c r="AE198" i="39" s="1"/>
  <c r="W199" i="39"/>
  <c r="AB199" i="39" s="1"/>
  <c r="Z200" i="39"/>
  <c r="AE200" i="39" s="1"/>
  <c r="Z202" i="39"/>
  <c r="AE202" i="39" s="1"/>
  <c r="Z204" i="39"/>
  <c r="AE204" i="39" s="1"/>
  <c r="W205" i="39"/>
  <c r="AB205" i="39" s="1"/>
  <c r="W207" i="39"/>
  <c r="AB207" i="39" s="1"/>
  <c r="W209" i="39"/>
  <c r="AB209" i="39" s="1"/>
  <c r="W211" i="39"/>
  <c r="AB211" i="39" s="1"/>
  <c r="W213" i="39"/>
  <c r="AB213" i="39" s="1"/>
  <c r="Z214" i="39"/>
  <c r="AE214" i="39" s="1"/>
  <c r="X189" i="39"/>
  <c r="AC189" i="39" s="1"/>
  <c r="X191" i="39"/>
  <c r="AC191" i="39" s="1"/>
  <c r="X193" i="39"/>
  <c r="AC193" i="39" s="1"/>
  <c r="X195" i="39"/>
  <c r="AC195" i="39" s="1"/>
  <c r="X197" i="39"/>
  <c r="AC197" i="39" s="1"/>
  <c r="X199" i="39"/>
  <c r="AC199" i="39" s="1"/>
  <c r="X201" i="39"/>
  <c r="AC201" i="39" s="1"/>
  <c r="X203" i="39"/>
  <c r="AC203" i="39" s="1"/>
  <c r="X205" i="39"/>
  <c r="AC205" i="39" s="1"/>
  <c r="X207" i="39"/>
  <c r="AC207" i="39" s="1"/>
  <c r="X209" i="39"/>
  <c r="AC209" i="39" s="1"/>
  <c r="X211" i="39"/>
  <c r="AC211" i="39" s="1"/>
  <c r="X213" i="39"/>
  <c r="AC213" i="39" s="1"/>
  <c r="Y189" i="39"/>
  <c r="AD189" i="39" s="1"/>
  <c r="Y191" i="39"/>
  <c r="AD191" i="39" s="1"/>
  <c r="Y193" i="39"/>
  <c r="AD193" i="39" s="1"/>
  <c r="Y195" i="39"/>
  <c r="AD195" i="39" s="1"/>
  <c r="Y197" i="39"/>
  <c r="AD197" i="39" s="1"/>
  <c r="Y199" i="39"/>
  <c r="AD199" i="39" s="1"/>
  <c r="Y201" i="39"/>
  <c r="AD201" i="39" s="1"/>
  <c r="Y203" i="39"/>
  <c r="AD203" i="39" s="1"/>
  <c r="Y205" i="39"/>
  <c r="AD205" i="39" s="1"/>
  <c r="Y207" i="39"/>
  <c r="AD207" i="39" s="1"/>
  <c r="Y209" i="39"/>
  <c r="AD209" i="39" s="1"/>
  <c r="Y211" i="39"/>
  <c r="AD211" i="39" s="1"/>
  <c r="Y213" i="39"/>
  <c r="AD213" i="39" s="1"/>
  <c r="Z189" i="39"/>
  <c r="AE189" i="39" s="1"/>
  <c r="Z191" i="39"/>
  <c r="AE191" i="39" s="1"/>
  <c r="Z193" i="39"/>
  <c r="AE193" i="39" s="1"/>
  <c r="Z195" i="39"/>
  <c r="AE195" i="39" s="1"/>
  <c r="Z197" i="39"/>
  <c r="AE197" i="39" s="1"/>
  <c r="Z199" i="39"/>
  <c r="AE199" i="39" s="1"/>
  <c r="Z201" i="39"/>
  <c r="AE201" i="39" s="1"/>
  <c r="Z203" i="39"/>
  <c r="AE203" i="39" s="1"/>
  <c r="Z205" i="39"/>
  <c r="AE205" i="39" s="1"/>
  <c r="W206" i="39"/>
  <c r="AB206" i="39" s="1"/>
  <c r="Z207" i="39"/>
  <c r="AE207" i="39" s="1"/>
  <c r="W208" i="39"/>
  <c r="AB208" i="39" s="1"/>
  <c r="Z209" i="39"/>
  <c r="AE209" i="39" s="1"/>
  <c r="W210" i="39"/>
  <c r="AB210" i="39" s="1"/>
  <c r="Z211" i="39"/>
  <c r="AE211" i="39" s="1"/>
  <c r="W212" i="39"/>
  <c r="AB212" i="39" s="1"/>
  <c r="AC31" i="38"/>
  <c r="P96" i="38" s="1"/>
  <c r="O111" i="38"/>
  <c r="Q111" i="38"/>
  <c r="P111" i="38"/>
  <c r="AU5" i="38"/>
  <c r="Q96" i="38"/>
  <c r="AL9" i="38"/>
  <c r="AK9" i="38" s="1"/>
  <c r="AS26" i="38" s="1"/>
  <c r="AC30" i="38"/>
  <c r="AL15" i="38"/>
  <c r="AL18" i="38"/>
  <c r="AL12" i="38"/>
  <c r="B57" i="38"/>
  <c r="AQ31" i="38" s="1"/>
  <c r="AQ58" i="38"/>
  <c r="B48" i="38"/>
  <c r="AQ28" i="38" s="1"/>
  <c r="B69" i="38"/>
  <c r="AQ35" i="38" s="1"/>
  <c r="B72" i="38"/>
  <c r="AQ36" i="38" s="1"/>
  <c r="V47" i="38"/>
  <c r="V48" i="38" s="1"/>
  <c r="V51" i="38" s="1"/>
  <c r="J27" i="38" s="1"/>
  <c r="I24" i="38"/>
  <c r="B54" i="38"/>
  <c r="AQ30" i="38" s="1"/>
  <c r="B66" i="38"/>
  <c r="AQ34" i="38" s="1"/>
  <c r="B60" i="38"/>
  <c r="AQ32" i="38" s="1"/>
  <c r="AE91" i="38"/>
  <c r="W192" i="38"/>
  <c r="AB192" i="38" s="1"/>
  <c r="W198" i="38"/>
  <c r="AB198" i="38" s="1"/>
  <c r="W210" i="38"/>
  <c r="AB210" i="38" s="1"/>
  <c r="AE46" i="38"/>
  <c r="J38" i="38" s="1"/>
  <c r="AE89" i="38"/>
  <c r="Z46" i="38" s="1"/>
  <c r="AE94" i="38"/>
  <c r="W188" i="38"/>
  <c r="AB188" i="38" s="1"/>
  <c r="W194" i="38"/>
  <c r="AB194" i="38" s="1"/>
  <c r="W200" i="38"/>
  <c r="AB200" i="38" s="1"/>
  <c r="W206" i="38"/>
  <c r="AB206" i="38" s="1"/>
  <c r="W212" i="38"/>
  <c r="AB212" i="38" s="1"/>
  <c r="W190" i="38"/>
  <c r="AB190" i="38" s="1"/>
  <c r="W196" i="38"/>
  <c r="AB196" i="38" s="1"/>
  <c r="W208" i="38"/>
  <c r="AB208" i="38" s="1"/>
  <c r="W214" i="38"/>
  <c r="AB214" i="38" s="1"/>
  <c r="Z192" i="38"/>
  <c r="AE192" i="38" s="1"/>
  <c r="W191" i="38"/>
  <c r="AB191" i="38" s="1"/>
  <c r="Z190" i="38"/>
  <c r="AE190" i="38" s="1"/>
  <c r="W189" i="38"/>
  <c r="AB189" i="38" s="1"/>
  <c r="Z188" i="38"/>
  <c r="AE188" i="38" s="1"/>
  <c r="X188" i="38"/>
  <c r="AC188" i="38" s="1"/>
  <c r="X190" i="38"/>
  <c r="AC190" i="38" s="1"/>
  <c r="X192" i="38"/>
  <c r="AC192" i="38" s="1"/>
  <c r="X194" i="38"/>
  <c r="AC194" i="38" s="1"/>
  <c r="X196" i="38"/>
  <c r="AC196" i="38" s="1"/>
  <c r="X198" i="38"/>
  <c r="AC198" i="38" s="1"/>
  <c r="X200" i="38"/>
  <c r="AC200" i="38" s="1"/>
  <c r="X202" i="38"/>
  <c r="AC202" i="38" s="1"/>
  <c r="X204" i="38"/>
  <c r="AC204" i="38" s="1"/>
  <c r="X206" i="38"/>
  <c r="AC206" i="38" s="1"/>
  <c r="X208" i="38"/>
  <c r="AC208" i="38" s="1"/>
  <c r="X210" i="38"/>
  <c r="AC210" i="38" s="1"/>
  <c r="X212" i="38"/>
  <c r="AC212" i="38" s="1"/>
  <c r="X214" i="38"/>
  <c r="AC214" i="38" s="1"/>
  <c r="Y188" i="38"/>
  <c r="AD188" i="38" s="1"/>
  <c r="Y190" i="38"/>
  <c r="AD190" i="38" s="1"/>
  <c r="Y192" i="38"/>
  <c r="AD192" i="38" s="1"/>
  <c r="Y194" i="38"/>
  <c r="AD194" i="38" s="1"/>
  <c r="Y196" i="38"/>
  <c r="AD196" i="38" s="1"/>
  <c r="Y198" i="38"/>
  <c r="AD198" i="38" s="1"/>
  <c r="Y200" i="38"/>
  <c r="AD200" i="38" s="1"/>
  <c r="Y202" i="38"/>
  <c r="AD202" i="38" s="1"/>
  <c r="Y204" i="38"/>
  <c r="AD204" i="38" s="1"/>
  <c r="Y206" i="38"/>
  <c r="AD206" i="38" s="1"/>
  <c r="Y208" i="38"/>
  <c r="AD208" i="38" s="1"/>
  <c r="Y210" i="38"/>
  <c r="AD210" i="38" s="1"/>
  <c r="Y212" i="38"/>
  <c r="AD212" i="38" s="1"/>
  <c r="Y214" i="38"/>
  <c r="AD214" i="38" s="1"/>
  <c r="W193" i="38"/>
  <c r="AB193" i="38" s="1"/>
  <c r="Z194" i="38"/>
  <c r="AE194" i="38" s="1"/>
  <c r="W195" i="38"/>
  <c r="AB195" i="38" s="1"/>
  <c r="Z196" i="38"/>
  <c r="AE196" i="38" s="1"/>
  <c r="W197" i="38"/>
  <c r="AB197" i="38" s="1"/>
  <c r="Z198" i="38"/>
  <c r="AE198" i="38" s="1"/>
  <c r="W199" i="38"/>
  <c r="AB199" i="38" s="1"/>
  <c r="Z200" i="38"/>
  <c r="AE200" i="38" s="1"/>
  <c r="Z202" i="38"/>
  <c r="AE202" i="38" s="1"/>
  <c r="Z204" i="38"/>
  <c r="AE204" i="38" s="1"/>
  <c r="W205" i="38"/>
  <c r="AB205" i="38" s="1"/>
  <c r="Z206" i="38"/>
  <c r="AE206" i="38" s="1"/>
  <c r="W207" i="38"/>
  <c r="AB207" i="38" s="1"/>
  <c r="Z208" i="38"/>
  <c r="AE208" i="38" s="1"/>
  <c r="W209" i="38"/>
  <c r="AB209" i="38" s="1"/>
  <c r="Z210" i="38"/>
  <c r="AE210" i="38" s="1"/>
  <c r="W211" i="38"/>
  <c r="AB211" i="38" s="1"/>
  <c r="Z212" i="38"/>
  <c r="AE212" i="38" s="1"/>
  <c r="W213" i="38"/>
  <c r="AB213" i="38" s="1"/>
  <c r="Z214" i="38"/>
  <c r="AE214" i="38" s="1"/>
  <c r="X189" i="38"/>
  <c r="AC189" i="38" s="1"/>
  <c r="X191" i="38"/>
  <c r="AC191" i="38" s="1"/>
  <c r="X193" i="38"/>
  <c r="AC193" i="38" s="1"/>
  <c r="X195" i="38"/>
  <c r="AC195" i="38" s="1"/>
  <c r="X197" i="38"/>
  <c r="AC197" i="38" s="1"/>
  <c r="X199" i="38"/>
  <c r="AC199" i="38" s="1"/>
  <c r="X201" i="38"/>
  <c r="AC201" i="38" s="1"/>
  <c r="X203" i="38"/>
  <c r="AC203" i="38" s="1"/>
  <c r="X205" i="38"/>
  <c r="AC205" i="38" s="1"/>
  <c r="X207" i="38"/>
  <c r="AC207" i="38" s="1"/>
  <c r="X209" i="38"/>
  <c r="AC209" i="38" s="1"/>
  <c r="X211" i="38"/>
  <c r="AC211" i="38" s="1"/>
  <c r="X213" i="38"/>
  <c r="AC213" i="38" s="1"/>
  <c r="Y189" i="38"/>
  <c r="AD189" i="38" s="1"/>
  <c r="Y191" i="38"/>
  <c r="AD191" i="38" s="1"/>
  <c r="Y193" i="38"/>
  <c r="AD193" i="38" s="1"/>
  <c r="Y195" i="38"/>
  <c r="AD195" i="38" s="1"/>
  <c r="Y197" i="38"/>
  <c r="AD197" i="38" s="1"/>
  <c r="Y199" i="38"/>
  <c r="AD199" i="38" s="1"/>
  <c r="Y201" i="38"/>
  <c r="AD201" i="38" s="1"/>
  <c r="Y203" i="38"/>
  <c r="AD203" i="38" s="1"/>
  <c r="Y205" i="38"/>
  <c r="AD205" i="38" s="1"/>
  <c r="Y207" i="38"/>
  <c r="AD207" i="38" s="1"/>
  <c r="Y209" i="38"/>
  <c r="AD209" i="38" s="1"/>
  <c r="Y211" i="38"/>
  <c r="AD211" i="38" s="1"/>
  <c r="Y213" i="38"/>
  <c r="AD213" i="38" s="1"/>
  <c r="Z189" i="38"/>
  <c r="AE189" i="38" s="1"/>
  <c r="Z191" i="38"/>
  <c r="AE191" i="38" s="1"/>
  <c r="Z193" i="38"/>
  <c r="AE193" i="38" s="1"/>
  <c r="Z195" i="38"/>
  <c r="AE195" i="38" s="1"/>
  <c r="Z197" i="38"/>
  <c r="AE197" i="38" s="1"/>
  <c r="Z199" i="38"/>
  <c r="AE199" i="38" s="1"/>
  <c r="Z201" i="38"/>
  <c r="AE201" i="38" s="1"/>
  <c r="Z203" i="38"/>
  <c r="AE203" i="38" s="1"/>
  <c r="Z205" i="38"/>
  <c r="AE205" i="38" s="1"/>
  <c r="Z207" i="38"/>
  <c r="AE207" i="38" s="1"/>
  <c r="Z209" i="38"/>
  <c r="AE209" i="38" s="1"/>
  <c r="Z211" i="38"/>
  <c r="AE211" i="38" s="1"/>
  <c r="AC31" i="37"/>
  <c r="P96" i="37" s="1"/>
  <c r="O111" i="37"/>
  <c r="G20" i="37"/>
  <c r="AQ28" i="37"/>
  <c r="AS31" i="37"/>
  <c r="AT31" i="37"/>
  <c r="AV31" i="37"/>
  <c r="N111" i="37"/>
  <c r="Q111" i="37"/>
  <c r="AT34" i="37"/>
  <c r="AV34" i="37"/>
  <c r="AU34" i="37"/>
  <c r="AS34" i="37"/>
  <c r="P111" i="37"/>
  <c r="B72" i="37"/>
  <c r="AQ36" i="37" s="1"/>
  <c r="E38" i="37"/>
  <c r="W192" i="37"/>
  <c r="AB192" i="37" s="1"/>
  <c r="X194" i="37"/>
  <c r="AC194" i="37" s="1"/>
  <c r="X206" i="37"/>
  <c r="AC206" i="37" s="1"/>
  <c r="I24" i="37"/>
  <c r="W190" i="37"/>
  <c r="AB190" i="37" s="1"/>
  <c r="X192" i="37"/>
  <c r="AC192" i="37" s="1"/>
  <c r="X204" i="37"/>
  <c r="AC204" i="37" s="1"/>
  <c r="W214" i="37"/>
  <c r="AB214" i="37" s="1"/>
  <c r="AL12" i="37"/>
  <c r="AC30" i="37"/>
  <c r="W188" i="37"/>
  <c r="AB188" i="37" s="1"/>
  <c r="X190" i="37"/>
  <c r="AC190" i="37" s="1"/>
  <c r="W200" i="37"/>
  <c r="AB200" i="37" s="1"/>
  <c r="X202" i="37"/>
  <c r="AC202" i="37" s="1"/>
  <c r="W212" i="37"/>
  <c r="AB212" i="37" s="1"/>
  <c r="X214" i="37"/>
  <c r="AC214" i="37" s="1"/>
  <c r="AD22" i="37"/>
  <c r="AB39" i="37" s="1"/>
  <c r="AC32" i="37" s="1"/>
  <c r="E39" i="37"/>
  <c r="AE92" i="37"/>
  <c r="X188" i="37"/>
  <c r="AC188" i="37" s="1"/>
  <c r="W198" i="37"/>
  <c r="AB198" i="37" s="1"/>
  <c r="X200" i="37"/>
  <c r="AC200" i="37" s="1"/>
  <c r="Y210" i="37"/>
  <c r="AD210" i="37" s="1"/>
  <c r="X212" i="37"/>
  <c r="AC212" i="37" s="1"/>
  <c r="AQ58" i="37"/>
  <c r="AU31" i="37"/>
  <c r="AE87" i="37"/>
  <c r="AE90" i="37"/>
  <c r="W196" i="37"/>
  <c r="AB196" i="37" s="1"/>
  <c r="X198" i="37"/>
  <c r="AC198" i="37" s="1"/>
  <c r="Y208" i="37"/>
  <c r="AD208" i="37" s="1"/>
  <c r="Y188" i="37"/>
  <c r="AD188" i="37" s="1"/>
  <c r="Y190" i="37"/>
  <c r="AD190" i="37" s="1"/>
  <c r="Y192" i="37"/>
  <c r="AD192" i="37" s="1"/>
  <c r="Y194" i="37"/>
  <c r="AD194" i="37" s="1"/>
  <c r="Y196" i="37"/>
  <c r="AD196" i="37" s="1"/>
  <c r="Y198" i="37"/>
  <c r="AD198" i="37" s="1"/>
  <c r="Y200" i="37"/>
  <c r="AD200" i="37" s="1"/>
  <c r="Y202" i="37"/>
  <c r="AD202" i="37" s="1"/>
  <c r="Y204" i="37"/>
  <c r="AD204" i="37" s="1"/>
  <c r="Y212" i="37"/>
  <c r="AD212" i="37" s="1"/>
  <c r="Y214" i="37"/>
  <c r="AD214" i="37" s="1"/>
  <c r="Z188" i="37"/>
  <c r="AE188" i="37" s="1"/>
  <c r="W189" i="37"/>
  <c r="AB189" i="37" s="1"/>
  <c r="Z190" i="37"/>
  <c r="AE190" i="37" s="1"/>
  <c r="W191" i="37"/>
  <c r="AB191" i="37" s="1"/>
  <c r="Z192" i="37"/>
  <c r="AE192" i="37" s="1"/>
  <c r="W193" i="37"/>
  <c r="AB193" i="37" s="1"/>
  <c r="Z194" i="37"/>
  <c r="AE194" i="37" s="1"/>
  <c r="W195" i="37"/>
  <c r="AB195" i="37" s="1"/>
  <c r="Z196" i="37"/>
  <c r="AE196" i="37" s="1"/>
  <c r="W197" i="37"/>
  <c r="AB197" i="37" s="1"/>
  <c r="Z198" i="37"/>
  <c r="AE198" i="37" s="1"/>
  <c r="W199" i="37"/>
  <c r="AB199" i="37" s="1"/>
  <c r="Z200" i="37"/>
  <c r="AE200" i="37" s="1"/>
  <c r="Z202" i="37"/>
  <c r="AE202" i="37" s="1"/>
  <c r="Z204" i="37"/>
  <c r="AE204" i="37" s="1"/>
  <c r="W205" i="37"/>
  <c r="AB205" i="37" s="1"/>
  <c r="Z206" i="37"/>
  <c r="AE206" i="37" s="1"/>
  <c r="W207" i="37"/>
  <c r="AB207" i="37" s="1"/>
  <c r="Z208" i="37"/>
  <c r="AE208" i="37" s="1"/>
  <c r="W209" i="37"/>
  <c r="AB209" i="37" s="1"/>
  <c r="Z210" i="37"/>
  <c r="AE210" i="37" s="1"/>
  <c r="W211" i="37"/>
  <c r="AB211" i="37" s="1"/>
  <c r="Z212" i="37"/>
  <c r="AE212" i="37" s="1"/>
  <c r="W213" i="37"/>
  <c r="AB213" i="37" s="1"/>
  <c r="Z214" i="37"/>
  <c r="AE214" i="37" s="1"/>
  <c r="X189" i="37"/>
  <c r="AC189" i="37" s="1"/>
  <c r="X191" i="37"/>
  <c r="AC191" i="37" s="1"/>
  <c r="X193" i="37"/>
  <c r="AC193" i="37" s="1"/>
  <c r="X195" i="37"/>
  <c r="AC195" i="37" s="1"/>
  <c r="X197" i="37"/>
  <c r="AC197" i="37" s="1"/>
  <c r="X199" i="37"/>
  <c r="AC199" i="37" s="1"/>
  <c r="X201" i="37"/>
  <c r="AC201" i="37" s="1"/>
  <c r="X203" i="37"/>
  <c r="AC203" i="37" s="1"/>
  <c r="X205" i="37"/>
  <c r="AC205" i="37" s="1"/>
  <c r="X207" i="37"/>
  <c r="AC207" i="37" s="1"/>
  <c r="X209" i="37"/>
  <c r="AC209" i="37" s="1"/>
  <c r="X211" i="37"/>
  <c r="AC211" i="37" s="1"/>
  <c r="X213" i="37"/>
  <c r="AC213" i="37" s="1"/>
  <c r="Y189" i="37"/>
  <c r="AD189" i="37" s="1"/>
  <c r="Y191" i="37"/>
  <c r="AD191" i="37" s="1"/>
  <c r="Y193" i="37"/>
  <c r="AD193" i="37" s="1"/>
  <c r="Y195" i="37"/>
  <c r="AD195" i="37" s="1"/>
  <c r="Y197" i="37"/>
  <c r="AD197" i="37" s="1"/>
  <c r="Y199" i="37"/>
  <c r="AD199" i="37" s="1"/>
  <c r="Y201" i="37"/>
  <c r="AD201" i="37" s="1"/>
  <c r="Y203" i="37"/>
  <c r="AD203" i="37" s="1"/>
  <c r="Y205" i="37"/>
  <c r="AD205" i="37" s="1"/>
  <c r="Y207" i="37"/>
  <c r="AD207" i="37" s="1"/>
  <c r="Y209" i="37"/>
  <c r="AD209" i="37" s="1"/>
  <c r="Y211" i="37"/>
  <c r="AD211" i="37" s="1"/>
  <c r="Y213" i="37"/>
  <c r="AD213" i="37" s="1"/>
  <c r="Z189" i="37"/>
  <c r="AE189" i="37" s="1"/>
  <c r="Z191" i="37"/>
  <c r="AE191" i="37" s="1"/>
  <c r="Z193" i="37"/>
  <c r="AE193" i="37" s="1"/>
  <c r="Z195" i="37"/>
  <c r="AE195" i="37" s="1"/>
  <c r="Z197" i="37"/>
  <c r="AE197" i="37" s="1"/>
  <c r="Z199" i="37"/>
  <c r="AE199" i="37" s="1"/>
  <c r="Z201" i="37"/>
  <c r="AE201" i="37" s="1"/>
  <c r="Z203" i="37"/>
  <c r="AE203" i="37" s="1"/>
  <c r="Z205" i="37"/>
  <c r="AE205" i="37" s="1"/>
  <c r="W206" i="37"/>
  <c r="AB206" i="37" s="1"/>
  <c r="Z207" i="37"/>
  <c r="AE207" i="37" s="1"/>
  <c r="W208" i="37"/>
  <c r="AB208" i="37" s="1"/>
  <c r="Z209" i="37"/>
  <c r="AE209" i="37" s="1"/>
  <c r="W210" i="37"/>
  <c r="AB210" i="37" s="1"/>
  <c r="Z211" i="37"/>
  <c r="AE211" i="37" s="1"/>
  <c r="AD32" i="36"/>
  <c r="AD31" i="36"/>
  <c r="AD30" i="36"/>
  <c r="V46" i="36"/>
  <c r="AA215" i="36"/>
  <c r="V214" i="36"/>
  <c r="V213" i="36"/>
  <c r="V212" i="36"/>
  <c r="V211" i="36"/>
  <c r="V210" i="36"/>
  <c r="V209" i="36"/>
  <c r="V208" i="36"/>
  <c r="V207" i="36"/>
  <c r="V206" i="36"/>
  <c r="V205" i="36"/>
  <c r="V204" i="36"/>
  <c r="V203" i="36"/>
  <c r="V202" i="36"/>
  <c r="V201" i="36"/>
  <c r="V200" i="36"/>
  <c r="V199" i="36"/>
  <c r="V198" i="36"/>
  <c r="V197" i="36"/>
  <c r="V196" i="36"/>
  <c r="V195" i="36"/>
  <c r="V194" i="36"/>
  <c r="V193" i="36"/>
  <c r="V192" i="36"/>
  <c r="V191" i="36"/>
  <c r="V190" i="36"/>
  <c r="V189" i="36"/>
  <c r="V188" i="36"/>
  <c r="AO179" i="36"/>
  <c r="AN179" i="36"/>
  <c r="AM179" i="36"/>
  <c r="AL179" i="36"/>
  <c r="AK179" i="36"/>
  <c r="AJ179" i="36"/>
  <c r="AI179" i="36"/>
  <c r="AH179" i="36"/>
  <c r="AG179" i="36"/>
  <c r="AF179" i="36"/>
  <c r="AE179" i="36"/>
  <c r="AD179" i="36"/>
  <c r="AC179" i="36"/>
  <c r="AB179" i="36"/>
  <c r="AA179" i="36"/>
  <c r="Z179" i="36"/>
  <c r="Y179" i="36"/>
  <c r="X179" i="36"/>
  <c r="W179" i="36"/>
  <c r="V179" i="36"/>
  <c r="AO178" i="36"/>
  <c r="AN178" i="36"/>
  <c r="AM178" i="36"/>
  <c r="AL178" i="36"/>
  <c r="AK178" i="36"/>
  <c r="AJ178" i="36"/>
  <c r="AI178" i="36"/>
  <c r="AH178" i="36"/>
  <c r="AG178" i="36"/>
  <c r="AF178" i="36"/>
  <c r="AE178" i="36"/>
  <c r="AD178" i="36"/>
  <c r="AC178" i="36"/>
  <c r="AB178" i="36"/>
  <c r="AA178" i="36"/>
  <c r="Z178" i="36"/>
  <c r="Y178" i="36"/>
  <c r="X178" i="36"/>
  <c r="W178" i="36"/>
  <c r="V178" i="36"/>
  <c r="AO177" i="36"/>
  <c r="AN177" i="36"/>
  <c r="AM177" i="36"/>
  <c r="AL177" i="36"/>
  <c r="AK177" i="36"/>
  <c r="AJ177" i="36"/>
  <c r="AI177" i="36"/>
  <c r="AH177" i="36"/>
  <c r="AG177" i="36"/>
  <c r="AF177" i="36"/>
  <c r="AE177" i="36"/>
  <c r="AD177" i="36"/>
  <c r="AC177" i="36"/>
  <c r="AB177" i="36"/>
  <c r="AA177" i="36"/>
  <c r="Z177" i="36"/>
  <c r="Y177" i="36"/>
  <c r="X177" i="36"/>
  <c r="W177" i="36"/>
  <c r="V177" i="36"/>
  <c r="AO176" i="36"/>
  <c r="AN176" i="36"/>
  <c r="AM176" i="36"/>
  <c r="AL176" i="36"/>
  <c r="AK176" i="36"/>
  <c r="AJ176" i="36"/>
  <c r="AI176" i="36"/>
  <c r="AH176" i="36"/>
  <c r="AG176" i="36"/>
  <c r="AF176" i="36"/>
  <c r="AE176" i="36"/>
  <c r="AD176" i="36"/>
  <c r="AC176" i="36"/>
  <c r="AB176" i="36"/>
  <c r="AA176" i="36"/>
  <c r="Z176" i="36"/>
  <c r="Y176" i="36"/>
  <c r="X176" i="36"/>
  <c r="V176" i="36"/>
  <c r="AO175" i="36"/>
  <c r="AN175" i="36"/>
  <c r="AM175" i="36"/>
  <c r="AL175" i="36"/>
  <c r="AK175" i="36"/>
  <c r="AJ175" i="36"/>
  <c r="AI175" i="36"/>
  <c r="AH175" i="36"/>
  <c r="AG175" i="36"/>
  <c r="AF175" i="36"/>
  <c r="AE175" i="36"/>
  <c r="AD175" i="36"/>
  <c r="AC175" i="36"/>
  <c r="AB175" i="36"/>
  <c r="AA175" i="36"/>
  <c r="Z175" i="36"/>
  <c r="Y175" i="36"/>
  <c r="X175" i="36"/>
  <c r="V175" i="36"/>
  <c r="AO174" i="36"/>
  <c r="AN174" i="36"/>
  <c r="AM174" i="36"/>
  <c r="AL174" i="36"/>
  <c r="AK174" i="36"/>
  <c r="AJ174" i="36"/>
  <c r="AI174" i="36"/>
  <c r="AH174" i="36"/>
  <c r="AG174" i="36"/>
  <c r="AF174" i="36"/>
  <c r="AE174" i="36"/>
  <c r="AD174" i="36"/>
  <c r="AC174" i="36"/>
  <c r="AB174" i="36"/>
  <c r="AA174" i="36"/>
  <c r="Z174" i="36"/>
  <c r="Y174" i="36"/>
  <c r="X174" i="36"/>
  <c r="V174" i="36"/>
  <c r="AO173" i="36"/>
  <c r="AN173" i="36"/>
  <c r="AM173" i="36"/>
  <c r="AL173" i="36"/>
  <c r="AK173" i="36"/>
  <c r="AJ173" i="36"/>
  <c r="AI173" i="36"/>
  <c r="AH173" i="36"/>
  <c r="AG173" i="36"/>
  <c r="AF173" i="36"/>
  <c r="AE173" i="36"/>
  <c r="AD173" i="36"/>
  <c r="AC173" i="36"/>
  <c r="AB173" i="36"/>
  <c r="AA173" i="36"/>
  <c r="Z173" i="36"/>
  <c r="Y173" i="36"/>
  <c r="X173" i="36"/>
  <c r="V173" i="36"/>
  <c r="AO172" i="36"/>
  <c r="AN172" i="36"/>
  <c r="AM172" i="36"/>
  <c r="AL172" i="36"/>
  <c r="AK172" i="36"/>
  <c r="AJ172" i="36"/>
  <c r="AI172" i="36"/>
  <c r="AH172" i="36"/>
  <c r="AG172" i="36"/>
  <c r="AF172" i="36"/>
  <c r="AE172" i="36"/>
  <c r="AD172" i="36"/>
  <c r="AC172" i="36"/>
  <c r="AB172" i="36"/>
  <c r="AA172" i="36"/>
  <c r="Z172" i="36"/>
  <c r="Y172" i="36"/>
  <c r="X172" i="36"/>
  <c r="W172" i="36"/>
  <c r="V172" i="36"/>
  <c r="AO171" i="36"/>
  <c r="AN171" i="36"/>
  <c r="AM171" i="36"/>
  <c r="AL171" i="36"/>
  <c r="AK171" i="36"/>
  <c r="AJ171" i="36"/>
  <c r="AI171" i="36"/>
  <c r="AH171" i="36"/>
  <c r="AG171" i="36"/>
  <c r="AF171" i="36"/>
  <c r="AE171" i="36"/>
  <c r="AD171" i="36"/>
  <c r="AC171" i="36"/>
  <c r="AB171" i="36"/>
  <c r="AA171" i="36"/>
  <c r="Z171" i="36"/>
  <c r="Y171" i="36"/>
  <c r="X171" i="36"/>
  <c r="V171" i="36"/>
  <c r="AO170" i="36"/>
  <c r="AN170" i="36"/>
  <c r="AM170" i="36"/>
  <c r="AL170" i="36"/>
  <c r="AK170" i="36"/>
  <c r="AJ170" i="36"/>
  <c r="AI170" i="36"/>
  <c r="AH170" i="36"/>
  <c r="AG170" i="36"/>
  <c r="AF170" i="36"/>
  <c r="AE170" i="36"/>
  <c r="AD170" i="36"/>
  <c r="AC170" i="36"/>
  <c r="AB170" i="36"/>
  <c r="AA170" i="36"/>
  <c r="Z170" i="36"/>
  <c r="Y170" i="36"/>
  <c r="X170" i="36"/>
  <c r="V170" i="36"/>
  <c r="AO169" i="36"/>
  <c r="AN169" i="36"/>
  <c r="AM169" i="36"/>
  <c r="AL169" i="36"/>
  <c r="AK169" i="36"/>
  <c r="AJ169" i="36"/>
  <c r="AI169" i="36"/>
  <c r="AH169" i="36"/>
  <c r="AG169" i="36"/>
  <c r="AF169" i="36"/>
  <c r="AE169" i="36"/>
  <c r="AD169" i="36"/>
  <c r="AC169" i="36"/>
  <c r="AB169" i="36"/>
  <c r="AA169" i="36"/>
  <c r="Z169" i="36"/>
  <c r="Y169" i="36"/>
  <c r="X169" i="36"/>
  <c r="W169" i="36"/>
  <c r="V169" i="36"/>
  <c r="AO168" i="36"/>
  <c r="AN168" i="36"/>
  <c r="AM168" i="36"/>
  <c r="AL168" i="36"/>
  <c r="AK168" i="36"/>
  <c r="AJ168" i="36"/>
  <c r="AI168" i="36"/>
  <c r="AH168" i="36"/>
  <c r="AG168" i="36"/>
  <c r="AF168" i="36"/>
  <c r="AE168" i="36"/>
  <c r="AD168" i="36"/>
  <c r="AD95" i="36" s="1"/>
  <c r="AC168" i="36"/>
  <c r="AB168" i="36"/>
  <c r="AA168" i="36"/>
  <c r="Z168" i="36"/>
  <c r="Z95" i="36" s="1"/>
  <c r="Y168" i="36"/>
  <c r="Y95" i="36" s="1"/>
  <c r="X168" i="36"/>
  <c r="W168" i="36"/>
  <c r="V168" i="36"/>
  <c r="V95" i="36" s="1"/>
  <c r="AO167" i="36"/>
  <c r="AN167" i="36"/>
  <c r="AM167" i="36"/>
  <c r="AL167" i="36"/>
  <c r="X94" i="36" s="1"/>
  <c r="AK167" i="36"/>
  <c r="AJ167" i="36"/>
  <c r="AI167" i="36"/>
  <c r="AH167" i="36"/>
  <c r="AG167" i="36"/>
  <c r="AF167" i="36"/>
  <c r="AE167" i="36"/>
  <c r="AD167" i="36"/>
  <c r="AD94" i="36" s="1"/>
  <c r="AC167" i="36"/>
  <c r="AC94" i="36" s="1"/>
  <c r="AB167" i="36"/>
  <c r="AB94" i="36" s="1"/>
  <c r="AA167" i="36"/>
  <c r="AA94" i="36" s="1"/>
  <c r="Z167" i="36"/>
  <c r="Z94" i="36" s="1"/>
  <c r="Y167" i="36"/>
  <c r="X167" i="36"/>
  <c r="W167" i="36"/>
  <c r="V167" i="36"/>
  <c r="V94" i="36" s="1"/>
  <c r="AO166" i="36"/>
  <c r="AN166" i="36"/>
  <c r="AM166" i="36"/>
  <c r="AL166" i="36"/>
  <c r="X93" i="36" s="1"/>
  <c r="AK166" i="36"/>
  <c r="AJ166" i="36"/>
  <c r="AI166" i="36"/>
  <c r="AH166" i="36"/>
  <c r="AG166" i="36"/>
  <c r="AF166" i="36"/>
  <c r="AE166" i="36"/>
  <c r="AD166" i="36"/>
  <c r="AD93" i="36" s="1"/>
  <c r="AC166" i="36"/>
  <c r="AC93" i="36" s="1"/>
  <c r="AB166" i="36"/>
  <c r="AB93" i="36" s="1"/>
  <c r="AA166" i="36"/>
  <c r="Z166" i="36"/>
  <c r="Z93" i="36" s="1"/>
  <c r="Y166" i="36"/>
  <c r="Y93" i="36" s="1"/>
  <c r="X166" i="36"/>
  <c r="W166" i="36"/>
  <c r="W93" i="36" s="1"/>
  <c r="V166" i="36"/>
  <c r="V93" i="36" s="1"/>
  <c r="AO165" i="36"/>
  <c r="AN165" i="36"/>
  <c r="AM165" i="36"/>
  <c r="AL165" i="36"/>
  <c r="X92" i="36" s="1"/>
  <c r="AK165" i="36"/>
  <c r="AJ165" i="36"/>
  <c r="AI165" i="36"/>
  <c r="AH165" i="36"/>
  <c r="AG165" i="36"/>
  <c r="AF165" i="36"/>
  <c r="AE165" i="36"/>
  <c r="AD165" i="36"/>
  <c r="AD92" i="36" s="1"/>
  <c r="AC165" i="36"/>
  <c r="AB165" i="36"/>
  <c r="AA165" i="36"/>
  <c r="AA92" i="36" s="1"/>
  <c r="Z165" i="36"/>
  <c r="Z92" i="36" s="1"/>
  <c r="Y165" i="36"/>
  <c r="X165" i="36"/>
  <c r="W165" i="36"/>
  <c r="V165" i="36"/>
  <c r="V92" i="36" s="1"/>
  <c r="AO164" i="36"/>
  <c r="AN164" i="36"/>
  <c r="AM164" i="36"/>
  <c r="AL164" i="36"/>
  <c r="X91" i="36" s="1"/>
  <c r="AK164" i="36"/>
  <c r="AJ164" i="36"/>
  <c r="AI164" i="36"/>
  <c r="AH164" i="36"/>
  <c r="AG164" i="36"/>
  <c r="AF164" i="36"/>
  <c r="AE164" i="36"/>
  <c r="AD164" i="36"/>
  <c r="AD91" i="36" s="1"/>
  <c r="AC164" i="36"/>
  <c r="AC91" i="36" s="1"/>
  <c r="AB164" i="36"/>
  <c r="AB91" i="36" s="1"/>
  <c r="AA164" i="36"/>
  <c r="AA91" i="36" s="1"/>
  <c r="Z164" i="36"/>
  <c r="Z91" i="36" s="1"/>
  <c r="Y164" i="36"/>
  <c r="X164" i="36"/>
  <c r="W164" i="36"/>
  <c r="W91" i="36" s="1"/>
  <c r="V164" i="36"/>
  <c r="V91" i="36" s="1"/>
  <c r="AO163" i="36"/>
  <c r="AN163" i="36"/>
  <c r="AM163" i="36"/>
  <c r="AL163" i="36"/>
  <c r="X90" i="36" s="1"/>
  <c r="AK163" i="36"/>
  <c r="AJ163" i="36"/>
  <c r="AI163" i="36"/>
  <c r="AH163" i="36"/>
  <c r="AG163" i="36"/>
  <c r="AF163" i="36"/>
  <c r="AE163" i="36"/>
  <c r="AD163" i="36"/>
  <c r="AD90" i="36" s="1"/>
  <c r="AC163" i="36"/>
  <c r="AC90" i="36" s="1"/>
  <c r="AB163" i="36"/>
  <c r="AB90" i="36" s="1"/>
  <c r="AA163" i="36"/>
  <c r="Z163" i="36"/>
  <c r="Z90" i="36" s="1"/>
  <c r="Y163" i="36"/>
  <c r="X163" i="36"/>
  <c r="W163" i="36"/>
  <c r="W90" i="36" s="1"/>
  <c r="V163" i="36"/>
  <c r="V90" i="36" s="1"/>
  <c r="AO162" i="36"/>
  <c r="AN162" i="36"/>
  <c r="AM162" i="36"/>
  <c r="AL162" i="36"/>
  <c r="X89" i="36" s="1"/>
  <c r="AK162" i="36"/>
  <c r="AJ162" i="36"/>
  <c r="AI162" i="36"/>
  <c r="AH162" i="36"/>
  <c r="AG162" i="36"/>
  <c r="AF162" i="36"/>
  <c r="AE162" i="36"/>
  <c r="AD162" i="36"/>
  <c r="AD89" i="36" s="1"/>
  <c r="AC162" i="36"/>
  <c r="AB162" i="36"/>
  <c r="AB89" i="36" s="1"/>
  <c r="AA162" i="36"/>
  <c r="AA89" i="36" s="1"/>
  <c r="Z162" i="36"/>
  <c r="Z89" i="36" s="1"/>
  <c r="Y162" i="36"/>
  <c r="Y89" i="36" s="1"/>
  <c r="X162" i="36"/>
  <c r="W162" i="36"/>
  <c r="V162" i="36"/>
  <c r="V89" i="36" s="1"/>
  <c r="AO161" i="36"/>
  <c r="AN161" i="36"/>
  <c r="AM161" i="36"/>
  <c r="AL161" i="36"/>
  <c r="X88" i="36" s="1"/>
  <c r="AK161" i="36"/>
  <c r="AJ161" i="36"/>
  <c r="AI161" i="36"/>
  <c r="AH161" i="36"/>
  <c r="AG161" i="36"/>
  <c r="AF161" i="36"/>
  <c r="AE161" i="36"/>
  <c r="AD161" i="36"/>
  <c r="AD88" i="36" s="1"/>
  <c r="AC161" i="36"/>
  <c r="AC88" i="36" s="1"/>
  <c r="AB161" i="36"/>
  <c r="AB88" i="36" s="1"/>
  <c r="AA161" i="36"/>
  <c r="AA88" i="36" s="1"/>
  <c r="Z161" i="36"/>
  <c r="Z88" i="36" s="1"/>
  <c r="Y161" i="36"/>
  <c r="X161" i="36"/>
  <c r="W161" i="36"/>
  <c r="W88" i="36" s="1"/>
  <c r="V161" i="36"/>
  <c r="V88" i="36" s="1"/>
  <c r="AO160" i="36"/>
  <c r="AN160" i="36"/>
  <c r="AM160" i="36"/>
  <c r="AL160" i="36"/>
  <c r="AK160" i="36"/>
  <c r="AJ160" i="36"/>
  <c r="AI160" i="36"/>
  <c r="AH160" i="36"/>
  <c r="AG160" i="36"/>
  <c r="AF160" i="36"/>
  <c r="AE160" i="36"/>
  <c r="AD160" i="36"/>
  <c r="AD87" i="36" s="1"/>
  <c r="AC160" i="36"/>
  <c r="AC87" i="36" s="1"/>
  <c r="AB160" i="36"/>
  <c r="AB87" i="36" s="1"/>
  <c r="AA160" i="36"/>
  <c r="Z160" i="36"/>
  <c r="Z87" i="36" s="1"/>
  <c r="Y160" i="36"/>
  <c r="Y87" i="36" s="1"/>
  <c r="X160" i="36"/>
  <c r="V160" i="36"/>
  <c r="V87" i="36" s="1"/>
  <c r="AO159" i="36"/>
  <c r="AN159" i="36"/>
  <c r="AM159" i="36"/>
  <c r="AL159" i="36"/>
  <c r="AK159" i="36"/>
  <c r="AJ159" i="36"/>
  <c r="AI159" i="36"/>
  <c r="AH159" i="36"/>
  <c r="AG159" i="36"/>
  <c r="AF159" i="36"/>
  <c r="AE159" i="36"/>
  <c r="AD159" i="36"/>
  <c r="AC159" i="36"/>
  <c r="AB159" i="36"/>
  <c r="AA159" i="36"/>
  <c r="Z159" i="36"/>
  <c r="Y159" i="36"/>
  <c r="X159" i="36"/>
  <c r="W159" i="36"/>
  <c r="V159" i="36"/>
  <c r="AO158" i="36"/>
  <c r="AN158" i="36"/>
  <c r="AM158" i="36"/>
  <c r="AL158" i="36"/>
  <c r="AK158" i="36"/>
  <c r="AJ158" i="36"/>
  <c r="AI158" i="36"/>
  <c r="AH158" i="36"/>
  <c r="AG158" i="36"/>
  <c r="AF158" i="36"/>
  <c r="AE158" i="36"/>
  <c r="AD158" i="36"/>
  <c r="AC158" i="36"/>
  <c r="AB158" i="36"/>
  <c r="AA158" i="36"/>
  <c r="Z158" i="36"/>
  <c r="Y158" i="36"/>
  <c r="X158" i="36"/>
  <c r="W158" i="36"/>
  <c r="V158" i="36"/>
  <c r="AO157" i="36"/>
  <c r="AN157" i="36"/>
  <c r="AM157" i="36"/>
  <c r="AL157" i="36"/>
  <c r="AK157" i="36"/>
  <c r="AJ157" i="36"/>
  <c r="AI157" i="36"/>
  <c r="AH157" i="36"/>
  <c r="AG157" i="36"/>
  <c r="AF157" i="36"/>
  <c r="AE157" i="36"/>
  <c r="AD157" i="36"/>
  <c r="AC157" i="36"/>
  <c r="AB157" i="36"/>
  <c r="AA157" i="36"/>
  <c r="Z157" i="36"/>
  <c r="Y157" i="36"/>
  <c r="X157" i="36"/>
  <c r="W157" i="36"/>
  <c r="V157" i="36"/>
  <c r="AO156" i="36"/>
  <c r="AN156" i="36"/>
  <c r="AM156" i="36"/>
  <c r="AL156" i="36"/>
  <c r="AK156" i="36"/>
  <c r="AJ156" i="36"/>
  <c r="AI156" i="36"/>
  <c r="AH156" i="36"/>
  <c r="AG156" i="36"/>
  <c r="AF156" i="36"/>
  <c r="AE156" i="36"/>
  <c r="AD156" i="36"/>
  <c r="AC156" i="36"/>
  <c r="AB156" i="36"/>
  <c r="AA156" i="36"/>
  <c r="Z156" i="36"/>
  <c r="Y156" i="36"/>
  <c r="X156" i="36"/>
  <c r="W156" i="36"/>
  <c r="V156" i="36"/>
  <c r="AO155" i="36"/>
  <c r="AN155" i="36"/>
  <c r="AM155" i="36"/>
  <c r="AL155" i="36"/>
  <c r="AK155" i="36"/>
  <c r="AJ155" i="36"/>
  <c r="AI155" i="36"/>
  <c r="AH155" i="36"/>
  <c r="AG155" i="36"/>
  <c r="AF155" i="36"/>
  <c r="AE155" i="36"/>
  <c r="AD155" i="36"/>
  <c r="AC155" i="36"/>
  <c r="AB155" i="36"/>
  <c r="AA155" i="36"/>
  <c r="Z155" i="36"/>
  <c r="Y155" i="36"/>
  <c r="X155" i="36"/>
  <c r="W155" i="36"/>
  <c r="V155" i="36"/>
  <c r="AO154" i="36"/>
  <c r="AN154" i="36"/>
  <c r="AM154" i="36"/>
  <c r="AL154" i="36"/>
  <c r="AK154" i="36"/>
  <c r="AJ154" i="36"/>
  <c r="AI154" i="36"/>
  <c r="AH154" i="36"/>
  <c r="AG154" i="36"/>
  <c r="AF154" i="36"/>
  <c r="AE154" i="36"/>
  <c r="AD154" i="36"/>
  <c r="AC154" i="36"/>
  <c r="AB154" i="36"/>
  <c r="AA154" i="36"/>
  <c r="Z154" i="36"/>
  <c r="Y154" i="36"/>
  <c r="X154" i="36"/>
  <c r="W154" i="36"/>
  <c r="V154" i="36"/>
  <c r="AO153" i="36"/>
  <c r="AN153" i="36"/>
  <c r="AM153" i="36"/>
  <c r="AL153" i="36"/>
  <c r="AK153" i="36"/>
  <c r="AJ153" i="36"/>
  <c r="AI153" i="36"/>
  <c r="AH153" i="36"/>
  <c r="AG153" i="36"/>
  <c r="AF153" i="36"/>
  <c r="AE153" i="36"/>
  <c r="AD153" i="36"/>
  <c r="AC153" i="36"/>
  <c r="AB153" i="36"/>
  <c r="AA153" i="36"/>
  <c r="Z153" i="36"/>
  <c r="Y153" i="36"/>
  <c r="X153" i="36"/>
  <c r="W153" i="36"/>
  <c r="V153" i="36"/>
  <c r="AO152" i="36"/>
  <c r="AN152" i="36"/>
  <c r="AM152" i="36"/>
  <c r="AL152" i="36"/>
  <c r="AK152" i="36"/>
  <c r="AJ152" i="36"/>
  <c r="AI152" i="36"/>
  <c r="AH152" i="36"/>
  <c r="AG152" i="36"/>
  <c r="AF152" i="36"/>
  <c r="AE152" i="36"/>
  <c r="AD152" i="36"/>
  <c r="AC152" i="36"/>
  <c r="AB152" i="36"/>
  <c r="AA152" i="36"/>
  <c r="Z152" i="36"/>
  <c r="Y152" i="36"/>
  <c r="X152" i="36"/>
  <c r="W152" i="36"/>
  <c r="V152" i="36"/>
  <c r="AO151" i="36"/>
  <c r="AN151" i="36"/>
  <c r="AM151" i="36"/>
  <c r="AL151" i="36"/>
  <c r="AK151" i="36"/>
  <c r="AJ151" i="36"/>
  <c r="AI151" i="36"/>
  <c r="AH151" i="36"/>
  <c r="AG151" i="36"/>
  <c r="AF151" i="36"/>
  <c r="AE151" i="36"/>
  <c r="AD151" i="36"/>
  <c r="AC151" i="36"/>
  <c r="AB151" i="36"/>
  <c r="AA151" i="36"/>
  <c r="Z151" i="36"/>
  <c r="Y151" i="36"/>
  <c r="X151" i="36"/>
  <c r="W151" i="36"/>
  <c r="V151" i="36"/>
  <c r="AO150" i="36"/>
  <c r="AN150" i="36"/>
  <c r="AM150" i="36"/>
  <c r="AL150" i="36"/>
  <c r="AK150" i="36"/>
  <c r="AJ150" i="36"/>
  <c r="AI150" i="36"/>
  <c r="AH150" i="36"/>
  <c r="AG150" i="36"/>
  <c r="AF150" i="36"/>
  <c r="AE150" i="36"/>
  <c r="AD150" i="36"/>
  <c r="AC150" i="36"/>
  <c r="AB150" i="36"/>
  <c r="AA150" i="36"/>
  <c r="Z150" i="36"/>
  <c r="Y150" i="36"/>
  <c r="X150" i="36"/>
  <c r="W150" i="36"/>
  <c r="V150" i="36"/>
  <c r="AO149" i="36"/>
  <c r="AN149" i="36"/>
  <c r="AM149" i="36"/>
  <c r="AL149" i="36"/>
  <c r="AK149" i="36"/>
  <c r="AJ149" i="36"/>
  <c r="AI149" i="36"/>
  <c r="AH149" i="36"/>
  <c r="AG149" i="36"/>
  <c r="AF149" i="36"/>
  <c r="AE149" i="36"/>
  <c r="AD149" i="36"/>
  <c r="AC149" i="36"/>
  <c r="AB149" i="36"/>
  <c r="AA149" i="36"/>
  <c r="Z149" i="36"/>
  <c r="Y149" i="36"/>
  <c r="X149" i="36"/>
  <c r="V149" i="36"/>
  <c r="AO148" i="36"/>
  <c r="AN148" i="36"/>
  <c r="AM148" i="36"/>
  <c r="AL148" i="36"/>
  <c r="AK148" i="36"/>
  <c r="AJ148" i="36"/>
  <c r="AI148" i="36"/>
  <c r="AH148" i="36"/>
  <c r="AG148" i="36"/>
  <c r="AF148" i="36"/>
  <c r="AE148" i="36"/>
  <c r="AD148" i="36"/>
  <c r="AC148" i="36"/>
  <c r="AB148" i="36"/>
  <c r="AA148" i="36"/>
  <c r="Z148" i="36"/>
  <c r="Y148" i="36"/>
  <c r="X148" i="36"/>
  <c r="V148" i="36"/>
  <c r="AO147" i="36"/>
  <c r="AN147" i="36"/>
  <c r="AM147" i="36"/>
  <c r="AL147" i="36"/>
  <c r="AK147" i="36"/>
  <c r="AJ147" i="36"/>
  <c r="AI147" i="36"/>
  <c r="AH147" i="36"/>
  <c r="AG147" i="36"/>
  <c r="AF147" i="36"/>
  <c r="AE147" i="36"/>
  <c r="AD147" i="36"/>
  <c r="AC147" i="36"/>
  <c r="AB147" i="36"/>
  <c r="AA147" i="36"/>
  <c r="Z147" i="36"/>
  <c r="Y147" i="36"/>
  <c r="X147" i="36"/>
  <c r="V147" i="36"/>
  <c r="AO146" i="36"/>
  <c r="AN146" i="36"/>
  <c r="AM146" i="36"/>
  <c r="AL146" i="36"/>
  <c r="AK146" i="36"/>
  <c r="AJ146" i="36"/>
  <c r="AI146" i="36"/>
  <c r="AH146" i="36"/>
  <c r="AG146" i="36"/>
  <c r="AF146" i="36"/>
  <c r="AE146" i="36"/>
  <c r="AD146" i="36"/>
  <c r="AC146" i="36"/>
  <c r="AB146" i="36"/>
  <c r="AA146" i="36"/>
  <c r="Z146" i="36"/>
  <c r="Y146" i="36"/>
  <c r="X146" i="36"/>
  <c r="V146" i="36"/>
  <c r="AO145" i="36"/>
  <c r="AN145" i="36"/>
  <c r="AM145" i="36"/>
  <c r="AL145" i="36"/>
  <c r="AK145" i="36"/>
  <c r="AJ145" i="36"/>
  <c r="AI145" i="36"/>
  <c r="AH145" i="36"/>
  <c r="AG145" i="36"/>
  <c r="AF145" i="36"/>
  <c r="AE145" i="36"/>
  <c r="AD145" i="36"/>
  <c r="AC145" i="36"/>
  <c r="AB145" i="36"/>
  <c r="AA145" i="36"/>
  <c r="Z145" i="36"/>
  <c r="Y145" i="36"/>
  <c r="X145" i="36"/>
  <c r="W145" i="36"/>
  <c r="V145" i="36"/>
  <c r="AO144" i="36"/>
  <c r="AN144" i="36"/>
  <c r="AM144" i="36"/>
  <c r="AL144" i="36"/>
  <c r="AK144" i="36"/>
  <c r="AJ144" i="36"/>
  <c r="AI144" i="36"/>
  <c r="AH144" i="36"/>
  <c r="AG144" i="36"/>
  <c r="AF144" i="36"/>
  <c r="AE144" i="36"/>
  <c r="AD144" i="36"/>
  <c r="AC144" i="36"/>
  <c r="AB144" i="36"/>
  <c r="AA144" i="36"/>
  <c r="Z144" i="36"/>
  <c r="Y144" i="36"/>
  <c r="X144" i="36"/>
  <c r="W144" i="36"/>
  <c r="V144" i="36"/>
  <c r="AO143" i="36"/>
  <c r="AN143" i="36"/>
  <c r="AM143" i="36"/>
  <c r="AL143" i="36"/>
  <c r="AK143" i="36"/>
  <c r="AJ143" i="36"/>
  <c r="AI143" i="36"/>
  <c r="AH143" i="36"/>
  <c r="AG143" i="36"/>
  <c r="AF143" i="36"/>
  <c r="AE143" i="36"/>
  <c r="AD143" i="36"/>
  <c r="AC143" i="36"/>
  <c r="AB143" i="36"/>
  <c r="AA143" i="36"/>
  <c r="Z143" i="36"/>
  <c r="Y143" i="36"/>
  <c r="X143" i="36"/>
  <c r="W143" i="36"/>
  <c r="V143" i="36"/>
  <c r="Q143" i="36"/>
  <c r="AO142" i="36"/>
  <c r="AN142" i="36"/>
  <c r="AM142" i="36"/>
  <c r="AL142" i="36"/>
  <c r="AK142" i="36"/>
  <c r="AJ142" i="36"/>
  <c r="AI142" i="36"/>
  <c r="AH142" i="36"/>
  <c r="AG142" i="36"/>
  <c r="AF142" i="36"/>
  <c r="AE142" i="36"/>
  <c r="AD142" i="36"/>
  <c r="AC142" i="36"/>
  <c r="AB142" i="36"/>
  <c r="AA142" i="36"/>
  <c r="Z142" i="36"/>
  <c r="Y142" i="36"/>
  <c r="X142" i="36"/>
  <c r="W142" i="36"/>
  <c r="V142" i="36"/>
  <c r="Q142" i="36"/>
  <c r="AO141" i="36"/>
  <c r="AN141" i="36"/>
  <c r="AM141" i="36"/>
  <c r="AL141" i="36"/>
  <c r="AK141" i="36"/>
  <c r="AJ141" i="36"/>
  <c r="AI141" i="36"/>
  <c r="AH141" i="36"/>
  <c r="AG141" i="36"/>
  <c r="AF141" i="36"/>
  <c r="AE141" i="36"/>
  <c r="AD141" i="36"/>
  <c r="AC141" i="36"/>
  <c r="AB141" i="36"/>
  <c r="AA141" i="36"/>
  <c r="Z141" i="36"/>
  <c r="Y141" i="36"/>
  <c r="X141" i="36"/>
  <c r="W141" i="36"/>
  <c r="V141" i="36"/>
  <c r="Q141" i="36"/>
  <c r="AO140" i="36"/>
  <c r="AN140" i="36"/>
  <c r="AM140" i="36"/>
  <c r="AL140" i="36"/>
  <c r="AK140" i="36"/>
  <c r="AJ140" i="36"/>
  <c r="AI140" i="36"/>
  <c r="AH140" i="36"/>
  <c r="AG140" i="36"/>
  <c r="AF140" i="36"/>
  <c r="AE140" i="36"/>
  <c r="AD140" i="36"/>
  <c r="AC140" i="36"/>
  <c r="AB140" i="36"/>
  <c r="AA140" i="36"/>
  <c r="Z140" i="36"/>
  <c r="Y140" i="36"/>
  <c r="X140" i="36"/>
  <c r="W140" i="36"/>
  <c r="V140" i="36"/>
  <c r="Q140" i="36"/>
  <c r="AO139" i="36"/>
  <c r="AN139" i="36"/>
  <c r="AM139" i="36"/>
  <c r="AL139" i="36"/>
  <c r="AK139" i="36"/>
  <c r="AJ139" i="36"/>
  <c r="AI139" i="36"/>
  <c r="AH139" i="36"/>
  <c r="AG139" i="36"/>
  <c r="AF139" i="36"/>
  <c r="AE139" i="36"/>
  <c r="AD139" i="36"/>
  <c r="AC139" i="36"/>
  <c r="AB139" i="36"/>
  <c r="AA139" i="36"/>
  <c r="Z139" i="36"/>
  <c r="Y139" i="36"/>
  <c r="X139" i="36"/>
  <c r="W139" i="36"/>
  <c r="V139" i="36"/>
  <c r="Q139" i="36"/>
  <c r="AO138" i="36"/>
  <c r="AN138" i="36"/>
  <c r="AM138" i="36"/>
  <c r="AL138" i="36"/>
  <c r="AK138" i="36"/>
  <c r="AJ138" i="36"/>
  <c r="AI138" i="36"/>
  <c r="AH138" i="36"/>
  <c r="AG138" i="36"/>
  <c r="AF138" i="36"/>
  <c r="AE138" i="36"/>
  <c r="AD138" i="36"/>
  <c r="AC138" i="36"/>
  <c r="AB138" i="36"/>
  <c r="AA138" i="36"/>
  <c r="Z138" i="36"/>
  <c r="Y138" i="36"/>
  <c r="X138" i="36"/>
  <c r="W138" i="36"/>
  <c r="V138" i="36"/>
  <c r="Q138" i="36"/>
  <c r="AO137" i="36"/>
  <c r="AN137" i="36"/>
  <c r="AM137" i="36"/>
  <c r="AL137" i="36"/>
  <c r="AK137" i="36"/>
  <c r="AJ137" i="36"/>
  <c r="AI137" i="36"/>
  <c r="AH137" i="36"/>
  <c r="AG137" i="36"/>
  <c r="AF137" i="36"/>
  <c r="AE137" i="36"/>
  <c r="AD137" i="36"/>
  <c r="AC137" i="36"/>
  <c r="AB137" i="36"/>
  <c r="AA137" i="36"/>
  <c r="Z137" i="36"/>
  <c r="Y137" i="36"/>
  <c r="X137" i="36"/>
  <c r="W137" i="36"/>
  <c r="V137" i="36"/>
  <c r="Q137" i="36"/>
  <c r="AO136" i="36"/>
  <c r="AN136" i="36"/>
  <c r="AM136" i="36"/>
  <c r="AL136" i="36"/>
  <c r="AK136" i="36"/>
  <c r="AJ136" i="36"/>
  <c r="AI136" i="36"/>
  <c r="AH136" i="36"/>
  <c r="AG136" i="36"/>
  <c r="AF136" i="36"/>
  <c r="AE136" i="36"/>
  <c r="AD136" i="36"/>
  <c r="AC136" i="36"/>
  <c r="AB136" i="36"/>
  <c r="AA136" i="36"/>
  <c r="Z136" i="36"/>
  <c r="Y136" i="36"/>
  <c r="X136" i="36"/>
  <c r="W136" i="36"/>
  <c r="V136" i="36"/>
  <c r="Q136" i="36"/>
  <c r="AO135" i="36"/>
  <c r="AN135" i="36"/>
  <c r="AM135" i="36"/>
  <c r="AL135" i="36"/>
  <c r="AK135" i="36"/>
  <c r="AJ135" i="36"/>
  <c r="AI135" i="36"/>
  <c r="AH135" i="36"/>
  <c r="AG135" i="36"/>
  <c r="AF135" i="36"/>
  <c r="AE135" i="36"/>
  <c r="AD135" i="36"/>
  <c r="AC135" i="36"/>
  <c r="AB135" i="36"/>
  <c r="AA135" i="36"/>
  <c r="Z135" i="36"/>
  <c r="Y135" i="36"/>
  <c r="X135" i="36"/>
  <c r="W135" i="36"/>
  <c r="V135" i="36"/>
  <c r="Q135" i="36"/>
  <c r="AO134" i="36"/>
  <c r="AN134" i="36"/>
  <c r="AM134" i="36"/>
  <c r="AL134" i="36"/>
  <c r="AK134" i="36"/>
  <c r="AJ134" i="36"/>
  <c r="AI134" i="36"/>
  <c r="AH134" i="36"/>
  <c r="AG134" i="36"/>
  <c r="AF134" i="36"/>
  <c r="AE134" i="36"/>
  <c r="AD134" i="36"/>
  <c r="AC134" i="36"/>
  <c r="AB134" i="36"/>
  <c r="AA134" i="36"/>
  <c r="Z134" i="36"/>
  <c r="Y134" i="36"/>
  <c r="X134" i="36"/>
  <c r="W134" i="36"/>
  <c r="V134" i="36"/>
  <c r="Q134" i="36"/>
  <c r="AO133" i="36"/>
  <c r="AN133" i="36"/>
  <c r="AM133" i="36"/>
  <c r="AL133" i="36"/>
  <c r="AK133" i="36"/>
  <c r="AJ133" i="36"/>
  <c r="AI133" i="36"/>
  <c r="AH133" i="36"/>
  <c r="AG133" i="36"/>
  <c r="AF133" i="36"/>
  <c r="AE133" i="36"/>
  <c r="AD133" i="36"/>
  <c r="AC133" i="36"/>
  <c r="AB133" i="36"/>
  <c r="AA133" i="36"/>
  <c r="Z133" i="36"/>
  <c r="Y133" i="36"/>
  <c r="X133" i="36"/>
  <c r="W133" i="36"/>
  <c r="V133" i="36"/>
  <c r="Q133" i="36"/>
  <c r="AO132" i="36"/>
  <c r="AN132" i="36"/>
  <c r="AM132" i="36"/>
  <c r="AL132" i="36"/>
  <c r="AK132" i="36"/>
  <c r="AJ132" i="36"/>
  <c r="AI132" i="36"/>
  <c r="AH132" i="36"/>
  <c r="AG132" i="36"/>
  <c r="AF132" i="36"/>
  <c r="AE132" i="36"/>
  <c r="AD132" i="36"/>
  <c r="AC132" i="36"/>
  <c r="AB132" i="36"/>
  <c r="AA132" i="36"/>
  <c r="Z132" i="36"/>
  <c r="Y132" i="36"/>
  <c r="X132" i="36"/>
  <c r="W132" i="36"/>
  <c r="V132" i="36"/>
  <c r="Q132" i="36"/>
  <c r="AO131" i="36"/>
  <c r="AN131" i="36"/>
  <c r="AM131" i="36"/>
  <c r="AL131" i="36"/>
  <c r="AK131" i="36"/>
  <c r="AJ131" i="36"/>
  <c r="AI131" i="36"/>
  <c r="AH131" i="36"/>
  <c r="AG131" i="36"/>
  <c r="AF131" i="36"/>
  <c r="AE131" i="36"/>
  <c r="AD131" i="36"/>
  <c r="AC131" i="36"/>
  <c r="AB131" i="36"/>
  <c r="AA131" i="36"/>
  <c r="Z131" i="36"/>
  <c r="Y131" i="36"/>
  <c r="X131" i="36"/>
  <c r="W131" i="36"/>
  <c r="V131" i="36"/>
  <c r="Q131" i="36"/>
  <c r="AO130" i="36"/>
  <c r="AN130" i="36"/>
  <c r="AM130" i="36"/>
  <c r="AL130" i="36"/>
  <c r="AK130" i="36"/>
  <c r="AJ130" i="36"/>
  <c r="AI130" i="36"/>
  <c r="AH130" i="36"/>
  <c r="AG130" i="36"/>
  <c r="AF130" i="36"/>
  <c r="AE130" i="36"/>
  <c r="AD130" i="36"/>
  <c r="AC130" i="36"/>
  <c r="AB130" i="36"/>
  <c r="AA130" i="36"/>
  <c r="Z130" i="36"/>
  <c r="Y130" i="36"/>
  <c r="X130" i="36"/>
  <c r="W130" i="36"/>
  <c r="V130" i="36"/>
  <c r="Q130" i="36"/>
  <c r="AO129" i="36"/>
  <c r="AN129" i="36"/>
  <c r="AM129" i="36"/>
  <c r="AL129" i="36"/>
  <c r="AK129" i="36"/>
  <c r="AJ129" i="36"/>
  <c r="AI129" i="36"/>
  <c r="AH129" i="36"/>
  <c r="AG129" i="36"/>
  <c r="AF129" i="36"/>
  <c r="AE129" i="36"/>
  <c r="AD129" i="36"/>
  <c r="AC129" i="36"/>
  <c r="AB129" i="36"/>
  <c r="AA129" i="36"/>
  <c r="Z129" i="36"/>
  <c r="Y129" i="36"/>
  <c r="X129" i="36"/>
  <c r="W129" i="36"/>
  <c r="V129" i="36"/>
  <c r="Q129" i="36"/>
  <c r="AO128" i="36"/>
  <c r="AN128" i="36"/>
  <c r="AM128" i="36"/>
  <c r="AL128" i="36"/>
  <c r="AK128" i="36"/>
  <c r="AJ128" i="36"/>
  <c r="AI128" i="36"/>
  <c r="AH128" i="36"/>
  <c r="AG128" i="36"/>
  <c r="AF128" i="36"/>
  <c r="AE128" i="36"/>
  <c r="AD128" i="36"/>
  <c r="AC128" i="36"/>
  <c r="AB128" i="36"/>
  <c r="AA128" i="36"/>
  <c r="Z128" i="36"/>
  <c r="Y128" i="36"/>
  <c r="X128" i="36"/>
  <c r="V128" i="36"/>
  <c r="Q128" i="36"/>
  <c r="AO127" i="36"/>
  <c r="AN127" i="36"/>
  <c r="AM127" i="36"/>
  <c r="AL127" i="36"/>
  <c r="AK127" i="36"/>
  <c r="AJ127" i="36"/>
  <c r="AI127" i="36"/>
  <c r="AH127" i="36"/>
  <c r="AG127" i="36"/>
  <c r="AF127" i="36"/>
  <c r="AE127" i="36"/>
  <c r="AD127" i="36"/>
  <c r="AC127" i="36"/>
  <c r="AB127" i="36"/>
  <c r="AA127" i="36"/>
  <c r="Z127" i="36"/>
  <c r="Y127" i="36"/>
  <c r="X127" i="36"/>
  <c r="V127" i="36"/>
  <c r="Q127" i="36"/>
  <c r="AO126" i="36"/>
  <c r="AN126" i="36"/>
  <c r="AM126" i="36"/>
  <c r="AL126" i="36"/>
  <c r="AK126" i="36"/>
  <c r="AJ126" i="36"/>
  <c r="AI126" i="36"/>
  <c r="AH126" i="36"/>
  <c r="AG126" i="36"/>
  <c r="AF126" i="36"/>
  <c r="AE126" i="36"/>
  <c r="AD126" i="36"/>
  <c r="AC126" i="36"/>
  <c r="AB126" i="36"/>
  <c r="AA126" i="36"/>
  <c r="Z126" i="36"/>
  <c r="Y126" i="36"/>
  <c r="X126" i="36"/>
  <c r="V126" i="36"/>
  <c r="Q126" i="36"/>
  <c r="AO125" i="36"/>
  <c r="AN125" i="36"/>
  <c r="AM125" i="36"/>
  <c r="AL125" i="36"/>
  <c r="AK125" i="36"/>
  <c r="AJ125" i="36"/>
  <c r="AI125" i="36"/>
  <c r="AH125" i="36"/>
  <c r="AG125" i="36"/>
  <c r="AF125" i="36"/>
  <c r="AE125" i="36"/>
  <c r="AD125" i="36"/>
  <c r="AC125" i="36"/>
  <c r="AB125" i="36"/>
  <c r="AA125" i="36"/>
  <c r="Z125" i="36"/>
  <c r="Y125" i="36"/>
  <c r="X125" i="36"/>
  <c r="V125" i="36"/>
  <c r="Q125" i="36"/>
  <c r="AO124" i="36"/>
  <c r="AN124" i="36"/>
  <c r="AM124" i="36"/>
  <c r="AL124" i="36"/>
  <c r="AK124" i="36"/>
  <c r="AJ124" i="36"/>
  <c r="AI124" i="36"/>
  <c r="AH124" i="36"/>
  <c r="AG124" i="36"/>
  <c r="AF124" i="36"/>
  <c r="AE124" i="36"/>
  <c r="AD124" i="36"/>
  <c r="AC124" i="36"/>
  <c r="AB124" i="36"/>
  <c r="AA124" i="36"/>
  <c r="Z124" i="36"/>
  <c r="Y124" i="36"/>
  <c r="X124" i="36"/>
  <c r="V124" i="36"/>
  <c r="Q124" i="36"/>
  <c r="AO123" i="36"/>
  <c r="AN123" i="36"/>
  <c r="AM123" i="36"/>
  <c r="AL123" i="36"/>
  <c r="AK123" i="36"/>
  <c r="AJ123" i="36"/>
  <c r="AI123" i="36"/>
  <c r="AH123" i="36"/>
  <c r="AG123" i="36"/>
  <c r="AF123" i="36"/>
  <c r="AE123" i="36"/>
  <c r="AD123" i="36"/>
  <c r="AC123" i="36"/>
  <c r="AB123" i="36"/>
  <c r="AA123" i="36"/>
  <c r="Z123" i="36"/>
  <c r="Y123" i="36"/>
  <c r="X123" i="36"/>
  <c r="W123" i="36"/>
  <c r="V123" i="36"/>
  <c r="Q123" i="36"/>
  <c r="AO122" i="36"/>
  <c r="AN122" i="36"/>
  <c r="AM122" i="36"/>
  <c r="AL122" i="36"/>
  <c r="AK122" i="36"/>
  <c r="AJ122" i="36"/>
  <c r="AI122" i="36"/>
  <c r="AH122" i="36"/>
  <c r="AG122" i="36"/>
  <c r="AF122" i="36"/>
  <c r="AE122" i="36"/>
  <c r="AD122" i="36"/>
  <c r="AC122" i="36"/>
  <c r="AB122" i="36"/>
  <c r="AA122" i="36"/>
  <c r="Z122" i="36"/>
  <c r="Y122" i="36"/>
  <c r="X122" i="36"/>
  <c r="V122" i="36"/>
  <c r="Q122" i="36"/>
  <c r="AO121" i="36"/>
  <c r="AN121" i="36"/>
  <c r="AM121" i="36"/>
  <c r="AL121" i="36"/>
  <c r="AK121" i="36"/>
  <c r="AJ121" i="36"/>
  <c r="AI121" i="36"/>
  <c r="AH121" i="36"/>
  <c r="AG121" i="36"/>
  <c r="AF121" i="36"/>
  <c r="AE121" i="36"/>
  <c r="AD121" i="36"/>
  <c r="AC121" i="36"/>
  <c r="AB121" i="36"/>
  <c r="AA121" i="36"/>
  <c r="Z121" i="36"/>
  <c r="Y121" i="36"/>
  <c r="X121" i="36"/>
  <c r="V121" i="36"/>
  <c r="Q121" i="36"/>
  <c r="AO120" i="36"/>
  <c r="AN120" i="36"/>
  <c r="AM120" i="36"/>
  <c r="AL120" i="36"/>
  <c r="AK120" i="36"/>
  <c r="AJ120" i="36"/>
  <c r="AI120" i="36"/>
  <c r="AH120" i="36"/>
  <c r="AG120" i="36"/>
  <c r="AF120" i="36"/>
  <c r="AE120" i="36"/>
  <c r="AD120" i="36"/>
  <c r="AC120" i="36"/>
  <c r="AB120" i="36"/>
  <c r="AA120" i="36"/>
  <c r="Z120" i="36"/>
  <c r="Y120" i="36"/>
  <c r="X120" i="36"/>
  <c r="W120" i="36"/>
  <c r="V120" i="36"/>
  <c r="Q120" i="36"/>
  <c r="AO119" i="36"/>
  <c r="AN119" i="36"/>
  <c r="AM119" i="36"/>
  <c r="AL119" i="36"/>
  <c r="AK119" i="36"/>
  <c r="AJ119" i="36"/>
  <c r="AI119" i="36"/>
  <c r="AH119" i="36"/>
  <c r="AG119" i="36"/>
  <c r="AF119" i="36"/>
  <c r="AE119" i="36"/>
  <c r="AD119" i="36"/>
  <c r="AC119" i="36"/>
  <c r="AB119" i="36"/>
  <c r="AA119" i="36"/>
  <c r="Z119" i="36"/>
  <c r="Y119" i="36"/>
  <c r="X119" i="36"/>
  <c r="V119" i="36"/>
  <c r="Q119" i="36"/>
  <c r="AO118" i="36"/>
  <c r="AN118" i="36"/>
  <c r="AM118" i="36"/>
  <c r="AL118" i="36"/>
  <c r="AK118" i="36"/>
  <c r="AJ118" i="36"/>
  <c r="AI118" i="36"/>
  <c r="AH118" i="36"/>
  <c r="AG118" i="36"/>
  <c r="AF118" i="36"/>
  <c r="AE118" i="36"/>
  <c r="AD118" i="36"/>
  <c r="AC118" i="36"/>
  <c r="AB118" i="36"/>
  <c r="AA118" i="36"/>
  <c r="Z118" i="36"/>
  <c r="Y118" i="36"/>
  <c r="X118" i="36"/>
  <c r="V118" i="36"/>
  <c r="Q118" i="36"/>
  <c r="AO117" i="36"/>
  <c r="AN117" i="36"/>
  <c r="AM117" i="36"/>
  <c r="AL117" i="36"/>
  <c r="AK117" i="36"/>
  <c r="AJ117" i="36"/>
  <c r="AI117" i="36"/>
  <c r="AH117" i="36"/>
  <c r="AG117" i="36"/>
  <c r="AF117" i="36"/>
  <c r="AE117" i="36"/>
  <c r="AD117" i="36"/>
  <c r="AC117" i="36"/>
  <c r="AB117" i="36"/>
  <c r="AA117" i="36"/>
  <c r="Z117" i="36"/>
  <c r="Y117" i="36"/>
  <c r="X117" i="36"/>
  <c r="V117" i="36"/>
  <c r="Q117" i="36"/>
  <c r="AO116" i="36"/>
  <c r="AN116" i="36"/>
  <c r="AM116" i="36"/>
  <c r="AL116" i="36"/>
  <c r="AK116" i="36"/>
  <c r="AJ116" i="36"/>
  <c r="AI116" i="36"/>
  <c r="AH116" i="36"/>
  <c r="AG116" i="36"/>
  <c r="AF116" i="36"/>
  <c r="AE116" i="36"/>
  <c r="AD116" i="36"/>
  <c r="AC116" i="36"/>
  <c r="AB116" i="36"/>
  <c r="AA116" i="36"/>
  <c r="Z116" i="36"/>
  <c r="Y116" i="36"/>
  <c r="X116" i="36"/>
  <c r="V116" i="36"/>
  <c r="AO115" i="36"/>
  <c r="AN115" i="36"/>
  <c r="AM115" i="36"/>
  <c r="AL115" i="36"/>
  <c r="AK115" i="36"/>
  <c r="AJ115" i="36"/>
  <c r="AI115" i="36"/>
  <c r="AH115" i="36"/>
  <c r="AG115" i="36"/>
  <c r="AF115" i="36"/>
  <c r="AE115" i="36"/>
  <c r="AD115" i="36"/>
  <c r="AC115" i="36"/>
  <c r="AB115" i="36"/>
  <c r="AA115" i="36"/>
  <c r="Z115" i="36"/>
  <c r="Y115" i="36"/>
  <c r="X115" i="36"/>
  <c r="W115" i="36"/>
  <c r="V115" i="36"/>
  <c r="AO114" i="36"/>
  <c r="AN114" i="36"/>
  <c r="AM114" i="36"/>
  <c r="AL114" i="36"/>
  <c r="AK114" i="36"/>
  <c r="AJ114" i="36"/>
  <c r="AI114" i="36"/>
  <c r="AH114" i="36"/>
  <c r="AG114" i="36"/>
  <c r="AF114" i="36"/>
  <c r="AE114" i="36"/>
  <c r="AD114" i="36"/>
  <c r="AC114" i="36"/>
  <c r="AB114" i="36"/>
  <c r="AA114" i="36"/>
  <c r="Z114" i="36"/>
  <c r="Y114" i="36"/>
  <c r="X114" i="36"/>
  <c r="W114" i="36"/>
  <c r="V114" i="36"/>
  <c r="AO113" i="36"/>
  <c r="AN113" i="36"/>
  <c r="AM113" i="36"/>
  <c r="AL113" i="36"/>
  <c r="AK113" i="36"/>
  <c r="AJ113" i="36"/>
  <c r="AI113" i="36"/>
  <c r="AH113" i="36"/>
  <c r="AG113" i="36"/>
  <c r="AF113" i="36"/>
  <c r="AE113" i="36"/>
  <c r="AD113" i="36"/>
  <c r="AC113" i="36"/>
  <c r="AB113" i="36"/>
  <c r="AA113" i="36"/>
  <c r="Z113" i="36"/>
  <c r="Y113" i="36"/>
  <c r="X113" i="36"/>
  <c r="W113" i="36"/>
  <c r="V113" i="36"/>
  <c r="AO112" i="36"/>
  <c r="AN112" i="36"/>
  <c r="AM112" i="36"/>
  <c r="AL112" i="36"/>
  <c r="AK112" i="36"/>
  <c r="AJ112" i="36"/>
  <c r="AI112" i="36"/>
  <c r="AH112" i="36"/>
  <c r="AG112" i="36"/>
  <c r="AF112" i="36"/>
  <c r="AE112" i="36"/>
  <c r="AD112" i="36"/>
  <c r="AC112" i="36"/>
  <c r="AB112" i="36"/>
  <c r="AA112" i="36"/>
  <c r="Z112" i="36"/>
  <c r="Y112" i="36"/>
  <c r="X112" i="36"/>
  <c r="V112" i="36"/>
  <c r="AO111" i="36"/>
  <c r="AN111" i="36"/>
  <c r="AM111" i="36"/>
  <c r="AL111" i="36"/>
  <c r="AK111" i="36"/>
  <c r="AJ111" i="36"/>
  <c r="AI111" i="36"/>
  <c r="AH111" i="36"/>
  <c r="AG111" i="36"/>
  <c r="AF111" i="36"/>
  <c r="AE111" i="36"/>
  <c r="AD111" i="36"/>
  <c r="AC111" i="36"/>
  <c r="AB111" i="36"/>
  <c r="AA111" i="36"/>
  <c r="Z111" i="36"/>
  <c r="Y111" i="36"/>
  <c r="X111" i="36"/>
  <c r="V111" i="36"/>
  <c r="AO110" i="36"/>
  <c r="AN110" i="36"/>
  <c r="AM110" i="36"/>
  <c r="AL110" i="36"/>
  <c r="AK110" i="36"/>
  <c r="AJ110" i="36"/>
  <c r="AI110" i="36"/>
  <c r="AH110" i="36"/>
  <c r="AG110" i="36"/>
  <c r="AF110" i="36"/>
  <c r="AE110" i="36"/>
  <c r="AD110" i="36"/>
  <c r="AC110" i="36"/>
  <c r="AB110" i="36"/>
  <c r="AA110" i="36"/>
  <c r="Z110" i="36"/>
  <c r="Y110" i="36"/>
  <c r="X110" i="36"/>
  <c r="V110" i="36"/>
  <c r="AO109" i="36"/>
  <c r="AN109" i="36"/>
  <c r="AM109" i="36"/>
  <c r="AL109" i="36"/>
  <c r="AK109" i="36"/>
  <c r="AJ109" i="36"/>
  <c r="AI109" i="36"/>
  <c r="AH109" i="36"/>
  <c r="AG109" i="36"/>
  <c r="AF109" i="36"/>
  <c r="AE109" i="36"/>
  <c r="AD109" i="36"/>
  <c r="AC109" i="36"/>
  <c r="AB109" i="36"/>
  <c r="AA109" i="36"/>
  <c r="Z109" i="36"/>
  <c r="Y109" i="36"/>
  <c r="X109" i="36"/>
  <c r="V109" i="36"/>
  <c r="AO108" i="36"/>
  <c r="AN108" i="36"/>
  <c r="AM108" i="36"/>
  <c r="AL108" i="36"/>
  <c r="AK108" i="36"/>
  <c r="AJ108" i="36"/>
  <c r="AI108" i="36"/>
  <c r="AH108" i="36"/>
  <c r="AG108" i="36"/>
  <c r="AF108" i="36"/>
  <c r="AE108" i="36"/>
  <c r="AD108" i="36"/>
  <c r="AC108" i="36"/>
  <c r="AB108" i="36"/>
  <c r="AA108" i="36"/>
  <c r="Z108" i="36"/>
  <c r="Y108" i="36"/>
  <c r="X108" i="36"/>
  <c r="V108" i="36"/>
  <c r="AO107" i="36"/>
  <c r="AN107" i="36"/>
  <c r="AM107" i="36"/>
  <c r="AL107" i="36"/>
  <c r="AK107" i="36"/>
  <c r="AJ107" i="36"/>
  <c r="AI107" i="36"/>
  <c r="AH107" i="36"/>
  <c r="AG107" i="36"/>
  <c r="AF107" i="36"/>
  <c r="AE107" i="36"/>
  <c r="AD107" i="36"/>
  <c r="AC107" i="36"/>
  <c r="AB107" i="36"/>
  <c r="AA107" i="36"/>
  <c r="Z107" i="36"/>
  <c r="Y107" i="36"/>
  <c r="X107" i="36"/>
  <c r="V107" i="36"/>
  <c r="AO106" i="36"/>
  <c r="AN106" i="36"/>
  <c r="AM106" i="36"/>
  <c r="AL106" i="36"/>
  <c r="AK106" i="36"/>
  <c r="AJ106" i="36"/>
  <c r="AI106" i="36"/>
  <c r="AH106" i="36"/>
  <c r="AG106" i="36"/>
  <c r="AF106" i="36"/>
  <c r="AE106" i="36"/>
  <c r="AD106" i="36"/>
  <c r="AC106" i="36"/>
  <c r="AB106" i="36"/>
  <c r="AA106" i="36"/>
  <c r="Z106" i="36"/>
  <c r="Y106" i="36"/>
  <c r="X106" i="36"/>
  <c r="V106" i="36"/>
  <c r="AO105" i="36"/>
  <c r="AN105" i="36"/>
  <c r="AM105" i="36"/>
  <c r="AL105" i="36"/>
  <c r="AK105" i="36"/>
  <c r="AJ105" i="36"/>
  <c r="AI105" i="36"/>
  <c r="AH105" i="36"/>
  <c r="AG105" i="36"/>
  <c r="AF105" i="36"/>
  <c r="AE105" i="36"/>
  <c r="AD105" i="36"/>
  <c r="AC105" i="36"/>
  <c r="AB105" i="36"/>
  <c r="AA105" i="36"/>
  <c r="Z105" i="36"/>
  <c r="Y105" i="36"/>
  <c r="X105" i="36"/>
  <c r="V105" i="36"/>
  <c r="AO104" i="36"/>
  <c r="AN104" i="36"/>
  <c r="AM104" i="36"/>
  <c r="AL104" i="36"/>
  <c r="AK104" i="36"/>
  <c r="AJ104" i="36"/>
  <c r="AI104" i="36"/>
  <c r="AH104" i="36"/>
  <c r="AG104" i="36"/>
  <c r="AF104" i="36"/>
  <c r="AE104" i="36"/>
  <c r="AD104" i="36"/>
  <c r="AC104" i="36"/>
  <c r="AB104" i="36"/>
  <c r="AA104" i="36"/>
  <c r="Z104" i="36"/>
  <c r="Y104" i="36"/>
  <c r="X104" i="36"/>
  <c r="W104" i="36"/>
  <c r="V104" i="36"/>
  <c r="AO103" i="36"/>
  <c r="AN103" i="36"/>
  <c r="AM103" i="36"/>
  <c r="AL103" i="36"/>
  <c r="AK103" i="36"/>
  <c r="AJ103" i="36"/>
  <c r="AI103" i="36"/>
  <c r="AH103" i="36"/>
  <c r="AG103" i="36"/>
  <c r="AF103" i="36"/>
  <c r="AE103" i="36"/>
  <c r="AD103" i="36"/>
  <c r="AC103" i="36"/>
  <c r="AB103" i="36"/>
  <c r="AA103" i="36"/>
  <c r="Z103" i="36"/>
  <c r="Y103" i="36"/>
  <c r="X103" i="36"/>
  <c r="V103" i="36"/>
  <c r="AO102" i="36"/>
  <c r="AN102" i="36"/>
  <c r="AM102" i="36"/>
  <c r="AL102" i="36"/>
  <c r="AK102" i="36"/>
  <c r="AJ102" i="36"/>
  <c r="AI102" i="36"/>
  <c r="AH102" i="36"/>
  <c r="AG102" i="36"/>
  <c r="AF102" i="36"/>
  <c r="AE102" i="36"/>
  <c r="AD102" i="36"/>
  <c r="AC102" i="36"/>
  <c r="AB102" i="36"/>
  <c r="AA102" i="36"/>
  <c r="Z102" i="36"/>
  <c r="Y102" i="36"/>
  <c r="X102" i="36"/>
  <c r="W102" i="36"/>
  <c r="V102" i="36"/>
  <c r="AO101" i="36"/>
  <c r="AN101" i="36"/>
  <c r="AM101" i="36"/>
  <c r="AL101" i="36"/>
  <c r="AK101" i="36"/>
  <c r="AJ101" i="36"/>
  <c r="AI101" i="36"/>
  <c r="AH101" i="36"/>
  <c r="AG101" i="36"/>
  <c r="AF101" i="36"/>
  <c r="AE101" i="36"/>
  <c r="AD101" i="36"/>
  <c r="AC101" i="36"/>
  <c r="AB101" i="36"/>
  <c r="AA101" i="36"/>
  <c r="Z101" i="36"/>
  <c r="Y101" i="36"/>
  <c r="X101" i="36"/>
  <c r="V101" i="36"/>
  <c r="AO100" i="36"/>
  <c r="AN100" i="36"/>
  <c r="AM100" i="36"/>
  <c r="AL100" i="36"/>
  <c r="AK100" i="36"/>
  <c r="AJ100" i="36"/>
  <c r="AI100" i="36"/>
  <c r="AH100" i="36"/>
  <c r="AG100" i="36"/>
  <c r="AF100" i="36"/>
  <c r="AE100" i="36"/>
  <c r="AD100" i="36"/>
  <c r="AC100" i="36"/>
  <c r="AB100" i="36"/>
  <c r="AA100" i="36"/>
  <c r="Z100" i="36"/>
  <c r="Y100" i="36"/>
  <c r="X100" i="36"/>
  <c r="V100" i="36"/>
  <c r="AC95" i="36"/>
  <c r="AB95" i="36"/>
  <c r="AA95" i="36"/>
  <c r="X95" i="36"/>
  <c r="W95" i="36"/>
  <c r="Y94" i="36"/>
  <c r="W94" i="36"/>
  <c r="AA93" i="36"/>
  <c r="AC92" i="36"/>
  <c r="AB92" i="36"/>
  <c r="Y92" i="36"/>
  <c r="W92" i="36"/>
  <c r="Y91" i="36"/>
  <c r="AA90" i="36"/>
  <c r="Y90" i="36"/>
  <c r="AC89" i="36"/>
  <c r="W89" i="36"/>
  <c r="Y88" i="36"/>
  <c r="AA87" i="36"/>
  <c r="X87" i="36"/>
  <c r="Z82" i="36"/>
  <c r="Y82" i="36"/>
  <c r="X82" i="36"/>
  <c r="W82" i="36"/>
  <c r="V82" i="36"/>
  <c r="Z81" i="36"/>
  <c r="Y81" i="36"/>
  <c r="X81" i="36"/>
  <c r="W81" i="36"/>
  <c r="V81" i="36"/>
  <c r="Z80" i="36"/>
  <c r="Y80" i="36"/>
  <c r="X80" i="36"/>
  <c r="W80" i="36"/>
  <c r="V80" i="36"/>
  <c r="Z79" i="36"/>
  <c r="Y79" i="36"/>
  <c r="X79" i="36"/>
  <c r="W79" i="36"/>
  <c r="V79" i="36"/>
  <c r="Z78" i="36"/>
  <c r="Y78" i="36"/>
  <c r="X78" i="36"/>
  <c r="W78" i="36"/>
  <c r="V78" i="36"/>
  <c r="Z77" i="36"/>
  <c r="Y77" i="36"/>
  <c r="X77" i="36"/>
  <c r="W77" i="36"/>
  <c r="V77" i="36"/>
  <c r="Z76" i="36"/>
  <c r="Y76" i="36"/>
  <c r="X76" i="36"/>
  <c r="W76" i="36"/>
  <c r="V76" i="36"/>
  <c r="Z75" i="36"/>
  <c r="Y75" i="36"/>
  <c r="X75" i="36"/>
  <c r="V75" i="36"/>
  <c r="Z74" i="36"/>
  <c r="Y74" i="36"/>
  <c r="X74" i="36"/>
  <c r="W74" i="36"/>
  <c r="V74" i="36"/>
  <c r="Z73" i="36"/>
  <c r="Y73" i="36"/>
  <c r="X73" i="36"/>
  <c r="W73" i="36"/>
  <c r="V73" i="36"/>
  <c r="Z68" i="36"/>
  <c r="Y68" i="36"/>
  <c r="X68" i="36"/>
  <c r="W68" i="36"/>
  <c r="V68" i="36"/>
  <c r="Z67" i="36"/>
  <c r="Y67" i="36"/>
  <c r="X67" i="36"/>
  <c r="W67" i="36"/>
  <c r="V67" i="36"/>
  <c r="Z66" i="36"/>
  <c r="Y66" i="36"/>
  <c r="X66" i="36"/>
  <c r="V66" i="36"/>
  <c r="Z65" i="36"/>
  <c r="Y65" i="36"/>
  <c r="X65" i="36"/>
  <c r="W65" i="36"/>
  <c r="V65" i="36"/>
  <c r="Z64" i="36"/>
  <c r="Y64" i="36"/>
  <c r="X64" i="36"/>
  <c r="W64" i="36"/>
  <c r="V64" i="36"/>
  <c r="Z63" i="36"/>
  <c r="Y63" i="36"/>
  <c r="X63" i="36"/>
  <c r="W63" i="36"/>
  <c r="V63" i="36"/>
  <c r="Z62" i="36"/>
  <c r="Y62" i="36"/>
  <c r="X62" i="36"/>
  <c r="W62" i="36"/>
  <c r="V62" i="36"/>
  <c r="Z61" i="36"/>
  <c r="Y61" i="36"/>
  <c r="X61" i="36"/>
  <c r="W61" i="36"/>
  <c r="V61" i="36"/>
  <c r="Z60" i="36"/>
  <c r="Y60" i="36"/>
  <c r="X60" i="36"/>
  <c r="W60" i="36"/>
  <c r="V60" i="36"/>
  <c r="Z59" i="36"/>
  <c r="Y59" i="36"/>
  <c r="X59" i="36"/>
  <c r="W59" i="36"/>
  <c r="V59" i="36"/>
  <c r="Z58" i="36"/>
  <c r="Y58" i="36"/>
  <c r="X58" i="36"/>
  <c r="W58" i="36"/>
  <c r="V58" i="36"/>
  <c r="Z57" i="36"/>
  <c r="Y57" i="36"/>
  <c r="X57" i="36"/>
  <c r="W57" i="36"/>
  <c r="V57" i="36"/>
  <c r="Z56" i="36"/>
  <c r="Y56" i="36"/>
  <c r="X56" i="36"/>
  <c r="W56" i="36"/>
  <c r="V56" i="36"/>
  <c r="AC47" i="36"/>
  <c r="AE46" i="36" s="1"/>
  <c r="J38" i="36" s="1"/>
  <c r="AC46" i="36"/>
  <c r="AE45" i="36"/>
  <c r="AC45" i="36"/>
  <c r="B45" i="36"/>
  <c r="AP44" i="36"/>
  <c r="B94" i="36" s="1"/>
  <c r="AP43" i="36"/>
  <c r="B91" i="36" s="1"/>
  <c r="AP42" i="36"/>
  <c r="B88" i="36" s="1"/>
  <c r="X42" i="36"/>
  <c r="AP41" i="36"/>
  <c r="B85" i="36" s="1"/>
  <c r="X41" i="36"/>
  <c r="AP40" i="36"/>
  <c r="B82" i="36" s="1"/>
  <c r="X40" i="36"/>
  <c r="X39" i="36"/>
  <c r="X38" i="36"/>
  <c r="B38" i="36"/>
  <c r="AK37" i="36"/>
  <c r="AU59" i="36" s="1"/>
  <c r="X37" i="36"/>
  <c r="AL36" i="36"/>
  <c r="AK36" i="36"/>
  <c r="AU58" i="36" s="1"/>
  <c r="X36" i="36"/>
  <c r="AL35" i="36"/>
  <c r="AK35" i="36"/>
  <c r="AU57" i="36" s="1"/>
  <c r="X35" i="36"/>
  <c r="Q35" i="36"/>
  <c r="P35" i="36"/>
  <c r="O35" i="36" s="1"/>
  <c r="E18" i="36" s="1"/>
  <c r="AL34" i="36"/>
  <c r="AK34" i="36"/>
  <c r="AU56" i="36" s="1"/>
  <c r="X34" i="36"/>
  <c r="AL33" i="36"/>
  <c r="AK33" i="36"/>
  <c r="AU55" i="36" s="1"/>
  <c r="X33" i="36"/>
  <c r="AL32" i="36"/>
  <c r="AK32" i="36"/>
  <c r="AU54" i="36" s="1"/>
  <c r="X32" i="36"/>
  <c r="AL31" i="36"/>
  <c r="AK31" i="36"/>
  <c r="AU53" i="36" s="1"/>
  <c r="AG31" i="36"/>
  <c r="X31" i="36"/>
  <c r="AL30" i="36"/>
  <c r="AK30" i="36"/>
  <c r="AU52" i="36" s="1"/>
  <c r="X30" i="36"/>
  <c r="B30" i="36"/>
  <c r="AQ27" i="36" s="1"/>
  <c r="AL29" i="36"/>
  <c r="AK29" i="36"/>
  <c r="AU51" i="36" s="1"/>
  <c r="X29" i="36"/>
  <c r="X28" i="36"/>
  <c r="B27" i="36"/>
  <c r="P25" i="36"/>
  <c r="P24" i="36" s="1"/>
  <c r="G24" i="36"/>
  <c r="E24" i="36"/>
  <c r="C24" i="36"/>
  <c r="AB23" i="36"/>
  <c r="AA23" i="36"/>
  <c r="Z23" i="36"/>
  <c r="Y23" i="36"/>
  <c r="I23" i="36"/>
  <c r="G23" i="36"/>
  <c r="E23" i="36"/>
  <c r="C23" i="36"/>
  <c r="AB22" i="36"/>
  <c r="AA22" i="36"/>
  <c r="AC22" i="36" s="1"/>
  <c r="Z22" i="36"/>
  <c r="Y22" i="36"/>
  <c r="I22" i="36"/>
  <c r="G22" i="36"/>
  <c r="E22" i="36"/>
  <c r="C22" i="36"/>
  <c r="I21" i="36"/>
  <c r="G21" i="36"/>
  <c r="E21" i="36"/>
  <c r="C21" i="36"/>
  <c r="AQ20" i="36"/>
  <c r="B72" i="36" s="1"/>
  <c r="AQ36" i="36" s="1"/>
  <c r="AI20" i="36"/>
  <c r="AJ18" i="36" s="1"/>
  <c r="AK18" i="36" s="1"/>
  <c r="AV26" i="36" s="1"/>
  <c r="I20" i="36"/>
  <c r="AQ19" i="36"/>
  <c r="B69" i="36" s="1"/>
  <c r="AQ35" i="36" s="1"/>
  <c r="AI19" i="36"/>
  <c r="AQ18" i="36"/>
  <c r="B66" i="36" s="1"/>
  <c r="AQ34" i="36" s="1"/>
  <c r="AI18" i="36"/>
  <c r="I18" i="36"/>
  <c r="AI17" i="36"/>
  <c r="AI16" i="36"/>
  <c r="AI15" i="36"/>
  <c r="AQ14" i="36"/>
  <c r="B63" i="36" s="1"/>
  <c r="AQ33" i="36" s="1"/>
  <c r="AI14" i="36"/>
  <c r="I14" i="36"/>
  <c r="AQ13" i="36"/>
  <c r="AI13" i="36"/>
  <c r="AJ12" i="36" s="1"/>
  <c r="AK12" i="36" s="1"/>
  <c r="AT26" i="36" s="1"/>
  <c r="AQ12" i="36"/>
  <c r="B57" i="36" s="1"/>
  <c r="AQ31" i="36" s="1"/>
  <c r="AI12" i="36"/>
  <c r="AI11" i="36"/>
  <c r="AB11" i="36"/>
  <c r="AA11" i="36"/>
  <c r="Z11" i="36"/>
  <c r="AC11" i="36" s="1"/>
  <c r="Y11" i="36"/>
  <c r="AI10" i="36"/>
  <c r="AB10" i="36"/>
  <c r="AA10" i="36"/>
  <c r="Z10" i="36"/>
  <c r="Y10" i="36"/>
  <c r="AI9" i="36"/>
  <c r="AJ9" i="36" s="1"/>
  <c r="AB9" i="36"/>
  <c r="AA9" i="36"/>
  <c r="Z9" i="36"/>
  <c r="AC9" i="36" s="1"/>
  <c r="Y9" i="36"/>
  <c r="AQ8" i="36"/>
  <c r="B54" i="36" s="1"/>
  <c r="AQ30" i="36" s="1"/>
  <c r="AB8" i="36"/>
  <c r="AA8" i="36"/>
  <c r="Z8" i="36"/>
  <c r="AC8" i="36" s="1"/>
  <c r="Y8" i="36"/>
  <c r="AQ7" i="36"/>
  <c r="B51" i="36" s="1"/>
  <c r="AQ29" i="36" s="1"/>
  <c r="AQ6" i="36"/>
  <c r="B48" i="36" s="1"/>
  <c r="AQ28" i="36" s="1"/>
  <c r="AD32" i="35"/>
  <c r="AD31" i="35"/>
  <c r="AD30" i="35"/>
  <c r="AE88" i="36" l="1"/>
  <c r="V49" i="36"/>
  <c r="AE89" i="36"/>
  <c r="AE93" i="36"/>
  <c r="Z214" i="36"/>
  <c r="AE214" i="36" s="1"/>
  <c r="Z192" i="36"/>
  <c r="AE192" i="36" s="1"/>
  <c r="W198" i="36"/>
  <c r="AB198" i="36" s="1"/>
  <c r="Z210" i="36"/>
  <c r="AE210" i="36" s="1"/>
  <c r="Z196" i="36"/>
  <c r="AE196" i="36" s="1"/>
  <c r="AE95" i="36"/>
  <c r="N111" i="40"/>
  <c r="AD215" i="40"/>
  <c r="AV6" i="40"/>
  <c r="AV7" i="40"/>
  <c r="AV8" i="40"/>
  <c r="AT31" i="40"/>
  <c r="D39" i="40"/>
  <c r="E39" i="40"/>
  <c r="E27" i="40"/>
  <c r="D27" i="40"/>
  <c r="J28" i="40"/>
  <c r="AC215" i="40"/>
  <c r="AV31" i="40"/>
  <c r="AS34" i="40"/>
  <c r="O96" i="40"/>
  <c r="AS5" i="40"/>
  <c r="AU31" i="40"/>
  <c r="AU34" i="40"/>
  <c r="E46" i="40"/>
  <c r="D46" i="40"/>
  <c r="E45" i="40"/>
  <c r="AE215" i="40"/>
  <c r="AV34" i="40"/>
  <c r="V48" i="39"/>
  <c r="V51" i="39" s="1"/>
  <c r="J27" i="39" s="1"/>
  <c r="E46" i="39"/>
  <c r="D46" i="39"/>
  <c r="E45" i="39"/>
  <c r="D39" i="39"/>
  <c r="E39" i="39"/>
  <c r="AE215" i="39"/>
  <c r="AS34" i="39"/>
  <c r="AS31" i="39"/>
  <c r="O96" i="39"/>
  <c r="AS5" i="39"/>
  <c r="AV6" i="39"/>
  <c r="AV7" i="39"/>
  <c r="AV8" i="39"/>
  <c r="AD215" i="39"/>
  <c r="AC215" i="39"/>
  <c r="N111" i="39"/>
  <c r="AT34" i="39"/>
  <c r="Q96" i="39"/>
  <c r="AU5" i="39"/>
  <c r="AT5" i="38"/>
  <c r="AV7" i="38" s="1"/>
  <c r="N111" i="38"/>
  <c r="E27" i="38"/>
  <c r="J28" i="38"/>
  <c r="D27" i="38"/>
  <c r="AU31" i="38"/>
  <c r="AS31" i="38"/>
  <c r="AV31" i="38"/>
  <c r="AT31" i="38"/>
  <c r="AC215" i="38"/>
  <c r="D38" i="38"/>
  <c r="J39" i="38"/>
  <c r="E38" i="38"/>
  <c r="AE215" i="38"/>
  <c r="AT34" i="38"/>
  <c r="AS34" i="38"/>
  <c r="AU34" i="38"/>
  <c r="AV34" i="38"/>
  <c r="E46" i="38"/>
  <c r="D46" i="38"/>
  <c r="E45" i="38"/>
  <c r="AV6" i="38"/>
  <c r="AD215" i="38"/>
  <c r="O96" i="38"/>
  <c r="AS5" i="38"/>
  <c r="AT5" i="37"/>
  <c r="AV6" i="37" s="1"/>
  <c r="AV7" i="37"/>
  <c r="O96" i="37"/>
  <c r="AS5" i="37"/>
  <c r="J28" i="37"/>
  <c r="E27" i="37"/>
  <c r="D27" i="37"/>
  <c r="AD215" i="37"/>
  <c r="AE215" i="37"/>
  <c r="E46" i="37"/>
  <c r="D46" i="37"/>
  <c r="E45" i="37"/>
  <c r="AC215" i="37"/>
  <c r="Q96" i="37"/>
  <c r="AU5" i="37"/>
  <c r="Z202" i="36"/>
  <c r="AE202" i="36" s="1"/>
  <c r="Z208" i="36"/>
  <c r="AE208" i="36" s="1"/>
  <c r="AC10" i="36"/>
  <c r="AE91" i="36"/>
  <c r="Z191" i="36"/>
  <c r="AE191" i="36" s="1"/>
  <c r="Z197" i="36"/>
  <c r="AE197" i="36" s="1"/>
  <c r="Z203" i="36"/>
  <c r="AE203" i="36" s="1"/>
  <c r="Z209" i="36"/>
  <c r="AE209" i="36" s="1"/>
  <c r="AC23" i="36"/>
  <c r="AD22" i="36" s="1"/>
  <c r="AB39" i="36" s="1"/>
  <c r="AC32" i="36" s="1"/>
  <c r="Q96" i="36" s="1"/>
  <c r="AE92" i="36"/>
  <c r="Z46" i="36" s="1"/>
  <c r="W214" i="36"/>
  <c r="AB214" i="36" s="1"/>
  <c r="Z193" i="36"/>
  <c r="AE193" i="36" s="1"/>
  <c r="Z199" i="36"/>
  <c r="AE199" i="36" s="1"/>
  <c r="Z205" i="36"/>
  <c r="AE205" i="36" s="1"/>
  <c r="Z211" i="36"/>
  <c r="AE211" i="36" s="1"/>
  <c r="AE90" i="36"/>
  <c r="Z204" i="36"/>
  <c r="AE204" i="36" s="1"/>
  <c r="AE94" i="36"/>
  <c r="Z188" i="36"/>
  <c r="AE188" i="36" s="1"/>
  <c r="Z200" i="36"/>
  <c r="AE200" i="36" s="1"/>
  <c r="Z206" i="36"/>
  <c r="AE206" i="36" s="1"/>
  <c r="Z212" i="36"/>
  <c r="AE212" i="36" s="1"/>
  <c r="Z189" i="36"/>
  <c r="AE189" i="36" s="1"/>
  <c r="Z195" i="36"/>
  <c r="AE195" i="36" s="1"/>
  <c r="Z201" i="36"/>
  <c r="AE201" i="36" s="1"/>
  <c r="Z207" i="36"/>
  <c r="AE207" i="36" s="1"/>
  <c r="Z213" i="36"/>
  <c r="AE213" i="36" s="1"/>
  <c r="AD8" i="36"/>
  <c r="AB36" i="36" s="1"/>
  <c r="AJ15" i="36"/>
  <c r="AK15" i="36" s="1"/>
  <c r="AU26" i="36" s="1"/>
  <c r="P111" i="36" s="1"/>
  <c r="G20" i="36"/>
  <c r="V47" i="36"/>
  <c r="V48" i="36" s="1"/>
  <c r="V51" i="36" s="1"/>
  <c r="J27" i="36" s="1"/>
  <c r="E38" i="36"/>
  <c r="J39" i="36"/>
  <c r="D38" i="36"/>
  <c r="Q111" i="36"/>
  <c r="AV34" i="36"/>
  <c r="AU34" i="36"/>
  <c r="AT34" i="36"/>
  <c r="AS34" i="36"/>
  <c r="AV31" i="36"/>
  <c r="AC31" i="36"/>
  <c r="O111" i="36"/>
  <c r="AL12" i="36"/>
  <c r="AL9" i="36"/>
  <c r="AK9" i="36" s="1"/>
  <c r="AS26" i="36" s="1"/>
  <c r="AC30" i="36"/>
  <c r="AL15" i="36"/>
  <c r="AL18" i="36"/>
  <c r="AS31" i="36"/>
  <c r="I24" i="36"/>
  <c r="AT31" i="36"/>
  <c r="B60" i="36"/>
  <c r="AQ32" i="36" s="1"/>
  <c r="AE87" i="36"/>
  <c r="AU31" i="36"/>
  <c r="AQ58" i="36"/>
  <c r="Y189" i="36"/>
  <c r="AD189" i="36" s="1"/>
  <c r="X190" i="36"/>
  <c r="AC190" i="36" s="1"/>
  <c r="W191" i="36"/>
  <c r="AB191" i="36" s="1"/>
  <c r="Y193" i="36"/>
  <c r="AD193" i="36" s="1"/>
  <c r="X194" i="36"/>
  <c r="AC194" i="36" s="1"/>
  <c r="Y197" i="36"/>
  <c r="AD197" i="36" s="1"/>
  <c r="X198" i="36"/>
  <c r="AC198" i="36" s="1"/>
  <c r="Y201" i="36"/>
  <c r="AD201" i="36" s="1"/>
  <c r="X202" i="36"/>
  <c r="AC202" i="36" s="1"/>
  <c r="Y205" i="36"/>
  <c r="AD205" i="36" s="1"/>
  <c r="X206" i="36"/>
  <c r="AC206" i="36" s="1"/>
  <c r="Y209" i="36"/>
  <c r="AD209" i="36" s="1"/>
  <c r="X210" i="36"/>
  <c r="AC210" i="36" s="1"/>
  <c r="W211" i="36"/>
  <c r="AB211" i="36" s="1"/>
  <c r="Y213" i="36"/>
  <c r="AD213" i="36" s="1"/>
  <c r="X214" i="36"/>
  <c r="AC214" i="36" s="1"/>
  <c r="Y190" i="36"/>
  <c r="AD190" i="36" s="1"/>
  <c r="X191" i="36"/>
  <c r="AC191" i="36" s="1"/>
  <c r="Y194" i="36"/>
  <c r="AD194" i="36" s="1"/>
  <c r="X195" i="36"/>
  <c r="AC195" i="36" s="1"/>
  <c r="Y198" i="36"/>
  <c r="AD198" i="36" s="1"/>
  <c r="X199" i="36"/>
  <c r="AC199" i="36" s="1"/>
  <c r="Y202" i="36"/>
  <c r="AD202" i="36" s="1"/>
  <c r="X203" i="36"/>
  <c r="AC203" i="36" s="1"/>
  <c r="Y206" i="36"/>
  <c r="AD206" i="36" s="1"/>
  <c r="X207" i="36"/>
  <c r="AC207" i="36" s="1"/>
  <c r="Y210" i="36"/>
  <c r="AD210" i="36" s="1"/>
  <c r="X211" i="36"/>
  <c r="AC211" i="36" s="1"/>
  <c r="W212" i="36"/>
  <c r="AB212" i="36" s="1"/>
  <c r="Y214" i="36"/>
  <c r="AD214" i="36" s="1"/>
  <c r="X188" i="36"/>
  <c r="AC188" i="36" s="1"/>
  <c r="Z190" i="36"/>
  <c r="AE190" i="36" s="1"/>
  <c r="Y191" i="36"/>
  <c r="AD191" i="36" s="1"/>
  <c r="X192" i="36"/>
  <c r="AC192" i="36" s="1"/>
  <c r="Z194" i="36"/>
  <c r="AE194" i="36" s="1"/>
  <c r="Y195" i="36"/>
  <c r="AD195" i="36" s="1"/>
  <c r="X196" i="36"/>
  <c r="AC196" i="36" s="1"/>
  <c r="Z198" i="36"/>
  <c r="AE198" i="36" s="1"/>
  <c r="Y199" i="36"/>
  <c r="AD199" i="36" s="1"/>
  <c r="X200" i="36"/>
  <c r="AC200" i="36" s="1"/>
  <c r="Y203" i="36"/>
  <c r="AD203" i="36" s="1"/>
  <c r="X204" i="36"/>
  <c r="AC204" i="36" s="1"/>
  <c r="Y207" i="36"/>
  <c r="AD207" i="36" s="1"/>
  <c r="X208" i="36"/>
  <c r="AC208" i="36" s="1"/>
  <c r="W209" i="36"/>
  <c r="AB209" i="36" s="1"/>
  <c r="Y211" i="36"/>
  <c r="AD211" i="36" s="1"/>
  <c r="X212" i="36"/>
  <c r="AC212" i="36" s="1"/>
  <c r="W213" i="36"/>
  <c r="AB213" i="36" s="1"/>
  <c r="Y188" i="36"/>
  <c r="AD188" i="36" s="1"/>
  <c r="X189" i="36"/>
  <c r="AC189" i="36" s="1"/>
  <c r="Y192" i="36"/>
  <c r="AD192" i="36" s="1"/>
  <c r="X193" i="36"/>
  <c r="AC193" i="36" s="1"/>
  <c r="Y196" i="36"/>
  <c r="AD196" i="36" s="1"/>
  <c r="X197" i="36"/>
  <c r="AC197" i="36" s="1"/>
  <c r="Y200" i="36"/>
  <c r="AD200" i="36" s="1"/>
  <c r="X201" i="36"/>
  <c r="AC201" i="36" s="1"/>
  <c r="Y204" i="36"/>
  <c r="AD204" i="36" s="1"/>
  <c r="X205" i="36"/>
  <c r="AC205" i="36" s="1"/>
  <c r="Y208" i="36"/>
  <c r="AD208" i="36" s="1"/>
  <c r="X209" i="36"/>
  <c r="AC209" i="36" s="1"/>
  <c r="W210" i="36"/>
  <c r="AB210" i="36" s="1"/>
  <c r="Y212" i="36"/>
  <c r="AD212" i="36" s="1"/>
  <c r="X213" i="36"/>
  <c r="AC213" i="36" s="1"/>
  <c r="V46" i="35"/>
  <c r="V46" i="7"/>
  <c r="AS8" i="40" l="1"/>
  <c r="AU8" i="40"/>
  <c r="AT8" i="40"/>
  <c r="J46" i="40"/>
  <c r="J45" i="40"/>
  <c r="AT7" i="40"/>
  <c r="AS7" i="40"/>
  <c r="AU7" i="40"/>
  <c r="J44" i="40"/>
  <c r="AS6" i="40"/>
  <c r="AT6" i="40"/>
  <c r="AU6" i="40"/>
  <c r="D28" i="40"/>
  <c r="E28" i="40"/>
  <c r="I46" i="40"/>
  <c r="I45" i="40" s="1"/>
  <c r="D45" i="40"/>
  <c r="J46" i="39"/>
  <c r="AU8" i="39"/>
  <c r="AS8" i="39"/>
  <c r="AT8" i="39"/>
  <c r="J45" i="39"/>
  <c r="AT7" i="39"/>
  <c r="AS7" i="39"/>
  <c r="AU7" i="39"/>
  <c r="AU6" i="39"/>
  <c r="AS6" i="39"/>
  <c r="J44" i="39"/>
  <c r="AT6" i="39"/>
  <c r="D45" i="39"/>
  <c r="I46" i="39"/>
  <c r="I45" i="39" s="1"/>
  <c r="E27" i="39"/>
  <c r="D27" i="39"/>
  <c r="J28" i="39"/>
  <c r="AV8" i="38"/>
  <c r="AS8" i="38" s="1"/>
  <c r="AT8" i="38"/>
  <c r="AU8" i="38"/>
  <c r="I46" i="38"/>
  <c r="I45" i="38" s="1"/>
  <c r="D45" i="38"/>
  <c r="J45" i="38"/>
  <c r="AU7" i="38"/>
  <c r="AS7" i="38"/>
  <c r="AT7" i="38"/>
  <c r="D39" i="38"/>
  <c r="E39" i="38"/>
  <c r="J44" i="38"/>
  <c r="AT6" i="38"/>
  <c r="AU6" i="38"/>
  <c r="AS6" i="38"/>
  <c r="D28" i="38"/>
  <c r="E28" i="38"/>
  <c r="AV8" i="37"/>
  <c r="AT8" i="37" s="1"/>
  <c r="I46" i="37"/>
  <c r="I45" i="37" s="1"/>
  <c r="D45" i="37"/>
  <c r="AS7" i="37"/>
  <c r="J45" i="37"/>
  <c r="AT7" i="37"/>
  <c r="AU7" i="37"/>
  <c r="J44" i="37"/>
  <c r="AS6" i="37"/>
  <c r="AT6" i="37"/>
  <c r="AU6" i="37"/>
  <c r="E28" i="37"/>
  <c r="D28" i="37"/>
  <c r="AE215" i="36"/>
  <c r="AU5" i="36"/>
  <c r="N111" i="36"/>
  <c r="AD215" i="36"/>
  <c r="O96" i="36"/>
  <c r="AS5" i="36"/>
  <c r="P96" i="36"/>
  <c r="AT5" i="36"/>
  <c r="E39" i="36"/>
  <c r="D39" i="36"/>
  <c r="E46" i="36"/>
  <c r="D46" i="36"/>
  <c r="E45" i="36"/>
  <c r="E27" i="36"/>
  <c r="J28" i="36"/>
  <c r="D27" i="36"/>
  <c r="AC215" i="36"/>
  <c r="AC30" i="35"/>
  <c r="AA215" i="35"/>
  <c r="V214" i="35"/>
  <c r="V213" i="35"/>
  <c r="V212" i="35"/>
  <c r="V211" i="35"/>
  <c r="V210" i="35"/>
  <c r="V209" i="35"/>
  <c r="V208" i="35"/>
  <c r="V207" i="35"/>
  <c r="V206" i="35"/>
  <c r="V205" i="35"/>
  <c r="V204" i="35"/>
  <c r="V203" i="35"/>
  <c r="V202" i="35"/>
  <c r="V201" i="35"/>
  <c r="V200" i="35"/>
  <c r="V199" i="35"/>
  <c r="V198" i="35"/>
  <c r="V197" i="35"/>
  <c r="V196" i="35"/>
  <c r="V195" i="35"/>
  <c r="V194" i="35"/>
  <c r="V193" i="35"/>
  <c r="V192" i="35"/>
  <c r="V191" i="35"/>
  <c r="V190" i="35"/>
  <c r="V189" i="35"/>
  <c r="V188" i="35"/>
  <c r="AO179" i="35"/>
  <c r="AN179" i="35"/>
  <c r="AM179" i="35"/>
  <c r="AL179" i="35"/>
  <c r="AK179" i="35"/>
  <c r="AJ179" i="35"/>
  <c r="AI179" i="35"/>
  <c r="AH179" i="35"/>
  <c r="AG179" i="35"/>
  <c r="AF179" i="35"/>
  <c r="AE179" i="35"/>
  <c r="AD179" i="35"/>
  <c r="AC179" i="35"/>
  <c r="AB179" i="35"/>
  <c r="AA179" i="35"/>
  <c r="Z179" i="35"/>
  <c r="Y179" i="35"/>
  <c r="X179" i="35"/>
  <c r="W179" i="35"/>
  <c r="V179" i="35"/>
  <c r="AO178" i="35"/>
  <c r="AN178" i="35"/>
  <c r="AM178" i="35"/>
  <c r="AL178" i="35"/>
  <c r="AK178" i="35"/>
  <c r="AJ178" i="35"/>
  <c r="AI178" i="35"/>
  <c r="AH178" i="35"/>
  <c r="AG178" i="35"/>
  <c r="AF178" i="35"/>
  <c r="AE178" i="35"/>
  <c r="AD178" i="35"/>
  <c r="AC178" i="35"/>
  <c r="AB178" i="35"/>
  <c r="AA178" i="35"/>
  <c r="Z178" i="35"/>
  <c r="Y178" i="35"/>
  <c r="X178" i="35"/>
  <c r="W178" i="35"/>
  <c r="V178" i="35"/>
  <c r="AO177" i="35"/>
  <c r="AN177" i="35"/>
  <c r="AM177" i="35"/>
  <c r="AL177" i="35"/>
  <c r="AK177" i="35"/>
  <c r="AJ177" i="35"/>
  <c r="AI177" i="35"/>
  <c r="AH177" i="35"/>
  <c r="AG177" i="35"/>
  <c r="AF177" i="35"/>
  <c r="AE177" i="35"/>
  <c r="AD177" i="35"/>
  <c r="AC177" i="35"/>
  <c r="AB177" i="35"/>
  <c r="AA177" i="35"/>
  <c r="Z177" i="35"/>
  <c r="Y177" i="35"/>
  <c r="X177" i="35"/>
  <c r="W177" i="35"/>
  <c r="V177" i="35"/>
  <c r="AO176" i="35"/>
  <c r="AN176" i="35"/>
  <c r="AM176" i="35"/>
  <c r="AL176" i="35"/>
  <c r="AK176" i="35"/>
  <c r="AJ176" i="35"/>
  <c r="AI176" i="35"/>
  <c r="AH176" i="35"/>
  <c r="AG176" i="35"/>
  <c r="AF176" i="35"/>
  <c r="AE176" i="35"/>
  <c r="AD176" i="35"/>
  <c r="AC176" i="35"/>
  <c r="AB176" i="35"/>
  <c r="AA176" i="35"/>
  <c r="Z176" i="35"/>
  <c r="Y176" i="35"/>
  <c r="X176" i="35"/>
  <c r="V176" i="35"/>
  <c r="AO175" i="35"/>
  <c r="AN175" i="35"/>
  <c r="AM175" i="35"/>
  <c r="AL175" i="35"/>
  <c r="AK175" i="35"/>
  <c r="AJ175" i="35"/>
  <c r="AI175" i="35"/>
  <c r="AH175" i="35"/>
  <c r="AG175" i="35"/>
  <c r="AF175" i="35"/>
  <c r="AE175" i="35"/>
  <c r="AD175" i="35"/>
  <c r="AC175" i="35"/>
  <c r="AB175" i="35"/>
  <c r="AA175" i="35"/>
  <c r="Z175" i="35"/>
  <c r="Y175" i="35"/>
  <c r="X175" i="35"/>
  <c r="V175" i="35"/>
  <c r="AO174" i="35"/>
  <c r="AN174" i="35"/>
  <c r="AM174" i="35"/>
  <c r="AL174" i="35"/>
  <c r="AK174" i="35"/>
  <c r="AJ174" i="35"/>
  <c r="AI174" i="35"/>
  <c r="AH174" i="35"/>
  <c r="AG174" i="35"/>
  <c r="AF174" i="35"/>
  <c r="AE174" i="35"/>
  <c r="AD174" i="35"/>
  <c r="AC174" i="35"/>
  <c r="AB174" i="35"/>
  <c r="AA174" i="35"/>
  <c r="Z174" i="35"/>
  <c r="Y174" i="35"/>
  <c r="X174" i="35"/>
  <c r="V174" i="35"/>
  <c r="AO173" i="35"/>
  <c r="AN173" i="35"/>
  <c r="AM173" i="35"/>
  <c r="AL173" i="35"/>
  <c r="AK173" i="35"/>
  <c r="AJ173" i="35"/>
  <c r="AI173" i="35"/>
  <c r="AH173" i="35"/>
  <c r="AG173" i="35"/>
  <c r="AF173" i="35"/>
  <c r="AE173" i="35"/>
  <c r="AD173" i="35"/>
  <c r="AC173" i="35"/>
  <c r="AB173" i="35"/>
  <c r="AA173" i="35"/>
  <c r="Z173" i="35"/>
  <c r="Y173" i="35"/>
  <c r="X173" i="35"/>
  <c r="V173" i="35"/>
  <c r="AO172" i="35"/>
  <c r="AN172" i="35"/>
  <c r="AM172" i="35"/>
  <c r="AL172" i="35"/>
  <c r="AK172" i="35"/>
  <c r="AJ172" i="35"/>
  <c r="AI172" i="35"/>
  <c r="AH172" i="35"/>
  <c r="AG172" i="35"/>
  <c r="AF172" i="35"/>
  <c r="AE172" i="35"/>
  <c r="AD172" i="35"/>
  <c r="AC172" i="35"/>
  <c r="AB172" i="35"/>
  <c r="AA172" i="35"/>
  <c r="Z172" i="35"/>
  <c r="Y172" i="35"/>
  <c r="X172" i="35"/>
  <c r="W172" i="35"/>
  <c r="V172" i="35"/>
  <c r="AO171" i="35"/>
  <c r="AN171" i="35"/>
  <c r="AM171" i="35"/>
  <c r="AL171" i="35"/>
  <c r="AK171" i="35"/>
  <c r="AJ171" i="35"/>
  <c r="AI171" i="35"/>
  <c r="AH171" i="35"/>
  <c r="AG171" i="35"/>
  <c r="AF171" i="35"/>
  <c r="AE171" i="35"/>
  <c r="AD171" i="35"/>
  <c r="AC171" i="35"/>
  <c r="AB171" i="35"/>
  <c r="AA171" i="35"/>
  <c r="Z171" i="35"/>
  <c r="Y171" i="35"/>
  <c r="X171" i="35"/>
  <c r="V171" i="35"/>
  <c r="AO170" i="35"/>
  <c r="AN170" i="35"/>
  <c r="AM170" i="35"/>
  <c r="AL170" i="35"/>
  <c r="AK170" i="35"/>
  <c r="AJ170" i="35"/>
  <c r="AI170" i="35"/>
  <c r="AH170" i="35"/>
  <c r="AG170" i="35"/>
  <c r="AF170" i="35"/>
  <c r="AE170" i="35"/>
  <c r="AD170" i="35"/>
  <c r="AC170" i="35"/>
  <c r="AB170" i="35"/>
  <c r="AA170" i="35"/>
  <c r="Z170" i="35"/>
  <c r="Y170" i="35"/>
  <c r="X170" i="35"/>
  <c r="V170" i="35"/>
  <c r="AO169" i="35"/>
  <c r="AN169" i="35"/>
  <c r="AM169" i="35"/>
  <c r="AL169" i="35"/>
  <c r="AK169" i="35"/>
  <c r="AJ169" i="35"/>
  <c r="AI169" i="35"/>
  <c r="AH169" i="35"/>
  <c r="AG169" i="35"/>
  <c r="AF169" i="35"/>
  <c r="AE169" i="35"/>
  <c r="AD169" i="35"/>
  <c r="AC169" i="35"/>
  <c r="AB169" i="35"/>
  <c r="AA169" i="35"/>
  <c r="Z169" i="35"/>
  <c r="Y169" i="35"/>
  <c r="X169" i="35"/>
  <c r="W169" i="35"/>
  <c r="V169" i="35"/>
  <c r="AO168" i="35"/>
  <c r="AN168" i="35"/>
  <c r="AM168" i="35"/>
  <c r="AL168" i="35"/>
  <c r="X95" i="35" s="1"/>
  <c r="AK168" i="35"/>
  <c r="AJ168" i="35"/>
  <c r="AI168" i="35"/>
  <c r="AH168" i="35"/>
  <c r="AG168" i="35"/>
  <c r="AF168" i="35"/>
  <c r="AE168" i="35"/>
  <c r="AD168" i="35"/>
  <c r="AD95" i="35" s="1"/>
  <c r="AC168" i="35"/>
  <c r="AB168" i="35"/>
  <c r="AB95" i="35" s="1"/>
  <c r="AA168" i="35"/>
  <c r="AA95" i="35" s="1"/>
  <c r="Z168" i="35"/>
  <c r="Z95" i="35" s="1"/>
  <c r="Y168" i="35"/>
  <c r="Y95" i="35" s="1"/>
  <c r="X168" i="35"/>
  <c r="W168" i="35"/>
  <c r="V168" i="35"/>
  <c r="AO167" i="35"/>
  <c r="AN167" i="35"/>
  <c r="AM167" i="35"/>
  <c r="AL167" i="35"/>
  <c r="X94" i="35" s="1"/>
  <c r="AK167" i="35"/>
  <c r="AJ167" i="35"/>
  <c r="AI167" i="35"/>
  <c r="AH167" i="35"/>
  <c r="AG167" i="35"/>
  <c r="AF167" i="35"/>
  <c r="AE167" i="35"/>
  <c r="AD167" i="35"/>
  <c r="AC167" i="35"/>
  <c r="AC94" i="35" s="1"/>
  <c r="AB167" i="35"/>
  <c r="AB94" i="35" s="1"/>
  <c r="AA167" i="35"/>
  <c r="AA94" i="35" s="1"/>
  <c r="Z167" i="35"/>
  <c r="Z94" i="35" s="1"/>
  <c r="Y167" i="35"/>
  <c r="X167" i="35"/>
  <c r="W167" i="35"/>
  <c r="W94" i="35" s="1"/>
  <c r="V167" i="35"/>
  <c r="V94" i="35" s="1"/>
  <c r="AO166" i="35"/>
  <c r="AN166" i="35"/>
  <c r="AM166" i="35"/>
  <c r="AL166" i="35"/>
  <c r="AK166" i="35"/>
  <c r="AJ166" i="35"/>
  <c r="AI166" i="35"/>
  <c r="AH166" i="35"/>
  <c r="AG166" i="35"/>
  <c r="AF166" i="35"/>
  <c r="AE166" i="35"/>
  <c r="AD166" i="35"/>
  <c r="AD93" i="35" s="1"/>
  <c r="AC166" i="35"/>
  <c r="AC93" i="35" s="1"/>
  <c r="AB166" i="35"/>
  <c r="AB93" i="35" s="1"/>
  <c r="AA166" i="35"/>
  <c r="Z166" i="35"/>
  <c r="Y166" i="35"/>
  <c r="Y93" i="35" s="1"/>
  <c r="X166" i="35"/>
  <c r="W166" i="35"/>
  <c r="W93" i="35" s="1"/>
  <c r="V166" i="35"/>
  <c r="V93" i="35" s="1"/>
  <c r="AO165" i="35"/>
  <c r="AN165" i="35"/>
  <c r="AM165" i="35"/>
  <c r="AL165" i="35"/>
  <c r="AK165" i="35"/>
  <c r="AJ165" i="35"/>
  <c r="AI165" i="35"/>
  <c r="AH165" i="35"/>
  <c r="AG165" i="35"/>
  <c r="AF165" i="35"/>
  <c r="AE165" i="35"/>
  <c r="AD165" i="35"/>
  <c r="AD92" i="35" s="1"/>
  <c r="AC165" i="35"/>
  <c r="AB165" i="35"/>
  <c r="AB92" i="35" s="1"/>
  <c r="AA165" i="35"/>
  <c r="AA92" i="35" s="1"/>
  <c r="Z165" i="35"/>
  <c r="Z92" i="35" s="1"/>
  <c r="Y165" i="35"/>
  <c r="Y92" i="35" s="1"/>
  <c r="X165" i="35"/>
  <c r="W165" i="35"/>
  <c r="V165" i="35"/>
  <c r="AO164" i="35"/>
  <c r="AN164" i="35"/>
  <c r="AM164" i="35"/>
  <c r="AL164" i="35"/>
  <c r="AK164" i="35"/>
  <c r="AJ164" i="35"/>
  <c r="AI164" i="35"/>
  <c r="AH164" i="35"/>
  <c r="AG164" i="35"/>
  <c r="AF164" i="35"/>
  <c r="AE164" i="35"/>
  <c r="AD164" i="35"/>
  <c r="AC164" i="35"/>
  <c r="AC91" i="35" s="1"/>
  <c r="AB164" i="35"/>
  <c r="AB91" i="35" s="1"/>
  <c r="AA164" i="35"/>
  <c r="AA91" i="35" s="1"/>
  <c r="Z164" i="35"/>
  <c r="Z91" i="35" s="1"/>
  <c r="Y164" i="35"/>
  <c r="Y91" i="35" s="1"/>
  <c r="X164" i="35"/>
  <c r="W164" i="35"/>
  <c r="W91" i="35" s="1"/>
  <c r="V164" i="35"/>
  <c r="V91" i="35" s="1"/>
  <c r="AO163" i="35"/>
  <c r="AN163" i="35"/>
  <c r="AM163" i="35"/>
  <c r="AL163" i="35"/>
  <c r="AK163" i="35"/>
  <c r="AJ163" i="35"/>
  <c r="AI163" i="35"/>
  <c r="AH163" i="35"/>
  <c r="AG163" i="35"/>
  <c r="AF163" i="35"/>
  <c r="AE163" i="35"/>
  <c r="AD163" i="35"/>
  <c r="AD90" i="35" s="1"/>
  <c r="AC163" i="35"/>
  <c r="AC90" i="35" s="1"/>
  <c r="AB163" i="35"/>
  <c r="AB90" i="35" s="1"/>
  <c r="AA163" i="35"/>
  <c r="Z163" i="35"/>
  <c r="Y163" i="35"/>
  <c r="Y90" i="35" s="1"/>
  <c r="X163" i="35"/>
  <c r="W163" i="35"/>
  <c r="W90" i="35" s="1"/>
  <c r="V163" i="35"/>
  <c r="V90" i="35" s="1"/>
  <c r="AO162" i="35"/>
  <c r="AN162" i="35"/>
  <c r="AM162" i="35"/>
  <c r="AL162" i="35"/>
  <c r="AK162" i="35"/>
  <c r="AJ162" i="35"/>
  <c r="AI162" i="35"/>
  <c r="AH162" i="35"/>
  <c r="AG162" i="35"/>
  <c r="AF162" i="35"/>
  <c r="AE162" i="35"/>
  <c r="AD162" i="35"/>
  <c r="AD89" i="35" s="1"/>
  <c r="AC162" i="35"/>
  <c r="AB162" i="35"/>
  <c r="AB89" i="35" s="1"/>
  <c r="AA162" i="35"/>
  <c r="AA89" i="35" s="1"/>
  <c r="Z162" i="35"/>
  <c r="Z89" i="35" s="1"/>
  <c r="Y162" i="35"/>
  <c r="Y89" i="35" s="1"/>
  <c r="X162" i="35"/>
  <c r="W162" i="35"/>
  <c r="W89" i="35" s="1"/>
  <c r="V162" i="35"/>
  <c r="AO161" i="35"/>
  <c r="AN161" i="35"/>
  <c r="AM161" i="35"/>
  <c r="AL161" i="35"/>
  <c r="X88" i="35" s="1"/>
  <c r="AK161" i="35"/>
  <c r="AJ161" i="35"/>
  <c r="AI161" i="35"/>
  <c r="AH161" i="35"/>
  <c r="AG161" i="35"/>
  <c r="AF161" i="35"/>
  <c r="AE161" i="35"/>
  <c r="AD161" i="35"/>
  <c r="AC161" i="35"/>
  <c r="AC88" i="35" s="1"/>
  <c r="AB161" i="35"/>
  <c r="AB88" i="35" s="1"/>
  <c r="AA161" i="35"/>
  <c r="AA88" i="35" s="1"/>
  <c r="Z161" i="35"/>
  <c r="Z88" i="35" s="1"/>
  <c r="Y161" i="35"/>
  <c r="X161" i="35"/>
  <c r="W161" i="35"/>
  <c r="W88" i="35" s="1"/>
  <c r="V161" i="35"/>
  <c r="V88" i="35" s="1"/>
  <c r="AO160" i="35"/>
  <c r="AN160" i="35"/>
  <c r="AM160" i="35"/>
  <c r="AL160" i="35"/>
  <c r="AK160" i="35"/>
  <c r="AJ160" i="35"/>
  <c r="AI160" i="35"/>
  <c r="AH160" i="35"/>
  <c r="AG160" i="35"/>
  <c r="AF160" i="35"/>
  <c r="AE160" i="35"/>
  <c r="AD160" i="35"/>
  <c r="AC160" i="35"/>
  <c r="AC87" i="35" s="1"/>
  <c r="AB160" i="35"/>
  <c r="AA160" i="35"/>
  <c r="Z160" i="35"/>
  <c r="Y160" i="35"/>
  <c r="Y87" i="35" s="1"/>
  <c r="X160" i="35"/>
  <c r="V160" i="35"/>
  <c r="AO159" i="35"/>
  <c r="AN159" i="35"/>
  <c r="AM159" i="35"/>
  <c r="AL159" i="35"/>
  <c r="AK159" i="35"/>
  <c r="AJ159" i="35"/>
  <c r="AI159" i="35"/>
  <c r="AH159" i="35"/>
  <c r="AG159" i="35"/>
  <c r="AF159" i="35"/>
  <c r="AE159" i="35"/>
  <c r="AD159" i="35"/>
  <c r="AC159" i="35"/>
  <c r="AB159" i="35"/>
  <c r="AA159" i="35"/>
  <c r="Z159" i="35"/>
  <c r="Y159" i="35"/>
  <c r="X159" i="35"/>
  <c r="W159" i="35"/>
  <c r="V159" i="35"/>
  <c r="AO158" i="35"/>
  <c r="AN158" i="35"/>
  <c r="AM158" i="35"/>
  <c r="AL158" i="35"/>
  <c r="AK158" i="35"/>
  <c r="AJ158" i="35"/>
  <c r="AI158" i="35"/>
  <c r="AH158" i="35"/>
  <c r="AG158" i="35"/>
  <c r="AF158" i="35"/>
  <c r="AE158" i="35"/>
  <c r="AD158" i="35"/>
  <c r="AC158" i="35"/>
  <c r="AB158" i="35"/>
  <c r="AA158" i="35"/>
  <c r="Z158" i="35"/>
  <c r="Y158" i="35"/>
  <c r="X158" i="35"/>
  <c r="W158" i="35"/>
  <c r="V158" i="35"/>
  <c r="AO157" i="35"/>
  <c r="AN157" i="35"/>
  <c r="AM157" i="35"/>
  <c r="AL157" i="35"/>
  <c r="AK157" i="35"/>
  <c r="AJ157" i="35"/>
  <c r="AI157" i="35"/>
  <c r="AH157" i="35"/>
  <c r="AG157" i="35"/>
  <c r="AF157" i="35"/>
  <c r="AE157" i="35"/>
  <c r="AD157" i="35"/>
  <c r="AC157" i="35"/>
  <c r="AB157" i="35"/>
  <c r="AA157" i="35"/>
  <c r="Z157" i="35"/>
  <c r="Y157" i="35"/>
  <c r="X157" i="35"/>
  <c r="W157" i="35"/>
  <c r="V157" i="35"/>
  <c r="AO156" i="35"/>
  <c r="AN156" i="35"/>
  <c r="AM156" i="35"/>
  <c r="AL156" i="35"/>
  <c r="AK156" i="35"/>
  <c r="AJ156" i="35"/>
  <c r="AI156" i="35"/>
  <c r="AH156" i="35"/>
  <c r="AG156" i="35"/>
  <c r="AF156" i="35"/>
  <c r="AE156" i="35"/>
  <c r="AD156" i="35"/>
  <c r="AC156" i="35"/>
  <c r="AB156" i="35"/>
  <c r="AA156" i="35"/>
  <c r="Z156" i="35"/>
  <c r="Y156" i="35"/>
  <c r="X156" i="35"/>
  <c r="W156" i="35"/>
  <c r="V156" i="35"/>
  <c r="AO155" i="35"/>
  <c r="AN155" i="35"/>
  <c r="AM155" i="35"/>
  <c r="AL155" i="35"/>
  <c r="AK155" i="35"/>
  <c r="AJ155" i="35"/>
  <c r="AI155" i="35"/>
  <c r="AH155" i="35"/>
  <c r="AG155" i="35"/>
  <c r="AF155" i="35"/>
  <c r="AE155" i="35"/>
  <c r="AD155" i="35"/>
  <c r="AC155" i="35"/>
  <c r="AB155" i="35"/>
  <c r="AA155" i="35"/>
  <c r="Z155" i="35"/>
  <c r="Y155" i="35"/>
  <c r="X155" i="35"/>
  <c r="W155" i="35"/>
  <c r="V155" i="35"/>
  <c r="AO154" i="35"/>
  <c r="AN154" i="35"/>
  <c r="AM154" i="35"/>
  <c r="AL154" i="35"/>
  <c r="AK154" i="35"/>
  <c r="AJ154" i="35"/>
  <c r="AI154" i="35"/>
  <c r="AH154" i="35"/>
  <c r="AG154" i="35"/>
  <c r="AF154" i="35"/>
  <c r="AE154" i="35"/>
  <c r="AD154" i="35"/>
  <c r="AC154" i="35"/>
  <c r="AB154" i="35"/>
  <c r="AA154" i="35"/>
  <c r="Z154" i="35"/>
  <c r="Y154" i="35"/>
  <c r="X154" i="35"/>
  <c r="W154" i="35"/>
  <c r="V154" i="35"/>
  <c r="AO153" i="35"/>
  <c r="AN153" i="35"/>
  <c r="AM153" i="35"/>
  <c r="AL153" i="35"/>
  <c r="AK153" i="35"/>
  <c r="AJ153" i="35"/>
  <c r="AI153" i="35"/>
  <c r="AH153" i="35"/>
  <c r="AG153" i="35"/>
  <c r="AF153" i="35"/>
  <c r="AE153" i="35"/>
  <c r="AD153" i="35"/>
  <c r="AC153" i="35"/>
  <c r="AB153" i="35"/>
  <c r="AA153" i="35"/>
  <c r="Z153" i="35"/>
  <c r="Y153" i="35"/>
  <c r="X153" i="35"/>
  <c r="W153" i="35"/>
  <c r="V153" i="35"/>
  <c r="AO152" i="35"/>
  <c r="AN152" i="35"/>
  <c r="AM152" i="35"/>
  <c r="AL152" i="35"/>
  <c r="AK152" i="35"/>
  <c r="AJ152" i="35"/>
  <c r="AI152" i="35"/>
  <c r="AH152" i="35"/>
  <c r="AG152" i="35"/>
  <c r="AF152" i="35"/>
  <c r="AE152" i="35"/>
  <c r="AD152" i="35"/>
  <c r="AC152" i="35"/>
  <c r="AB152" i="35"/>
  <c r="AA152" i="35"/>
  <c r="Z152" i="35"/>
  <c r="Y152" i="35"/>
  <c r="X152" i="35"/>
  <c r="W152" i="35"/>
  <c r="V152" i="35"/>
  <c r="AO151" i="35"/>
  <c r="AN151" i="35"/>
  <c r="AM151" i="35"/>
  <c r="AL151" i="35"/>
  <c r="AK151" i="35"/>
  <c r="AJ151" i="35"/>
  <c r="AI151" i="35"/>
  <c r="AH151" i="35"/>
  <c r="AG151" i="35"/>
  <c r="AF151" i="35"/>
  <c r="AE151" i="35"/>
  <c r="AD151" i="35"/>
  <c r="AC151" i="35"/>
  <c r="AB151" i="35"/>
  <c r="AA151" i="35"/>
  <c r="Z151" i="35"/>
  <c r="Y151" i="35"/>
  <c r="X151" i="35"/>
  <c r="W151" i="35"/>
  <c r="V151" i="35"/>
  <c r="AO150" i="35"/>
  <c r="AN150" i="35"/>
  <c r="AM150" i="35"/>
  <c r="AL150" i="35"/>
  <c r="AK150" i="35"/>
  <c r="AJ150" i="35"/>
  <c r="AI150" i="35"/>
  <c r="AH150" i="35"/>
  <c r="AG150" i="35"/>
  <c r="AF150" i="35"/>
  <c r="AE150" i="35"/>
  <c r="AD150" i="35"/>
  <c r="AC150" i="35"/>
  <c r="AB150" i="35"/>
  <c r="AA150" i="35"/>
  <c r="Z150" i="35"/>
  <c r="Y150" i="35"/>
  <c r="X150" i="35"/>
  <c r="W150" i="35"/>
  <c r="V150" i="35"/>
  <c r="AO149" i="35"/>
  <c r="AN149" i="35"/>
  <c r="AM149" i="35"/>
  <c r="AL149" i="35"/>
  <c r="AK149" i="35"/>
  <c r="AJ149" i="35"/>
  <c r="AI149" i="35"/>
  <c r="AH149" i="35"/>
  <c r="AG149" i="35"/>
  <c r="AF149" i="35"/>
  <c r="AE149" i="35"/>
  <c r="AD149" i="35"/>
  <c r="AC149" i="35"/>
  <c r="AB149" i="35"/>
  <c r="AA149" i="35"/>
  <c r="Z149" i="35"/>
  <c r="Y149" i="35"/>
  <c r="X149" i="35"/>
  <c r="V149" i="35"/>
  <c r="AO148" i="35"/>
  <c r="AN148" i="35"/>
  <c r="AM148" i="35"/>
  <c r="AL148" i="35"/>
  <c r="AK148" i="35"/>
  <c r="AJ148" i="35"/>
  <c r="AI148" i="35"/>
  <c r="AH148" i="35"/>
  <c r="AG148" i="35"/>
  <c r="AF148" i="35"/>
  <c r="AE148" i="35"/>
  <c r="AD148" i="35"/>
  <c r="AC148" i="35"/>
  <c r="AB148" i="35"/>
  <c r="AA148" i="35"/>
  <c r="Z148" i="35"/>
  <c r="Y148" i="35"/>
  <c r="X148" i="35"/>
  <c r="V148" i="35"/>
  <c r="AO147" i="35"/>
  <c r="AN147" i="35"/>
  <c r="AM147" i="35"/>
  <c r="AL147" i="35"/>
  <c r="AK147" i="35"/>
  <c r="AJ147" i="35"/>
  <c r="AI147" i="35"/>
  <c r="AH147" i="35"/>
  <c r="AG147" i="35"/>
  <c r="AF147" i="35"/>
  <c r="AE147" i="35"/>
  <c r="AD147" i="35"/>
  <c r="AC147" i="35"/>
  <c r="AB147" i="35"/>
  <c r="AA147" i="35"/>
  <c r="Z147" i="35"/>
  <c r="Y147" i="35"/>
  <c r="X147" i="35"/>
  <c r="V147" i="35"/>
  <c r="AO146" i="35"/>
  <c r="AN146" i="35"/>
  <c r="AM146" i="35"/>
  <c r="AL146" i="35"/>
  <c r="AK146" i="35"/>
  <c r="AJ146" i="35"/>
  <c r="AI146" i="35"/>
  <c r="AH146" i="35"/>
  <c r="AG146" i="35"/>
  <c r="AF146" i="35"/>
  <c r="AE146" i="35"/>
  <c r="AD146" i="35"/>
  <c r="AC146" i="35"/>
  <c r="AB146" i="35"/>
  <c r="AA146" i="35"/>
  <c r="Z146" i="35"/>
  <c r="Y146" i="35"/>
  <c r="X146" i="35"/>
  <c r="V146" i="35"/>
  <c r="AO145" i="35"/>
  <c r="AN145" i="35"/>
  <c r="AM145" i="35"/>
  <c r="AL145" i="35"/>
  <c r="AK145" i="35"/>
  <c r="AJ145" i="35"/>
  <c r="AI145" i="35"/>
  <c r="AH145" i="35"/>
  <c r="AG145" i="35"/>
  <c r="AF145" i="35"/>
  <c r="AE145" i="35"/>
  <c r="AD145" i="35"/>
  <c r="AC145" i="35"/>
  <c r="AB145" i="35"/>
  <c r="AA145" i="35"/>
  <c r="Z145" i="35"/>
  <c r="Y145" i="35"/>
  <c r="X145" i="35"/>
  <c r="W145" i="35"/>
  <c r="V145" i="35"/>
  <c r="AO144" i="35"/>
  <c r="AN144" i="35"/>
  <c r="AM144" i="35"/>
  <c r="AL144" i="35"/>
  <c r="AK144" i="35"/>
  <c r="AJ144" i="35"/>
  <c r="AI144" i="35"/>
  <c r="AH144" i="35"/>
  <c r="AG144" i="35"/>
  <c r="AF144" i="35"/>
  <c r="AE144" i="35"/>
  <c r="AD144" i="35"/>
  <c r="AC144" i="35"/>
  <c r="AB144" i="35"/>
  <c r="AA144" i="35"/>
  <c r="Z144" i="35"/>
  <c r="Y144" i="35"/>
  <c r="X144" i="35"/>
  <c r="W144" i="35"/>
  <c r="V144" i="35"/>
  <c r="AO143" i="35"/>
  <c r="AN143" i="35"/>
  <c r="AM143" i="35"/>
  <c r="AL143" i="35"/>
  <c r="AK143" i="35"/>
  <c r="AJ143" i="35"/>
  <c r="AI143" i="35"/>
  <c r="AH143" i="35"/>
  <c r="AG143" i="35"/>
  <c r="AF143" i="35"/>
  <c r="AE143" i="35"/>
  <c r="AD143" i="35"/>
  <c r="AC143" i="35"/>
  <c r="AB143" i="35"/>
  <c r="AA143" i="35"/>
  <c r="Z143" i="35"/>
  <c r="Y143" i="35"/>
  <c r="X143" i="35"/>
  <c r="W143" i="35"/>
  <c r="V143" i="35"/>
  <c r="Q143" i="35"/>
  <c r="AO142" i="35"/>
  <c r="AN142" i="35"/>
  <c r="AM142" i="35"/>
  <c r="AL142" i="35"/>
  <c r="AK142" i="35"/>
  <c r="AJ142" i="35"/>
  <c r="AI142" i="35"/>
  <c r="AH142" i="35"/>
  <c r="AG142" i="35"/>
  <c r="AF142" i="35"/>
  <c r="AE142" i="35"/>
  <c r="AD142" i="35"/>
  <c r="AC142" i="35"/>
  <c r="AB142" i="35"/>
  <c r="AA142" i="35"/>
  <c r="Z142" i="35"/>
  <c r="Y142" i="35"/>
  <c r="X142" i="35"/>
  <c r="W142" i="35"/>
  <c r="V142" i="35"/>
  <c r="Q142" i="35"/>
  <c r="AO141" i="35"/>
  <c r="AN141" i="35"/>
  <c r="AM141" i="35"/>
  <c r="AL141" i="35"/>
  <c r="AK141" i="35"/>
  <c r="AJ141" i="35"/>
  <c r="AI141" i="35"/>
  <c r="AH141" i="35"/>
  <c r="AG141" i="35"/>
  <c r="AF141" i="35"/>
  <c r="AE141" i="35"/>
  <c r="AD141" i="35"/>
  <c r="AC141" i="35"/>
  <c r="AB141" i="35"/>
  <c r="AA141" i="35"/>
  <c r="Z141" i="35"/>
  <c r="Y141" i="35"/>
  <c r="X141" i="35"/>
  <c r="W141" i="35"/>
  <c r="V141" i="35"/>
  <c r="Q141" i="35"/>
  <c r="AO140" i="35"/>
  <c r="AN140" i="35"/>
  <c r="AM140" i="35"/>
  <c r="AL140" i="35"/>
  <c r="AK140" i="35"/>
  <c r="AJ140" i="35"/>
  <c r="AI140" i="35"/>
  <c r="AH140" i="35"/>
  <c r="AG140" i="35"/>
  <c r="AF140" i="35"/>
  <c r="AE140" i="35"/>
  <c r="AD140" i="35"/>
  <c r="AC140" i="35"/>
  <c r="AB140" i="35"/>
  <c r="AA140" i="35"/>
  <c r="Z140" i="35"/>
  <c r="Y140" i="35"/>
  <c r="X140" i="35"/>
  <c r="W140" i="35"/>
  <c r="V140" i="35"/>
  <c r="Q140" i="35"/>
  <c r="AO139" i="35"/>
  <c r="AN139" i="35"/>
  <c r="AM139" i="35"/>
  <c r="AL139" i="35"/>
  <c r="AK139" i="35"/>
  <c r="AJ139" i="35"/>
  <c r="AI139" i="35"/>
  <c r="AH139" i="35"/>
  <c r="AG139" i="35"/>
  <c r="AF139" i="35"/>
  <c r="AE139" i="35"/>
  <c r="AD139" i="35"/>
  <c r="AC139" i="35"/>
  <c r="AB139" i="35"/>
  <c r="AA139" i="35"/>
  <c r="Z139" i="35"/>
  <c r="Y139" i="35"/>
  <c r="X139" i="35"/>
  <c r="W139" i="35"/>
  <c r="V139" i="35"/>
  <c r="Q139" i="35"/>
  <c r="AO138" i="35"/>
  <c r="AN138" i="35"/>
  <c r="AM138" i="35"/>
  <c r="AL138" i="35"/>
  <c r="AK138" i="35"/>
  <c r="AJ138" i="35"/>
  <c r="AI138" i="35"/>
  <c r="AH138" i="35"/>
  <c r="AG138" i="35"/>
  <c r="AF138" i="35"/>
  <c r="AE138" i="35"/>
  <c r="AD138" i="35"/>
  <c r="AC138" i="35"/>
  <c r="AB138" i="35"/>
  <c r="AA138" i="35"/>
  <c r="Z138" i="35"/>
  <c r="Y138" i="35"/>
  <c r="X138" i="35"/>
  <c r="W138" i="35"/>
  <c r="V138" i="35"/>
  <c r="Q138" i="35"/>
  <c r="AO137" i="35"/>
  <c r="AN137" i="35"/>
  <c r="AM137" i="35"/>
  <c r="AL137" i="35"/>
  <c r="AK137" i="35"/>
  <c r="AJ137" i="35"/>
  <c r="AI137" i="35"/>
  <c r="AH137" i="35"/>
  <c r="AG137" i="35"/>
  <c r="AF137" i="35"/>
  <c r="AE137" i="35"/>
  <c r="AD137" i="35"/>
  <c r="AC137" i="35"/>
  <c r="AB137" i="35"/>
  <c r="AA137" i="35"/>
  <c r="Z137" i="35"/>
  <c r="Y137" i="35"/>
  <c r="X137" i="35"/>
  <c r="W137" i="35"/>
  <c r="V137" i="35"/>
  <c r="Q137" i="35"/>
  <c r="AO136" i="35"/>
  <c r="AN136" i="35"/>
  <c r="AM136" i="35"/>
  <c r="AL136" i="35"/>
  <c r="AK136" i="35"/>
  <c r="AJ136" i="35"/>
  <c r="AI136" i="35"/>
  <c r="AH136" i="35"/>
  <c r="AG136" i="35"/>
  <c r="AF136" i="35"/>
  <c r="AE136" i="35"/>
  <c r="AD136" i="35"/>
  <c r="AC136" i="35"/>
  <c r="AB136" i="35"/>
  <c r="AA136" i="35"/>
  <c r="Z136" i="35"/>
  <c r="Y136" i="35"/>
  <c r="X136" i="35"/>
  <c r="W136" i="35"/>
  <c r="V136" i="35"/>
  <c r="Q136" i="35"/>
  <c r="AO135" i="35"/>
  <c r="AN135" i="35"/>
  <c r="AM135" i="35"/>
  <c r="AL135" i="35"/>
  <c r="AK135" i="35"/>
  <c r="AJ135" i="35"/>
  <c r="AI135" i="35"/>
  <c r="AH135" i="35"/>
  <c r="AG135" i="35"/>
  <c r="AF135" i="35"/>
  <c r="AE135" i="35"/>
  <c r="AD135" i="35"/>
  <c r="AC135" i="35"/>
  <c r="AB135" i="35"/>
  <c r="AA135" i="35"/>
  <c r="Z135" i="35"/>
  <c r="Y135" i="35"/>
  <c r="X135" i="35"/>
  <c r="W135" i="35"/>
  <c r="V135" i="35"/>
  <c r="Q135" i="35"/>
  <c r="AO134" i="35"/>
  <c r="AN134" i="35"/>
  <c r="AM134" i="35"/>
  <c r="AL134" i="35"/>
  <c r="AK134" i="35"/>
  <c r="AJ134" i="35"/>
  <c r="AI134" i="35"/>
  <c r="AH134" i="35"/>
  <c r="AG134" i="35"/>
  <c r="AF134" i="35"/>
  <c r="AE134" i="35"/>
  <c r="AD134" i="35"/>
  <c r="AC134" i="35"/>
  <c r="AB134" i="35"/>
  <c r="AA134" i="35"/>
  <c r="Z134" i="35"/>
  <c r="Y134" i="35"/>
  <c r="X134" i="35"/>
  <c r="W134" i="35"/>
  <c r="V134" i="35"/>
  <c r="Q134" i="35"/>
  <c r="AO133" i="35"/>
  <c r="AN133" i="35"/>
  <c r="AM133" i="35"/>
  <c r="AL133" i="35"/>
  <c r="AK133" i="35"/>
  <c r="AJ133" i="35"/>
  <c r="AI133" i="35"/>
  <c r="AH133" i="35"/>
  <c r="AG133" i="35"/>
  <c r="AF133" i="35"/>
  <c r="AE133" i="35"/>
  <c r="AD133" i="35"/>
  <c r="AC133" i="35"/>
  <c r="AB133" i="35"/>
  <c r="AA133" i="35"/>
  <c r="Z133" i="35"/>
  <c r="Y133" i="35"/>
  <c r="X133" i="35"/>
  <c r="W133" i="35"/>
  <c r="V133" i="35"/>
  <c r="Q133" i="35"/>
  <c r="AO132" i="35"/>
  <c r="AN132" i="35"/>
  <c r="AM132" i="35"/>
  <c r="AL132" i="35"/>
  <c r="AK132" i="35"/>
  <c r="AJ132" i="35"/>
  <c r="AI132" i="35"/>
  <c r="AH132" i="35"/>
  <c r="AG132" i="35"/>
  <c r="AF132" i="35"/>
  <c r="AE132" i="35"/>
  <c r="AD132" i="35"/>
  <c r="AC132" i="35"/>
  <c r="AB132" i="35"/>
  <c r="AA132" i="35"/>
  <c r="Z132" i="35"/>
  <c r="Y132" i="35"/>
  <c r="X132" i="35"/>
  <c r="W132" i="35"/>
  <c r="V132" i="35"/>
  <c r="Q132" i="35"/>
  <c r="AO131" i="35"/>
  <c r="AN131" i="35"/>
  <c r="AM131" i="35"/>
  <c r="AL131" i="35"/>
  <c r="AK131" i="35"/>
  <c r="AJ131" i="35"/>
  <c r="AI131" i="35"/>
  <c r="AH131" i="35"/>
  <c r="AG131" i="35"/>
  <c r="AF131" i="35"/>
  <c r="AE131" i="35"/>
  <c r="AD131" i="35"/>
  <c r="AC131" i="35"/>
  <c r="AB131" i="35"/>
  <c r="AA131" i="35"/>
  <c r="Z131" i="35"/>
  <c r="Y131" i="35"/>
  <c r="X131" i="35"/>
  <c r="W131" i="35"/>
  <c r="V131" i="35"/>
  <c r="Q131" i="35"/>
  <c r="AO130" i="35"/>
  <c r="AN130" i="35"/>
  <c r="AM130" i="35"/>
  <c r="AL130" i="35"/>
  <c r="AK130" i="35"/>
  <c r="AJ130" i="35"/>
  <c r="AI130" i="35"/>
  <c r="AH130" i="35"/>
  <c r="AG130" i="35"/>
  <c r="AF130" i="35"/>
  <c r="AE130" i="35"/>
  <c r="AD130" i="35"/>
  <c r="AC130" i="35"/>
  <c r="AB130" i="35"/>
  <c r="AA130" i="35"/>
  <c r="Z130" i="35"/>
  <c r="Y130" i="35"/>
  <c r="X130" i="35"/>
  <c r="W130" i="35"/>
  <c r="V130" i="35"/>
  <c r="Q130" i="35"/>
  <c r="AO129" i="35"/>
  <c r="AN129" i="35"/>
  <c r="AM129" i="35"/>
  <c r="AL129" i="35"/>
  <c r="AK129" i="35"/>
  <c r="AJ129" i="35"/>
  <c r="AI129" i="35"/>
  <c r="AH129" i="35"/>
  <c r="AG129" i="35"/>
  <c r="AF129" i="35"/>
  <c r="AE129" i="35"/>
  <c r="AD129" i="35"/>
  <c r="AC129" i="35"/>
  <c r="AB129" i="35"/>
  <c r="AA129" i="35"/>
  <c r="Z129" i="35"/>
  <c r="Y129" i="35"/>
  <c r="X129" i="35"/>
  <c r="W129" i="35"/>
  <c r="V129" i="35"/>
  <c r="Q129" i="35"/>
  <c r="AO128" i="35"/>
  <c r="AN128" i="35"/>
  <c r="AM128" i="35"/>
  <c r="AL128" i="35"/>
  <c r="AK128" i="35"/>
  <c r="AJ128" i="35"/>
  <c r="AI128" i="35"/>
  <c r="AH128" i="35"/>
  <c r="AG128" i="35"/>
  <c r="AF128" i="35"/>
  <c r="AE128" i="35"/>
  <c r="AD128" i="35"/>
  <c r="AC128" i="35"/>
  <c r="AB128" i="35"/>
  <c r="AA128" i="35"/>
  <c r="Z128" i="35"/>
  <c r="Y128" i="35"/>
  <c r="X128" i="35"/>
  <c r="V128" i="35"/>
  <c r="Q128" i="35"/>
  <c r="AO127" i="35"/>
  <c r="AN127" i="35"/>
  <c r="AM127" i="35"/>
  <c r="AL127" i="35"/>
  <c r="AK127" i="35"/>
  <c r="AJ127" i="35"/>
  <c r="AI127" i="35"/>
  <c r="AH127" i="35"/>
  <c r="AG127" i="35"/>
  <c r="AF127" i="35"/>
  <c r="AE127" i="35"/>
  <c r="AD127" i="35"/>
  <c r="AC127" i="35"/>
  <c r="AB127" i="35"/>
  <c r="AA127" i="35"/>
  <c r="Z127" i="35"/>
  <c r="Y127" i="35"/>
  <c r="X127" i="35"/>
  <c r="V127" i="35"/>
  <c r="Q127" i="35"/>
  <c r="AO126" i="35"/>
  <c r="AN126" i="35"/>
  <c r="AM126" i="35"/>
  <c r="AL126" i="35"/>
  <c r="AK126" i="35"/>
  <c r="AJ126" i="35"/>
  <c r="AI126" i="35"/>
  <c r="AH126" i="35"/>
  <c r="AG126" i="35"/>
  <c r="AF126" i="35"/>
  <c r="AE126" i="35"/>
  <c r="AD126" i="35"/>
  <c r="AC126" i="35"/>
  <c r="AB126" i="35"/>
  <c r="AA126" i="35"/>
  <c r="Z126" i="35"/>
  <c r="Y126" i="35"/>
  <c r="X126" i="35"/>
  <c r="V126" i="35"/>
  <c r="Q126" i="35"/>
  <c r="AO125" i="35"/>
  <c r="AN125" i="35"/>
  <c r="AM125" i="35"/>
  <c r="AL125" i="35"/>
  <c r="AK125" i="35"/>
  <c r="AJ125" i="35"/>
  <c r="AI125" i="35"/>
  <c r="AH125" i="35"/>
  <c r="AG125" i="35"/>
  <c r="AF125" i="35"/>
  <c r="AE125" i="35"/>
  <c r="AD125" i="35"/>
  <c r="AC125" i="35"/>
  <c r="AB125" i="35"/>
  <c r="AA125" i="35"/>
  <c r="Z125" i="35"/>
  <c r="Y125" i="35"/>
  <c r="X125" i="35"/>
  <c r="V125" i="35"/>
  <c r="Q125" i="35"/>
  <c r="AO124" i="35"/>
  <c r="AN124" i="35"/>
  <c r="AM124" i="35"/>
  <c r="AL124" i="35"/>
  <c r="AK124" i="35"/>
  <c r="AJ124" i="35"/>
  <c r="AI124" i="35"/>
  <c r="AH124" i="35"/>
  <c r="AG124" i="35"/>
  <c r="AF124" i="35"/>
  <c r="AE124" i="35"/>
  <c r="AD124" i="35"/>
  <c r="AC124" i="35"/>
  <c r="AB124" i="35"/>
  <c r="AA124" i="35"/>
  <c r="Z124" i="35"/>
  <c r="Y124" i="35"/>
  <c r="X124" i="35"/>
  <c r="V124" i="35"/>
  <c r="Q124" i="35"/>
  <c r="AO123" i="35"/>
  <c r="AN123" i="35"/>
  <c r="AM123" i="35"/>
  <c r="AL123" i="35"/>
  <c r="AK123" i="35"/>
  <c r="AJ123" i="35"/>
  <c r="AI123" i="35"/>
  <c r="AH123" i="35"/>
  <c r="AG123" i="35"/>
  <c r="AF123" i="35"/>
  <c r="AE123" i="35"/>
  <c r="AD123" i="35"/>
  <c r="AC123" i="35"/>
  <c r="AB123" i="35"/>
  <c r="AA123" i="35"/>
  <c r="Z123" i="35"/>
  <c r="Y123" i="35"/>
  <c r="X123" i="35"/>
  <c r="W123" i="35"/>
  <c r="V123" i="35"/>
  <c r="Q123" i="35"/>
  <c r="AO122" i="35"/>
  <c r="AN122" i="35"/>
  <c r="AM122" i="35"/>
  <c r="AL122" i="35"/>
  <c r="AK122" i="35"/>
  <c r="AJ122" i="35"/>
  <c r="AI122" i="35"/>
  <c r="AH122" i="35"/>
  <c r="AG122" i="35"/>
  <c r="AF122" i="35"/>
  <c r="AE122" i="35"/>
  <c r="AD122" i="35"/>
  <c r="AC122" i="35"/>
  <c r="AB122" i="35"/>
  <c r="AA122" i="35"/>
  <c r="Z122" i="35"/>
  <c r="Y122" i="35"/>
  <c r="X122" i="35"/>
  <c r="V122" i="35"/>
  <c r="Q122" i="35"/>
  <c r="AO121" i="35"/>
  <c r="AN121" i="35"/>
  <c r="AM121" i="35"/>
  <c r="AL121" i="35"/>
  <c r="AK121" i="35"/>
  <c r="AJ121" i="35"/>
  <c r="AI121" i="35"/>
  <c r="AH121" i="35"/>
  <c r="AG121" i="35"/>
  <c r="AF121" i="35"/>
  <c r="AE121" i="35"/>
  <c r="AD121" i="35"/>
  <c r="AC121" i="35"/>
  <c r="AB121" i="35"/>
  <c r="AA121" i="35"/>
  <c r="Z121" i="35"/>
  <c r="Y121" i="35"/>
  <c r="X121" i="35"/>
  <c r="V121" i="35"/>
  <c r="Q121" i="35"/>
  <c r="AO120" i="35"/>
  <c r="AN120" i="35"/>
  <c r="AM120" i="35"/>
  <c r="AL120" i="35"/>
  <c r="AK120" i="35"/>
  <c r="AJ120" i="35"/>
  <c r="AI120" i="35"/>
  <c r="AH120" i="35"/>
  <c r="AG120" i="35"/>
  <c r="AF120" i="35"/>
  <c r="AE120" i="35"/>
  <c r="AD120" i="35"/>
  <c r="AC120" i="35"/>
  <c r="AB120" i="35"/>
  <c r="AA120" i="35"/>
  <c r="Z120" i="35"/>
  <c r="Y120" i="35"/>
  <c r="X120" i="35"/>
  <c r="W120" i="35"/>
  <c r="V120" i="35"/>
  <c r="Q120" i="35"/>
  <c r="AO119" i="35"/>
  <c r="AN119" i="35"/>
  <c r="AM119" i="35"/>
  <c r="AL119" i="35"/>
  <c r="AK119" i="35"/>
  <c r="AJ119" i="35"/>
  <c r="AI119" i="35"/>
  <c r="AH119" i="35"/>
  <c r="AG119" i="35"/>
  <c r="AF119" i="35"/>
  <c r="AE119" i="35"/>
  <c r="AD119" i="35"/>
  <c r="AC119" i="35"/>
  <c r="AB119" i="35"/>
  <c r="AA119" i="35"/>
  <c r="Z119" i="35"/>
  <c r="Y119" i="35"/>
  <c r="X119" i="35"/>
  <c r="V119" i="35"/>
  <c r="Q119" i="35"/>
  <c r="AO118" i="35"/>
  <c r="AN118" i="35"/>
  <c r="AM118" i="35"/>
  <c r="AL118" i="35"/>
  <c r="AK118" i="35"/>
  <c r="AJ118" i="35"/>
  <c r="AI118" i="35"/>
  <c r="AH118" i="35"/>
  <c r="AG118" i="35"/>
  <c r="AF118" i="35"/>
  <c r="AE118" i="35"/>
  <c r="AD118" i="35"/>
  <c r="AC118" i="35"/>
  <c r="AB118" i="35"/>
  <c r="AA118" i="35"/>
  <c r="Z118" i="35"/>
  <c r="Y118" i="35"/>
  <c r="X118" i="35"/>
  <c r="V118" i="35"/>
  <c r="Q118" i="35"/>
  <c r="AO117" i="35"/>
  <c r="AN117" i="35"/>
  <c r="AM117" i="35"/>
  <c r="AL117" i="35"/>
  <c r="AK117" i="35"/>
  <c r="AJ117" i="35"/>
  <c r="AI117" i="35"/>
  <c r="AH117" i="35"/>
  <c r="AG117" i="35"/>
  <c r="AF117" i="35"/>
  <c r="AE117" i="35"/>
  <c r="AD117" i="35"/>
  <c r="AC117" i="35"/>
  <c r="AB117" i="35"/>
  <c r="AA117" i="35"/>
  <c r="Z117" i="35"/>
  <c r="Y117" i="35"/>
  <c r="X117" i="35"/>
  <c r="V117" i="35"/>
  <c r="Q117" i="35"/>
  <c r="AO116" i="35"/>
  <c r="AN116" i="35"/>
  <c r="AM116" i="35"/>
  <c r="AL116" i="35"/>
  <c r="AK116" i="35"/>
  <c r="AJ116" i="35"/>
  <c r="AI116" i="35"/>
  <c r="AH116" i="35"/>
  <c r="AG116" i="35"/>
  <c r="AF116" i="35"/>
  <c r="AE116" i="35"/>
  <c r="AD116" i="35"/>
  <c r="AC116" i="35"/>
  <c r="AB116" i="35"/>
  <c r="AA116" i="35"/>
  <c r="Z116" i="35"/>
  <c r="Y116" i="35"/>
  <c r="X116" i="35"/>
  <c r="V116" i="35"/>
  <c r="AO115" i="35"/>
  <c r="AN115" i="35"/>
  <c r="AM115" i="35"/>
  <c r="AL115" i="35"/>
  <c r="AK115" i="35"/>
  <c r="AJ115" i="35"/>
  <c r="AI115" i="35"/>
  <c r="AH115" i="35"/>
  <c r="AG115" i="35"/>
  <c r="AF115" i="35"/>
  <c r="AE115" i="35"/>
  <c r="AD115" i="35"/>
  <c r="AC115" i="35"/>
  <c r="AB115" i="35"/>
  <c r="AA115" i="35"/>
  <c r="Z115" i="35"/>
  <c r="Y115" i="35"/>
  <c r="X115" i="35"/>
  <c r="W115" i="35"/>
  <c r="V115" i="35"/>
  <c r="AO114" i="35"/>
  <c r="AN114" i="35"/>
  <c r="AM114" i="35"/>
  <c r="AL114" i="35"/>
  <c r="AK114" i="35"/>
  <c r="AJ114" i="35"/>
  <c r="AI114" i="35"/>
  <c r="AH114" i="35"/>
  <c r="AG114" i="35"/>
  <c r="AF114" i="35"/>
  <c r="AE114" i="35"/>
  <c r="AD114" i="35"/>
  <c r="AC114" i="35"/>
  <c r="AB114" i="35"/>
  <c r="AA114" i="35"/>
  <c r="Z114" i="35"/>
  <c r="Y114" i="35"/>
  <c r="X114" i="35"/>
  <c r="W114" i="35"/>
  <c r="V114" i="35"/>
  <c r="AO113" i="35"/>
  <c r="AN113" i="35"/>
  <c r="AM113" i="35"/>
  <c r="AL113" i="35"/>
  <c r="AK113" i="35"/>
  <c r="AJ113" i="35"/>
  <c r="AI113" i="35"/>
  <c r="AH113" i="35"/>
  <c r="AG113" i="35"/>
  <c r="AF113" i="35"/>
  <c r="AE113" i="35"/>
  <c r="AD113" i="35"/>
  <c r="AC113" i="35"/>
  <c r="AB113" i="35"/>
  <c r="AA113" i="35"/>
  <c r="Z113" i="35"/>
  <c r="Y113" i="35"/>
  <c r="X113" i="35"/>
  <c r="W113" i="35"/>
  <c r="V113" i="35"/>
  <c r="AO112" i="35"/>
  <c r="AN112" i="35"/>
  <c r="AM112" i="35"/>
  <c r="AL112" i="35"/>
  <c r="AK112" i="35"/>
  <c r="AJ112" i="35"/>
  <c r="AI112" i="35"/>
  <c r="AH112" i="35"/>
  <c r="AG112" i="35"/>
  <c r="AF112" i="35"/>
  <c r="AE112" i="35"/>
  <c r="AD112" i="35"/>
  <c r="AC112" i="35"/>
  <c r="AB112" i="35"/>
  <c r="AA112" i="35"/>
  <c r="Z112" i="35"/>
  <c r="Y112" i="35"/>
  <c r="X112" i="35"/>
  <c r="V112" i="35"/>
  <c r="AO111" i="35"/>
  <c r="AN111" i="35"/>
  <c r="AM111" i="35"/>
  <c r="AL111" i="35"/>
  <c r="AK111" i="35"/>
  <c r="AJ111" i="35"/>
  <c r="AI111" i="35"/>
  <c r="AH111" i="35"/>
  <c r="AG111" i="35"/>
  <c r="AF111" i="35"/>
  <c r="AE111" i="35"/>
  <c r="AD111" i="35"/>
  <c r="AC111" i="35"/>
  <c r="AB111" i="35"/>
  <c r="AA111" i="35"/>
  <c r="Z111" i="35"/>
  <c r="Y111" i="35"/>
  <c r="X111" i="35"/>
  <c r="V111" i="35"/>
  <c r="AO110" i="35"/>
  <c r="AN110" i="35"/>
  <c r="AM110" i="35"/>
  <c r="AL110" i="35"/>
  <c r="AK110" i="35"/>
  <c r="AJ110" i="35"/>
  <c r="AI110" i="35"/>
  <c r="AH110" i="35"/>
  <c r="AG110" i="35"/>
  <c r="AF110" i="35"/>
  <c r="AE110" i="35"/>
  <c r="AD110" i="35"/>
  <c r="AC110" i="35"/>
  <c r="AB110" i="35"/>
  <c r="AA110" i="35"/>
  <c r="Z110" i="35"/>
  <c r="Y110" i="35"/>
  <c r="X110" i="35"/>
  <c r="V110" i="35"/>
  <c r="AO109" i="35"/>
  <c r="AN109" i="35"/>
  <c r="AM109" i="35"/>
  <c r="AL109" i="35"/>
  <c r="AK109" i="35"/>
  <c r="AJ109" i="35"/>
  <c r="AI109" i="35"/>
  <c r="AH109" i="35"/>
  <c r="AG109" i="35"/>
  <c r="AF109" i="35"/>
  <c r="AE109" i="35"/>
  <c r="AD109" i="35"/>
  <c r="AC109" i="35"/>
  <c r="AB109" i="35"/>
  <c r="AA109" i="35"/>
  <c r="Z109" i="35"/>
  <c r="Y109" i="35"/>
  <c r="X109" i="35"/>
  <c r="V109" i="35"/>
  <c r="AO108" i="35"/>
  <c r="AN108" i="35"/>
  <c r="AM108" i="35"/>
  <c r="AL108" i="35"/>
  <c r="AK108" i="35"/>
  <c r="AJ108" i="35"/>
  <c r="AI108" i="35"/>
  <c r="AH108" i="35"/>
  <c r="AG108" i="35"/>
  <c r="AF108" i="35"/>
  <c r="AE108" i="35"/>
  <c r="AD108" i="35"/>
  <c r="AC108" i="35"/>
  <c r="AB108" i="35"/>
  <c r="AA108" i="35"/>
  <c r="Z108" i="35"/>
  <c r="Y108" i="35"/>
  <c r="X108" i="35"/>
  <c r="V108" i="35"/>
  <c r="AO107" i="35"/>
  <c r="AN107" i="35"/>
  <c r="AM107" i="35"/>
  <c r="AL107" i="35"/>
  <c r="AK107" i="35"/>
  <c r="AJ107" i="35"/>
  <c r="AI107" i="35"/>
  <c r="AH107" i="35"/>
  <c r="AG107" i="35"/>
  <c r="AF107" i="35"/>
  <c r="AE107" i="35"/>
  <c r="AD107" i="35"/>
  <c r="AC107" i="35"/>
  <c r="AB107" i="35"/>
  <c r="AA107" i="35"/>
  <c r="Z107" i="35"/>
  <c r="Y107" i="35"/>
  <c r="X107" i="35"/>
  <c r="V107" i="35"/>
  <c r="AO106" i="35"/>
  <c r="AN106" i="35"/>
  <c r="AM106" i="35"/>
  <c r="AL106" i="35"/>
  <c r="AK106" i="35"/>
  <c r="AJ106" i="35"/>
  <c r="AI106" i="35"/>
  <c r="AH106" i="35"/>
  <c r="AG106" i="35"/>
  <c r="AF106" i="35"/>
  <c r="AE106" i="35"/>
  <c r="AD106" i="35"/>
  <c r="AC106" i="35"/>
  <c r="AB106" i="35"/>
  <c r="AA106" i="35"/>
  <c r="Z106" i="35"/>
  <c r="Y106" i="35"/>
  <c r="X106" i="35"/>
  <c r="V106" i="35"/>
  <c r="AO105" i="35"/>
  <c r="AN105" i="35"/>
  <c r="AM105" i="35"/>
  <c r="AL105" i="35"/>
  <c r="AK105" i="35"/>
  <c r="AJ105" i="35"/>
  <c r="AI105" i="35"/>
  <c r="AH105" i="35"/>
  <c r="AG105" i="35"/>
  <c r="AF105" i="35"/>
  <c r="AE105" i="35"/>
  <c r="AD105" i="35"/>
  <c r="AC105" i="35"/>
  <c r="AB105" i="35"/>
  <c r="AA105" i="35"/>
  <c r="Z105" i="35"/>
  <c r="Y105" i="35"/>
  <c r="X105" i="35"/>
  <c r="V105" i="35"/>
  <c r="AO104" i="35"/>
  <c r="AN104" i="35"/>
  <c r="AM104" i="35"/>
  <c r="AL104" i="35"/>
  <c r="AK104" i="35"/>
  <c r="AJ104" i="35"/>
  <c r="AI104" i="35"/>
  <c r="AH104" i="35"/>
  <c r="AG104" i="35"/>
  <c r="AF104" i="35"/>
  <c r="AE104" i="35"/>
  <c r="AD104" i="35"/>
  <c r="AC104" i="35"/>
  <c r="AB104" i="35"/>
  <c r="AA104" i="35"/>
  <c r="Z104" i="35"/>
  <c r="Y104" i="35"/>
  <c r="X104" i="35"/>
  <c r="W104" i="35"/>
  <c r="V104" i="35"/>
  <c r="AO103" i="35"/>
  <c r="AN103" i="35"/>
  <c r="AM103" i="35"/>
  <c r="AL103" i="35"/>
  <c r="AK103" i="35"/>
  <c r="AJ103" i="35"/>
  <c r="AI103" i="35"/>
  <c r="AH103" i="35"/>
  <c r="AG103" i="35"/>
  <c r="AF103" i="35"/>
  <c r="AE103" i="35"/>
  <c r="AD103" i="35"/>
  <c r="AC103" i="35"/>
  <c r="AB103" i="35"/>
  <c r="AA103" i="35"/>
  <c r="Z103" i="35"/>
  <c r="Y103" i="35"/>
  <c r="X103" i="35"/>
  <c r="V103" i="35"/>
  <c r="AO102" i="35"/>
  <c r="AN102" i="35"/>
  <c r="AM102" i="35"/>
  <c r="AL102" i="35"/>
  <c r="AK102" i="35"/>
  <c r="AJ102" i="35"/>
  <c r="AI102" i="35"/>
  <c r="AH102" i="35"/>
  <c r="AG102" i="35"/>
  <c r="AF102" i="35"/>
  <c r="AE102" i="35"/>
  <c r="AD102" i="35"/>
  <c r="AC102" i="35"/>
  <c r="AB102" i="35"/>
  <c r="AA102" i="35"/>
  <c r="Z102" i="35"/>
  <c r="Y102" i="35"/>
  <c r="X102" i="35"/>
  <c r="W102" i="35"/>
  <c r="V102" i="35"/>
  <c r="AO101" i="35"/>
  <c r="AN101" i="35"/>
  <c r="AM101" i="35"/>
  <c r="AL101" i="35"/>
  <c r="AK101" i="35"/>
  <c r="AJ101" i="35"/>
  <c r="AI101" i="35"/>
  <c r="AH101" i="35"/>
  <c r="AG101" i="35"/>
  <c r="AF101" i="35"/>
  <c r="AE101" i="35"/>
  <c r="AD101" i="35"/>
  <c r="AC101" i="35"/>
  <c r="AB101" i="35"/>
  <c r="AA101" i="35"/>
  <c r="Z101" i="35"/>
  <c r="Y101" i="35"/>
  <c r="X101" i="35"/>
  <c r="V101" i="35"/>
  <c r="AO100" i="35"/>
  <c r="AN100" i="35"/>
  <c r="AM100" i="35"/>
  <c r="AL100" i="35"/>
  <c r="AK100" i="35"/>
  <c r="AJ100" i="35"/>
  <c r="AI100" i="35"/>
  <c r="AH100" i="35"/>
  <c r="AG100" i="35"/>
  <c r="AF100" i="35"/>
  <c r="AE100" i="35"/>
  <c r="AD100" i="35"/>
  <c r="AC100" i="35"/>
  <c r="AB100" i="35"/>
  <c r="AA100" i="35"/>
  <c r="Z100" i="35"/>
  <c r="Y100" i="35"/>
  <c r="X100" i="35"/>
  <c r="V100" i="35"/>
  <c r="AC95" i="35"/>
  <c r="W95" i="35"/>
  <c r="V95" i="35"/>
  <c r="AD94" i="35"/>
  <c r="Y94" i="35"/>
  <c r="AA93" i="35"/>
  <c r="Z93" i="35"/>
  <c r="X93" i="35"/>
  <c r="AC92" i="35"/>
  <c r="X92" i="35"/>
  <c r="W92" i="35"/>
  <c r="V92" i="35"/>
  <c r="AD91" i="35"/>
  <c r="X91" i="35"/>
  <c r="AA90" i="35"/>
  <c r="Z90" i="35"/>
  <c r="X90" i="35"/>
  <c r="AC89" i="35"/>
  <c r="X89" i="35"/>
  <c r="V89" i="35"/>
  <c r="AD88" i="35"/>
  <c r="Y88" i="35"/>
  <c r="AD87" i="35"/>
  <c r="AB87" i="35"/>
  <c r="AA87" i="35"/>
  <c r="Z87" i="35"/>
  <c r="X87" i="35"/>
  <c r="V87" i="35"/>
  <c r="Z82" i="35"/>
  <c r="Y82" i="35"/>
  <c r="X82" i="35"/>
  <c r="W82" i="35"/>
  <c r="V82" i="35"/>
  <c r="Z81" i="35"/>
  <c r="Y81" i="35"/>
  <c r="X81" i="35"/>
  <c r="W81" i="35"/>
  <c r="V81" i="35"/>
  <c r="Z80" i="35"/>
  <c r="Y80" i="35"/>
  <c r="X80" i="35"/>
  <c r="W80" i="35"/>
  <c r="V80" i="35"/>
  <c r="Z79" i="35"/>
  <c r="Y79" i="35"/>
  <c r="X79" i="35"/>
  <c r="W79" i="35"/>
  <c r="V79" i="35"/>
  <c r="Z78" i="35"/>
  <c r="Y78" i="35"/>
  <c r="X78" i="35"/>
  <c r="W78" i="35"/>
  <c r="V78" i="35"/>
  <c r="Z77" i="35"/>
  <c r="Y77" i="35"/>
  <c r="X77" i="35"/>
  <c r="W77" i="35"/>
  <c r="V77" i="35"/>
  <c r="Z76" i="35"/>
  <c r="Y76" i="35"/>
  <c r="X76" i="35"/>
  <c r="W76" i="35"/>
  <c r="V76" i="35"/>
  <c r="Z75" i="35"/>
  <c r="Y75" i="35"/>
  <c r="X75" i="35"/>
  <c r="V75" i="35"/>
  <c r="Z74" i="35"/>
  <c r="Y74" i="35"/>
  <c r="X74" i="35"/>
  <c r="W74" i="35"/>
  <c r="V74" i="35"/>
  <c r="Z73" i="35"/>
  <c r="Y73" i="35"/>
  <c r="X73" i="35"/>
  <c r="W73" i="35"/>
  <c r="V73" i="35"/>
  <c r="Z68" i="35"/>
  <c r="Y68" i="35"/>
  <c r="X68" i="35"/>
  <c r="W68" i="35"/>
  <c r="V68" i="35"/>
  <c r="Z67" i="35"/>
  <c r="Y67" i="35"/>
  <c r="X67" i="35"/>
  <c r="W67" i="35"/>
  <c r="V67" i="35"/>
  <c r="Z66" i="35"/>
  <c r="Y66" i="35"/>
  <c r="X66" i="35"/>
  <c r="V66" i="35"/>
  <c r="Z65" i="35"/>
  <c r="Y65" i="35"/>
  <c r="X65" i="35"/>
  <c r="W65" i="35"/>
  <c r="V65" i="35"/>
  <c r="Z64" i="35"/>
  <c r="Y64" i="35"/>
  <c r="X64" i="35"/>
  <c r="W64" i="35"/>
  <c r="V64" i="35"/>
  <c r="Z63" i="35"/>
  <c r="Y63" i="35"/>
  <c r="X63" i="35"/>
  <c r="W63" i="35"/>
  <c r="V63" i="35"/>
  <c r="Z62" i="35"/>
  <c r="Y62" i="35"/>
  <c r="X62" i="35"/>
  <c r="W62" i="35"/>
  <c r="V62" i="35"/>
  <c r="Z61" i="35"/>
  <c r="Y61" i="35"/>
  <c r="X61" i="35"/>
  <c r="W61" i="35"/>
  <c r="V61" i="35"/>
  <c r="Z60" i="35"/>
  <c r="Y60" i="35"/>
  <c r="X60" i="35"/>
  <c r="W60" i="35"/>
  <c r="V60" i="35"/>
  <c r="Z59" i="35"/>
  <c r="Y59" i="35"/>
  <c r="X59" i="35"/>
  <c r="W59" i="35"/>
  <c r="V59" i="35"/>
  <c r="Z58" i="35"/>
  <c r="Y58" i="35"/>
  <c r="X58" i="35"/>
  <c r="W58" i="35"/>
  <c r="V58" i="35"/>
  <c r="Z57" i="35"/>
  <c r="Y57" i="35"/>
  <c r="X57" i="35"/>
  <c r="W57" i="35"/>
  <c r="V57" i="35"/>
  <c r="Z56" i="35"/>
  <c r="Y56" i="35"/>
  <c r="X56" i="35"/>
  <c r="W56" i="35"/>
  <c r="V56" i="35"/>
  <c r="AC47" i="35"/>
  <c r="AC46" i="35"/>
  <c r="AE45" i="35"/>
  <c r="AC45" i="35"/>
  <c r="B45" i="35"/>
  <c r="AP44" i="35"/>
  <c r="B94" i="35" s="1"/>
  <c r="AP43" i="35"/>
  <c r="B91" i="35" s="1"/>
  <c r="AP42" i="35"/>
  <c r="B88" i="35" s="1"/>
  <c r="AP41" i="35"/>
  <c r="B85" i="35" s="1"/>
  <c r="AP40" i="35"/>
  <c r="B82" i="35" s="1"/>
  <c r="B38" i="35"/>
  <c r="AK37" i="35"/>
  <c r="AU59" i="35" s="1"/>
  <c r="AL36" i="35"/>
  <c r="AK36" i="35"/>
  <c r="AU58" i="35" s="1"/>
  <c r="X36" i="35"/>
  <c r="AL35" i="35"/>
  <c r="AK35" i="35"/>
  <c r="AU57" i="35" s="1"/>
  <c r="X35" i="35"/>
  <c r="Q35" i="35"/>
  <c r="P35" i="35"/>
  <c r="O35" i="35" s="1"/>
  <c r="E18" i="35" s="1"/>
  <c r="AL34" i="35"/>
  <c r="AK34" i="35"/>
  <c r="AU56" i="35" s="1"/>
  <c r="X34" i="35"/>
  <c r="AL33" i="35"/>
  <c r="AK33" i="35"/>
  <c r="AU55" i="35" s="1"/>
  <c r="X33" i="35"/>
  <c r="AL32" i="35"/>
  <c r="AK32" i="35"/>
  <c r="AU54" i="35" s="1"/>
  <c r="X32" i="35"/>
  <c r="AL31" i="35"/>
  <c r="AK31" i="35"/>
  <c r="AU53" i="35" s="1"/>
  <c r="AG31" i="35"/>
  <c r="X31" i="35"/>
  <c r="AQ30" i="35"/>
  <c r="AL30" i="35"/>
  <c r="AK30" i="35"/>
  <c r="AU52" i="35" s="1"/>
  <c r="X30" i="35"/>
  <c r="B30" i="35"/>
  <c r="AL29" i="35"/>
  <c r="AK29" i="35"/>
  <c r="AU51" i="35" s="1"/>
  <c r="X29" i="35"/>
  <c r="X28" i="35"/>
  <c r="AQ27" i="35"/>
  <c r="B27" i="35"/>
  <c r="P25" i="35"/>
  <c r="I24" i="35" s="1"/>
  <c r="P24" i="35"/>
  <c r="G20" i="35" s="1"/>
  <c r="G24" i="35"/>
  <c r="E24" i="35"/>
  <c r="C24" i="35"/>
  <c r="AB23" i="35"/>
  <c r="AA23" i="35"/>
  <c r="Z23" i="35"/>
  <c r="AC23" i="35" s="1"/>
  <c r="Y23" i="35"/>
  <c r="I23" i="35"/>
  <c r="G23" i="35"/>
  <c r="E23" i="35"/>
  <c r="C23" i="35"/>
  <c r="AB22" i="35"/>
  <c r="AA22" i="35"/>
  <c r="Z22" i="35"/>
  <c r="Y22" i="35"/>
  <c r="I22" i="35"/>
  <c r="G22" i="35"/>
  <c r="E22" i="35"/>
  <c r="C22" i="35"/>
  <c r="I21" i="35"/>
  <c r="G21" i="35"/>
  <c r="E21" i="35"/>
  <c r="C21" i="35"/>
  <c r="AQ20" i="35"/>
  <c r="B72" i="35" s="1"/>
  <c r="AQ36" i="35" s="1"/>
  <c r="AI20" i="35"/>
  <c r="I20" i="35"/>
  <c r="AQ19" i="35"/>
  <c r="B69" i="35" s="1"/>
  <c r="AQ35" i="35" s="1"/>
  <c r="AI19" i="35"/>
  <c r="AQ18" i="35"/>
  <c r="B66" i="35" s="1"/>
  <c r="AQ34" i="35" s="1"/>
  <c r="AI18" i="35"/>
  <c r="AJ18" i="35" s="1"/>
  <c r="I18" i="35"/>
  <c r="AI17" i="35"/>
  <c r="AI16" i="35"/>
  <c r="AI15" i="35"/>
  <c r="AJ15" i="35" s="1"/>
  <c r="AQ14" i="35"/>
  <c r="B63" i="35" s="1"/>
  <c r="AQ33" i="35" s="1"/>
  <c r="AI14" i="35"/>
  <c r="I14" i="35"/>
  <c r="AQ13" i="35"/>
  <c r="AI13" i="35"/>
  <c r="AQ12" i="35"/>
  <c r="B57" i="35" s="1"/>
  <c r="AQ31" i="35" s="1"/>
  <c r="AI12" i="35"/>
  <c r="AJ12" i="35" s="1"/>
  <c r="AI11" i="35"/>
  <c r="AB11" i="35"/>
  <c r="AA11" i="35"/>
  <c r="AC11" i="35" s="1"/>
  <c r="Z11" i="35"/>
  <c r="Y11" i="35"/>
  <c r="AI10" i="35"/>
  <c r="AB10" i="35"/>
  <c r="AA10" i="35"/>
  <c r="Z10" i="35"/>
  <c r="AC10" i="35" s="1"/>
  <c r="Y10" i="35"/>
  <c r="AI9" i="35"/>
  <c r="AJ9" i="35" s="1"/>
  <c r="AC9" i="35"/>
  <c r="AB9" i="35"/>
  <c r="AA9" i="35"/>
  <c r="Z9" i="35"/>
  <c r="Y9" i="35"/>
  <c r="AQ8" i="35"/>
  <c r="B54" i="35" s="1"/>
  <c r="AB8" i="35"/>
  <c r="AA8" i="35"/>
  <c r="Z8" i="35"/>
  <c r="AC8" i="35" s="1"/>
  <c r="Y8" i="35"/>
  <c r="AQ7" i="35"/>
  <c r="B51" i="35" s="1"/>
  <c r="AQ29" i="35" s="1"/>
  <c r="AQ6" i="35"/>
  <c r="B48" i="35" s="1"/>
  <c r="J46" i="38" l="1"/>
  <c r="Z210" i="35"/>
  <c r="AE210" i="35" s="1"/>
  <c r="AE90" i="35"/>
  <c r="V49" i="35"/>
  <c r="Z202" i="35"/>
  <c r="AE202" i="35" s="1"/>
  <c r="AQ58" i="35"/>
  <c r="AE88" i="35"/>
  <c r="AE87" i="35"/>
  <c r="Z194" i="35"/>
  <c r="AE194" i="35" s="1"/>
  <c r="Z206" i="35"/>
  <c r="AE206" i="35" s="1"/>
  <c r="AU9" i="40"/>
  <c r="AU11" i="40" s="1"/>
  <c r="AV12" i="40" s="1"/>
  <c r="AS9" i="40"/>
  <c r="AS11" i="40" s="1"/>
  <c r="D49" i="40"/>
  <c r="E48" i="40"/>
  <c r="E49" i="40"/>
  <c r="E52" i="40"/>
  <c r="E51" i="40"/>
  <c r="D52" i="40"/>
  <c r="AV35" i="40"/>
  <c r="AT35" i="40"/>
  <c r="AV36" i="40"/>
  <c r="AU30" i="40"/>
  <c r="AS32" i="40"/>
  <c r="AU35" i="40"/>
  <c r="AS33" i="40"/>
  <c r="AT32" i="40"/>
  <c r="AS30" i="40"/>
  <c r="AV32" i="40"/>
  <c r="AU36" i="40"/>
  <c r="AV33" i="40"/>
  <c r="AV30" i="40"/>
  <c r="AS35" i="40"/>
  <c r="AT33" i="40"/>
  <c r="AT30" i="40"/>
  <c r="AU33" i="40"/>
  <c r="AT36" i="40"/>
  <c r="AS36" i="40"/>
  <c r="AU32" i="40"/>
  <c r="AU28" i="40"/>
  <c r="AV28" i="40"/>
  <c r="AT28" i="40"/>
  <c r="AS28" i="40"/>
  <c r="E55" i="40"/>
  <c r="D55" i="40"/>
  <c r="E54" i="40"/>
  <c r="AV13" i="40"/>
  <c r="AT9" i="40"/>
  <c r="AT11" i="40" s="1"/>
  <c r="AU9" i="39"/>
  <c r="AU11" i="39" s="1"/>
  <c r="AV13" i="39" s="1"/>
  <c r="AS9" i="39"/>
  <c r="AS11" i="39" s="1"/>
  <c r="D28" i="39"/>
  <c r="E28" i="39"/>
  <c r="D49" i="39"/>
  <c r="E48" i="39"/>
  <c r="E49" i="39"/>
  <c r="E52" i="39"/>
  <c r="E51" i="39"/>
  <c r="D52" i="39"/>
  <c r="AV32" i="39"/>
  <c r="AT32" i="39"/>
  <c r="AS32" i="39"/>
  <c r="AT35" i="39"/>
  <c r="AV35" i="39"/>
  <c r="AU30" i="39"/>
  <c r="AU33" i="39"/>
  <c r="AS35" i="39"/>
  <c r="AS30" i="39"/>
  <c r="AT33" i="39"/>
  <c r="AV30" i="39"/>
  <c r="AS33" i="39"/>
  <c r="AU32" i="39"/>
  <c r="AU35" i="39"/>
  <c r="AT30" i="39"/>
  <c r="AV33" i="39"/>
  <c r="AT28" i="39"/>
  <c r="AV28" i="39"/>
  <c r="AS36" i="39"/>
  <c r="AU36" i="39"/>
  <c r="AV36" i="39"/>
  <c r="AT36" i="39"/>
  <c r="AU28" i="39"/>
  <c r="AS28" i="39"/>
  <c r="AT9" i="39"/>
  <c r="AT11" i="39" s="1"/>
  <c r="E55" i="39"/>
  <c r="E54" i="39"/>
  <c r="D55" i="39"/>
  <c r="J46" i="37"/>
  <c r="E55" i="37" s="1"/>
  <c r="AS9" i="38"/>
  <c r="AS11" i="38" s="1"/>
  <c r="AU9" i="38"/>
  <c r="AU11" i="38" s="1"/>
  <c r="AV13" i="38" s="1"/>
  <c r="D49" i="38"/>
  <c r="E48" i="38"/>
  <c r="E49" i="38"/>
  <c r="E51" i="38"/>
  <c r="E52" i="38"/>
  <c r="D52" i="38"/>
  <c r="AV33" i="38"/>
  <c r="AT33" i="38"/>
  <c r="AS33" i="38"/>
  <c r="AU33" i="38"/>
  <c r="AU30" i="38"/>
  <c r="AU35" i="38"/>
  <c r="AS28" i="38"/>
  <c r="AV32" i="38"/>
  <c r="AT36" i="38"/>
  <c r="AT30" i="38"/>
  <c r="AT35" i="38"/>
  <c r="AU32" i="38"/>
  <c r="AS36" i="38"/>
  <c r="AV30" i="38"/>
  <c r="AU28" i="38"/>
  <c r="AV28" i="38"/>
  <c r="AT32" i="38"/>
  <c r="AV35" i="38"/>
  <c r="AS35" i="38"/>
  <c r="AT28" i="38"/>
  <c r="AS32" i="38"/>
  <c r="AV36" i="38"/>
  <c r="AS30" i="38"/>
  <c r="AU36" i="38"/>
  <c r="E54" i="38"/>
  <c r="D55" i="38"/>
  <c r="E55" i="38"/>
  <c r="AT9" i="38"/>
  <c r="AT11" i="38" s="1"/>
  <c r="AS8" i="37"/>
  <c r="AS9" i="37" s="1"/>
  <c r="AS11" i="37" s="1"/>
  <c r="AU8" i="37"/>
  <c r="AU9" i="37" s="1"/>
  <c r="AU11" i="37" s="1"/>
  <c r="E52" i="37"/>
  <c r="E51" i="37"/>
  <c r="D52" i="37"/>
  <c r="AS32" i="37"/>
  <c r="AV32" i="37"/>
  <c r="AT32" i="37"/>
  <c r="AV33" i="37"/>
  <c r="AU35" i="37"/>
  <c r="AT33" i="37"/>
  <c r="AT35" i="37"/>
  <c r="AU33" i="37"/>
  <c r="AU32" i="37"/>
  <c r="AV35" i="37"/>
  <c r="AV30" i="37"/>
  <c r="AU30" i="37"/>
  <c r="AS33" i="37"/>
  <c r="AS30" i="37"/>
  <c r="AS35" i="37"/>
  <c r="AT30" i="37"/>
  <c r="AS28" i="37"/>
  <c r="AV36" i="37"/>
  <c r="AT36" i="37"/>
  <c r="AS36" i="37"/>
  <c r="AU28" i="37"/>
  <c r="AV28" i="37"/>
  <c r="AT28" i="37"/>
  <c r="AU36" i="37"/>
  <c r="AT9" i="37"/>
  <c r="AT11" i="37" s="1"/>
  <c r="D49" i="37"/>
  <c r="E49" i="37"/>
  <c r="E48" i="37"/>
  <c r="E54" i="37"/>
  <c r="AD22" i="35"/>
  <c r="AB39" i="35" s="1"/>
  <c r="AC32" i="35" s="1"/>
  <c r="Q96" i="35" s="1"/>
  <c r="Z198" i="35"/>
  <c r="AE198" i="35" s="1"/>
  <c r="X197" i="35"/>
  <c r="AC197" i="35" s="1"/>
  <c r="W212" i="35"/>
  <c r="AB212" i="35" s="1"/>
  <c r="X213" i="35"/>
  <c r="AC213" i="35" s="1"/>
  <c r="AE46" i="35"/>
  <c r="J38" i="35" s="1"/>
  <c r="X209" i="35"/>
  <c r="AC209" i="35" s="1"/>
  <c r="AE95" i="35"/>
  <c r="Y211" i="35"/>
  <c r="AD211" i="35" s="1"/>
  <c r="AC22" i="35"/>
  <c r="X189" i="35"/>
  <c r="AC189" i="35" s="1"/>
  <c r="X205" i="35"/>
  <c r="AC205" i="35" s="1"/>
  <c r="Z214" i="35"/>
  <c r="AE214" i="35" s="1"/>
  <c r="E28" i="36"/>
  <c r="D28" i="36"/>
  <c r="I46" i="36"/>
  <c r="I45" i="36" s="1"/>
  <c r="D45" i="36"/>
  <c r="AV7" i="36"/>
  <c r="AV8" i="36"/>
  <c r="AV6" i="36"/>
  <c r="AD8" i="35"/>
  <c r="AB36" i="35" s="1"/>
  <c r="AC31" i="35" s="1"/>
  <c r="AT5" i="35" s="1"/>
  <c r="E38" i="35"/>
  <c r="AT34" i="35"/>
  <c r="AL12" i="35"/>
  <c r="AK12" i="35" s="1"/>
  <c r="AT26" i="35" s="1"/>
  <c r="AL9" i="35"/>
  <c r="AL18" i="35"/>
  <c r="AK18" i="35" s="1"/>
  <c r="AV26" i="35" s="1"/>
  <c r="AL15" i="35"/>
  <c r="AK15" i="35" s="1"/>
  <c r="AU26" i="35" s="1"/>
  <c r="AK9" i="35"/>
  <c r="AS26" i="35" s="1"/>
  <c r="E45" i="35"/>
  <c r="E46" i="35"/>
  <c r="D46" i="35"/>
  <c r="AU34" i="35"/>
  <c r="AQ28" i="35"/>
  <c r="AS34" i="35"/>
  <c r="AS31" i="35"/>
  <c r="AT31" i="35"/>
  <c r="B60" i="35"/>
  <c r="AQ32" i="35" s="1"/>
  <c r="AE89" i="35"/>
  <c r="Z46" i="35" s="1"/>
  <c r="AE91" i="35"/>
  <c r="AE92" i="35"/>
  <c r="AE94" i="35"/>
  <c r="V47" i="35"/>
  <c r="V48" i="35" s="1"/>
  <c r="V51" i="35" s="1"/>
  <c r="J27" i="35" s="1"/>
  <c r="Z190" i="35"/>
  <c r="AE190" i="35" s="1"/>
  <c r="X193" i="35"/>
  <c r="AC193" i="35" s="1"/>
  <c r="X201" i="35"/>
  <c r="AC201" i="35" s="1"/>
  <c r="AU31" i="35"/>
  <c r="AV34" i="35"/>
  <c r="AV31" i="35"/>
  <c r="Y188" i="35"/>
  <c r="AD188" i="35" s="1"/>
  <c r="W189" i="35"/>
  <c r="AB189" i="35" s="1"/>
  <c r="Y192" i="35"/>
  <c r="AD192" i="35" s="1"/>
  <c r="W193" i="35"/>
  <c r="AB193" i="35" s="1"/>
  <c r="Y196" i="35"/>
  <c r="AD196" i="35" s="1"/>
  <c r="W197" i="35"/>
  <c r="AB197" i="35" s="1"/>
  <c r="Y200" i="35"/>
  <c r="AD200" i="35" s="1"/>
  <c r="Y204" i="35"/>
  <c r="AD204" i="35" s="1"/>
  <c r="W205" i="35"/>
  <c r="AB205" i="35" s="1"/>
  <c r="Y208" i="35"/>
  <c r="AD208" i="35" s="1"/>
  <c r="W209" i="35"/>
  <c r="AB209" i="35" s="1"/>
  <c r="Y212" i="35"/>
  <c r="AD212" i="35" s="1"/>
  <c r="W213" i="35"/>
  <c r="AB213" i="35" s="1"/>
  <c r="AE93" i="35"/>
  <c r="X188" i="35"/>
  <c r="AC188" i="35" s="1"/>
  <c r="Z191" i="35"/>
  <c r="AE191" i="35" s="1"/>
  <c r="X192" i="35"/>
  <c r="AC192" i="35" s="1"/>
  <c r="Z195" i="35"/>
  <c r="AE195" i="35" s="1"/>
  <c r="X196" i="35"/>
  <c r="AC196" i="35" s="1"/>
  <c r="Z199" i="35"/>
  <c r="AE199" i="35" s="1"/>
  <c r="X200" i="35"/>
  <c r="AC200" i="35" s="1"/>
  <c r="Z203" i="35"/>
  <c r="AE203" i="35" s="1"/>
  <c r="X204" i="35"/>
  <c r="AC204" i="35" s="1"/>
  <c r="Z207" i="35"/>
  <c r="AE207" i="35" s="1"/>
  <c r="X208" i="35"/>
  <c r="AC208" i="35" s="1"/>
  <c r="Z211" i="35"/>
  <c r="AE211" i="35" s="1"/>
  <c r="X212" i="35"/>
  <c r="AC212" i="35" s="1"/>
  <c r="W190" i="35"/>
  <c r="AB190" i="35" s="1"/>
  <c r="Y190" i="35"/>
  <c r="AD190" i="35" s="1"/>
  <c r="X190" i="35"/>
  <c r="AC190" i="35" s="1"/>
  <c r="Y191" i="35"/>
  <c r="AD191" i="35" s="1"/>
  <c r="W194" i="35"/>
  <c r="AB194" i="35" s="1"/>
  <c r="Y194" i="35"/>
  <c r="AD194" i="35" s="1"/>
  <c r="X194" i="35"/>
  <c r="AC194" i="35" s="1"/>
  <c r="Y195" i="35"/>
  <c r="AD195" i="35" s="1"/>
  <c r="W198" i="35"/>
  <c r="AB198" i="35" s="1"/>
  <c r="Y198" i="35"/>
  <c r="AD198" i="35" s="1"/>
  <c r="X198" i="35"/>
  <c r="AC198" i="35" s="1"/>
  <c r="Y199" i="35"/>
  <c r="AD199" i="35" s="1"/>
  <c r="Y202" i="35"/>
  <c r="AD202" i="35" s="1"/>
  <c r="X202" i="35"/>
  <c r="AC202" i="35" s="1"/>
  <c r="Y203" i="35"/>
  <c r="AD203" i="35" s="1"/>
  <c r="W206" i="35"/>
  <c r="AB206" i="35" s="1"/>
  <c r="Y206" i="35"/>
  <c r="AD206" i="35" s="1"/>
  <c r="X206" i="35"/>
  <c r="AC206" i="35" s="1"/>
  <c r="Y207" i="35"/>
  <c r="AD207" i="35" s="1"/>
  <c r="W210" i="35"/>
  <c r="AB210" i="35" s="1"/>
  <c r="Y210" i="35"/>
  <c r="AD210" i="35" s="1"/>
  <c r="X210" i="35"/>
  <c r="AC210" i="35" s="1"/>
  <c r="W214" i="35"/>
  <c r="AB214" i="35" s="1"/>
  <c r="Y214" i="35"/>
  <c r="AD214" i="35" s="1"/>
  <c r="X214" i="35"/>
  <c r="AC214" i="35" s="1"/>
  <c r="Z188" i="35"/>
  <c r="AE188" i="35" s="1"/>
  <c r="Y189" i="35"/>
  <c r="AD189" i="35" s="1"/>
  <c r="W191" i="35"/>
  <c r="AB191" i="35" s="1"/>
  <c r="Z192" i="35"/>
  <c r="AE192" i="35" s="1"/>
  <c r="Y193" i="35"/>
  <c r="AD193" i="35" s="1"/>
  <c r="W195" i="35"/>
  <c r="AB195" i="35" s="1"/>
  <c r="Z196" i="35"/>
  <c r="AE196" i="35" s="1"/>
  <c r="Y197" i="35"/>
  <c r="AD197" i="35" s="1"/>
  <c r="W199" i="35"/>
  <c r="AB199" i="35" s="1"/>
  <c r="Z200" i="35"/>
  <c r="AE200" i="35" s="1"/>
  <c r="Y201" i="35"/>
  <c r="AD201" i="35" s="1"/>
  <c r="Z204" i="35"/>
  <c r="AE204" i="35" s="1"/>
  <c r="Y205" i="35"/>
  <c r="AD205" i="35" s="1"/>
  <c r="W207" i="35"/>
  <c r="AB207" i="35" s="1"/>
  <c r="Z208" i="35"/>
  <c r="AE208" i="35" s="1"/>
  <c r="Y209" i="35"/>
  <c r="AD209" i="35" s="1"/>
  <c r="W211" i="35"/>
  <c r="AB211" i="35" s="1"/>
  <c r="Z212" i="35"/>
  <c r="AE212" i="35" s="1"/>
  <c r="Y213" i="35"/>
  <c r="AD213" i="35" s="1"/>
  <c r="W188" i="35"/>
  <c r="AB188" i="35" s="1"/>
  <c r="Z189" i="35"/>
  <c r="AE189" i="35" s="1"/>
  <c r="X191" i="35"/>
  <c r="AC191" i="35" s="1"/>
  <c r="W192" i="35"/>
  <c r="AB192" i="35" s="1"/>
  <c r="Z193" i="35"/>
  <c r="AE193" i="35" s="1"/>
  <c r="X195" i="35"/>
  <c r="AC195" i="35" s="1"/>
  <c r="W196" i="35"/>
  <c r="AB196" i="35" s="1"/>
  <c r="Z197" i="35"/>
  <c r="AE197" i="35" s="1"/>
  <c r="X199" i="35"/>
  <c r="AC199" i="35" s="1"/>
  <c r="W200" i="35"/>
  <c r="AB200" i="35" s="1"/>
  <c r="Z201" i="35"/>
  <c r="AE201" i="35" s="1"/>
  <c r="X203" i="35"/>
  <c r="AC203" i="35" s="1"/>
  <c r="Z205" i="35"/>
  <c r="AE205" i="35" s="1"/>
  <c r="X207" i="35"/>
  <c r="AC207" i="35" s="1"/>
  <c r="W208" i="35"/>
  <c r="AB208" i="35" s="1"/>
  <c r="Z209" i="35"/>
  <c r="AE209" i="35" s="1"/>
  <c r="X211" i="35"/>
  <c r="AC211" i="35" s="1"/>
  <c r="Z213" i="35"/>
  <c r="AE213" i="35" s="1"/>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17" i="7"/>
  <c r="AA215" i="7"/>
  <c r="V213" i="7"/>
  <c r="V214" i="7"/>
  <c r="V209" i="7"/>
  <c r="V210" i="7"/>
  <c r="V211" i="7"/>
  <c r="V212" i="7"/>
  <c r="V202" i="7"/>
  <c r="V203" i="7"/>
  <c r="V204" i="7"/>
  <c r="V205" i="7"/>
  <c r="V206" i="7"/>
  <c r="V207" i="7"/>
  <c r="V208" i="7"/>
  <c r="V189" i="7"/>
  <c r="V190" i="7"/>
  <c r="V191" i="7"/>
  <c r="V192" i="7"/>
  <c r="V193" i="7"/>
  <c r="V194" i="7"/>
  <c r="V195" i="7"/>
  <c r="V196" i="7"/>
  <c r="V197" i="7"/>
  <c r="V198" i="7"/>
  <c r="V199" i="7"/>
  <c r="V200" i="7"/>
  <c r="V201" i="7"/>
  <c r="V188" i="7"/>
  <c r="D55" i="37" l="1"/>
  <c r="AV14" i="38"/>
  <c r="AV14" i="40"/>
  <c r="J49" i="40" s="1"/>
  <c r="AT14" i="40"/>
  <c r="I49" i="40"/>
  <c r="D48" i="40"/>
  <c r="J47" i="40"/>
  <c r="AS12" i="40"/>
  <c r="AU12" i="40"/>
  <c r="AT12" i="40"/>
  <c r="D51" i="40"/>
  <c r="J48" i="40"/>
  <c r="AS13" i="40"/>
  <c r="AT13" i="40"/>
  <c r="AU13" i="40"/>
  <c r="I55" i="40"/>
  <c r="I54" i="40" s="1"/>
  <c r="D54" i="40"/>
  <c r="AV14" i="39"/>
  <c r="J49" i="39" s="1"/>
  <c r="AV12" i="39"/>
  <c r="J47" i="39" s="1"/>
  <c r="I55" i="39"/>
  <c r="I54" i="39" s="1"/>
  <c r="D54" i="39"/>
  <c r="D51" i="39"/>
  <c r="AS14" i="39"/>
  <c r="AU14" i="39"/>
  <c r="J48" i="39"/>
  <c r="AU13" i="39"/>
  <c r="AT13" i="39"/>
  <c r="AS13" i="39"/>
  <c r="D48" i="39"/>
  <c r="I49" i="39"/>
  <c r="I48" i="39" s="1"/>
  <c r="AV12" i="38"/>
  <c r="AU12" i="38" s="1"/>
  <c r="J49" i="38"/>
  <c r="AS14" i="38"/>
  <c r="AU14" i="38"/>
  <c r="AT14" i="38"/>
  <c r="D48" i="38"/>
  <c r="I49" i="38"/>
  <c r="D54" i="38"/>
  <c r="I55" i="38"/>
  <c r="I54" i="38" s="1"/>
  <c r="J48" i="38"/>
  <c r="AT13" i="38"/>
  <c r="AS13" i="38"/>
  <c r="AU13" i="38"/>
  <c r="D51" i="38"/>
  <c r="AV14" i="37"/>
  <c r="J49" i="37" s="1"/>
  <c r="AV13" i="37"/>
  <c r="J48" i="37" s="1"/>
  <c r="AV12" i="37"/>
  <c r="AU12" i="37" s="1"/>
  <c r="I55" i="37"/>
  <c r="I54" i="37" s="1"/>
  <c r="D54" i="37"/>
  <c r="D51" i="37"/>
  <c r="D48" i="37"/>
  <c r="I49" i="37"/>
  <c r="J39" i="35"/>
  <c r="D38" i="35"/>
  <c r="J44" i="36"/>
  <c r="AS6" i="36"/>
  <c r="AU6" i="36"/>
  <c r="AT6" i="36"/>
  <c r="J45" i="36"/>
  <c r="AS7" i="36"/>
  <c r="AT7" i="36"/>
  <c r="AU7" i="36"/>
  <c r="J46" i="36"/>
  <c r="AT8" i="36"/>
  <c r="AU8" i="36"/>
  <c r="AS8" i="36"/>
  <c r="AU5" i="35"/>
  <c r="P96" i="35"/>
  <c r="J28" i="35"/>
  <c r="E27" i="35"/>
  <c r="D27" i="35"/>
  <c r="I27" i="35" s="1"/>
  <c r="O111" i="35"/>
  <c r="AD215" i="35"/>
  <c r="AV8" i="35"/>
  <c r="AV6" i="35"/>
  <c r="AV7" i="35"/>
  <c r="Q111" i="35"/>
  <c r="N111" i="35"/>
  <c r="AC215" i="35"/>
  <c r="I46" i="35"/>
  <c r="I45" i="35" s="1"/>
  <c r="D45" i="35"/>
  <c r="P111" i="35"/>
  <c r="AE215" i="35"/>
  <c r="O96" i="35"/>
  <c r="AS5" i="35"/>
  <c r="AT14" i="39" l="1"/>
  <c r="AT14" i="37"/>
  <c r="AS12" i="38"/>
  <c r="AS15" i="38" s="1"/>
  <c r="AS17" i="38" s="1"/>
  <c r="AV18" i="38" s="1"/>
  <c r="AT12" i="38"/>
  <c r="J47" i="38"/>
  <c r="AU13" i="37"/>
  <c r="AT12" i="39"/>
  <c r="AT15" i="39" s="1"/>
  <c r="AT17" i="39" s="1"/>
  <c r="AU14" i="40"/>
  <c r="AU15" i="40" s="1"/>
  <c r="AU17" i="40" s="1"/>
  <c r="AS14" i="40"/>
  <c r="AS15" i="40" s="1"/>
  <c r="AS17" i="40" s="1"/>
  <c r="AT15" i="40"/>
  <c r="AT17" i="40" s="1"/>
  <c r="I48" i="40"/>
  <c r="D61" i="40"/>
  <c r="E60" i="40"/>
  <c r="E61" i="40"/>
  <c r="E57" i="40"/>
  <c r="D58" i="40"/>
  <c r="E58" i="40"/>
  <c r="E63" i="40"/>
  <c r="E64" i="40"/>
  <c r="D64" i="40"/>
  <c r="AU12" i="39"/>
  <c r="AU15" i="39" s="1"/>
  <c r="AU17" i="39" s="1"/>
  <c r="AS12" i="39"/>
  <c r="AS15" i="39" s="1"/>
  <c r="AS17" i="39" s="1"/>
  <c r="E63" i="39"/>
  <c r="E64" i="39"/>
  <c r="D64" i="39"/>
  <c r="D61" i="39"/>
  <c r="E61" i="39"/>
  <c r="E60" i="39"/>
  <c r="E57" i="39"/>
  <c r="D58" i="39"/>
  <c r="E58" i="39"/>
  <c r="AU14" i="37"/>
  <c r="AS14" i="37"/>
  <c r="AT15" i="38"/>
  <c r="AT17" i="38" s="1"/>
  <c r="E61" i="38"/>
  <c r="D61" i="38"/>
  <c r="E60" i="38"/>
  <c r="I48" i="38"/>
  <c r="D58" i="38"/>
  <c r="E57" i="38"/>
  <c r="E58" i="38"/>
  <c r="AU15" i="38"/>
  <c r="AU17" i="38" s="1"/>
  <c r="E64" i="38"/>
  <c r="D64" i="38"/>
  <c r="E63" i="38"/>
  <c r="AT13" i="37"/>
  <c r="J47" i="37"/>
  <c r="D58" i="37" s="1"/>
  <c r="AT12" i="37"/>
  <c r="AS12" i="37"/>
  <c r="AS13" i="37"/>
  <c r="E63" i="37"/>
  <c r="E64" i="37"/>
  <c r="D64" i="37"/>
  <c r="D61" i="37"/>
  <c r="E60" i="37"/>
  <c r="E61" i="37"/>
  <c r="I48" i="37"/>
  <c r="D39" i="35"/>
  <c r="E39" i="35"/>
  <c r="AT9" i="36"/>
  <c r="AT11" i="36" s="1"/>
  <c r="AU9" i="36"/>
  <c r="AU11" i="36" s="1"/>
  <c r="AS9" i="36"/>
  <c r="AS11" i="36" s="1"/>
  <c r="E55" i="36"/>
  <c r="E54" i="36"/>
  <c r="D55" i="36"/>
  <c r="E52" i="36"/>
  <c r="D52" i="36"/>
  <c r="E51" i="36"/>
  <c r="E48" i="36"/>
  <c r="E49" i="36"/>
  <c r="D49" i="36"/>
  <c r="J46" i="35"/>
  <c r="AU8" i="35"/>
  <c r="AT8" i="35"/>
  <c r="AS8" i="35"/>
  <c r="J45" i="35"/>
  <c r="AU7" i="35"/>
  <c r="AS7" i="35"/>
  <c r="AT7" i="35"/>
  <c r="I28" i="35"/>
  <c r="AU6" i="35"/>
  <c r="J44" i="35"/>
  <c r="AS6" i="35"/>
  <c r="AT6" i="35"/>
  <c r="E28" i="35"/>
  <c r="D28" i="35"/>
  <c r="I18" i="7"/>
  <c r="AT15" i="37" l="1"/>
  <c r="AT17" i="37" s="1"/>
  <c r="AU15" i="37"/>
  <c r="AU17" i="37" s="1"/>
  <c r="AV20" i="40"/>
  <c r="AV19" i="40"/>
  <c r="AV18" i="40"/>
  <c r="D57" i="40"/>
  <c r="D63" i="40"/>
  <c r="I64" i="40"/>
  <c r="I63" i="40" s="1"/>
  <c r="I61" i="40"/>
  <c r="I60" i="40" s="1"/>
  <c r="D60" i="40"/>
  <c r="AV20" i="39"/>
  <c r="AV19" i="39"/>
  <c r="AV18" i="39"/>
  <c r="I61" i="39"/>
  <c r="I60" i="39" s="1"/>
  <c r="D60" i="39"/>
  <c r="D57" i="39"/>
  <c r="D63" i="39"/>
  <c r="I64" i="39"/>
  <c r="I63" i="39" s="1"/>
  <c r="AS15" i="37"/>
  <c r="AS17" i="37" s="1"/>
  <c r="AV18" i="37" s="1"/>
  <c r="J50" i="37" s="1"/>
  <c r="AV19" i="38"/>
  <c r="J51" i="38" s="1"/>
  <c r="AV20" i="38"/>
  <c r="J52" i="38" s="1"/>
  <c r="D63" i="38"/>
  <c r="I64" i="38"/>
  <c r="I63" i="38" s="1"/>
  <c r="I61" i="38"/>
  <c r="I60" i="38" s="1"/>
  <c r="D60" i="38"/>
  <c r="J50" i="38"/>
  <c r="AS18" i="38"/>
  <c r="AU18" i="38"/>
  <c r="AT18" i="38"/>
  <c r="D57" i="38"/>
  <c r="AS19" i="38"/>
  <c r="E58" i="37"/>
  <c r="E57" i="37"/>
  <c r="D57" i="37"/>
  <c r="D63" i="37"/>
  <c r="I64" i="37"/>
  <c r="I63" i="37" s="1"/>
  <c r="I61" i="37"/>
  <c r="I60" i="37" s="1"/>
  <c r="D60" i="37"/>
  <c r="D48" i="36"/>
  <c r="D51" i="36"/>
  <c r="I55" i="36"/>
  <c r="I54" i="36" s="1"/>
  <c r="D54" i="36"/>
  <c r="AV13" i="36"/>
  <c r="AV14" i="36"/>
  <c r="AV12" i="36"/>
  <c r="AS9" i="35"/>
  <c r="AS11" i="35" s="1"/>
  <c r="AT9" i="35"/>
  <c r="AT11" i="35" s="1"/>
  <c r="AU9" i="35"/>
  <c r="AU11" i="35" s="1"/>
  <c r="E49" i="35"/>
  <c r="D49" i="35"/>
  <c r="E48" i="35"/>
  <c r="E52" i="35"/>
  <c r="D52" i="35"/>
  <c r="E51" i="35"/>
  <c r="E54" i="35"/>
  <c r="E55" i="35"/>
  <c r="D55" i="35"/>
  <c r="D11" i="6"/>
  <c r="W108" i="49" l="1"/>
  <c r="W108" i="48"/>
  <c r="W108" i="47"/>
  <c r="W108" i="52"/>
  <c r="W108" i="50"/>
  <c r="W108" i="53"/>
  <c r="W108" i="51"/>
  <c r="W108" i="45"/>
  <c r="W108" i="43"/>
  <c r="W108" i="44"/>
  <c r="W108" i="42"/>
  <c r="W108" i="39"/>
  <c r="W108" i="37"/>
  <c r="W108" i="40"/>
  <c r="W108" i="38"/>
  <c r="AS18" i="37"/>
  <c r="AU18" i="37"/>
  <c r="AT18" i="37"/>
  <c r="AV19" i="37"/>
  <c r="AT19" i="37" s="1"/>
  <c r="AT19" i="38"/>
  <c r="AV20" i="37"/>
  <c r="AU20" i="37" s="1"/>
  <c r="J50" i="40"/>
  <c r="AS18" i="40"/>
  <c r="AU18" i="40"/>
  <c r="AT18" i="40"/>
  <c r="J51" i="40"/>
  <c r="AS19" i="40"/>
  <c r="AU19" i="40"/>
  <c r="AT19" i="40"/>
  <c r="J52" i="40"/>
  <c r="AU20" i="40"/>
  <c r="AS20" i="40"/>
  <c r="AT20" i="40"/>
  <c r="J50" i="39"/>
  <c r="AU18" i="39"/>
  <c r="AS18" i="39"/>
  <c r="AT18" i="39"/>
  <c r="J51" i="39"/>
  <c r="AU19" i="39"/>
  <c r="AS19" i="39"/>
  <c r="AT19" i="39"/>
  <c r="J52" i="39"/>
  <c r="AT20" i="39"/>
  <c r="AS20" i="39"/>
  <c r="AU20" i="39"/>
  <c r="AU19" i="38"/>
  <c r="AU20" i="38"/>
  <c r="AT20" i="38"/>
  <c r="AT21" i="38" s="1"/>
  <c r="P97" i="38" s="1"/>
  <c r="AS20" i="38"/>
  <c r="E69" i="38"/>
  <c r="E70" i="38"/>
  <c r="D70" i="38"/>
  <c r="AV29" i="38"/>
  <c r="AT29" i="38"/>
  <c r="AS29" i="38"/>
  <c r="AU29" i="38"/>
  <c r="D67" i="38"/>
  <c r="E66" i="38"/>
  <c r="E67" i="38"/>
  <c r="AS21" i="38"/>
  <c r="O97" i="38" s="1"/>
  <c r="E73" i="38"/>
  <c r="E72" i="38"/>
  <c r="D73" i="38"/>
  <c r="AT20" i="37"/>
  <c r="AU19" i="37"/>
  <c r="AU21" i="37" s="1"/>
  <c r="Q97" i="37" s="1"/>
  <c r="E66" i="37"/>
  <c r="D67" i="37"/>
  <c r="E67" i="37"/>
  <c r="W108" i="36"/>
  <c r="W194" i="36" s="1"/>
  <c r="AB194" i="36" s="1"/>
  <c r="W108" i="35"/>
  <c r="J49" i="36"/>
  <c r="AS14" i="36"/>
  <c r="AU14" i="36"/>
  <c r="AT14" i="36"/>
  <c r="J48" i="36"/>
  <c r="AS13" i="36"/>
  <c r="AT13" i="36"/>
  <c r="AU13" i="36"/>
  <c r="AU12" i="36"/>
  <c r="AT12" i="36"/>
  <c r="AS12" i="36"/>
  <c r="J47" i="36"/>
  <c r="AV12" i="35"/>
  <c r="AV13" i="35"/>
  <c r="AV14" i="35"/>
  <c r="I55" i="35"/>
  <c r="I54" i="35" s="1"/>
  <c r="D54" i="35"/>
  <c r="D51" i="35"/>
  <c r="D48" i="35"/>
  <c r="I49" i="35"/>
  <c r="AQ20" i="7"/>
  <c r="AQ19" i="7"/>
  <c r="AQ18" i="7"/>
  <c r="AQ14" i="7"/>
  <c r="AQ13" i="7"/>
  <c r="AQ12" i="7"/>
  <c r="D63" i="6"/>
  <c r="F128" i="6"/>
  <c r="AU21" i="38" l="1"/>
  <c r="Q97" i="38" s="1"/>
  <c r="AL37" i="49"/>
  <c r="AL37" i="53"/>
  <c r="AL37" i="52"/>
  <c r="AL37" i="51"/>
  <c r="AL37" i="47"/>
  <c r="AL37" i="50"/>
  <c r="AL37" i="48"/>
  <c r="AL37" i="45"/>
  <c r="AL37" i="42"/>
  <c r="AL37" i="43"/>
  <c r="AL37" i="44"/>
  <c r="AL37" i="40"/>
  <c r="AL37" i="39"/>
  <c r="AL37" i="38"/>
  <c r="AL37" i="37"/>
  <c r="W160" i="53"/>
  <c r="W87" i="53" s="1"/>
  <c r="W160" i="51"/>
  <c r="W87" i="51" s="1"/>
  <c r="W160" i="49"/>
  <c r="W87" i="49" s="1"/>
  <c r="W160" i="48"/>
  <c r="W87" i="48" s="1"/>
  <c r="W160" i="47"/>
  <c r="W87" i="47" s="1"/>
  <c r="W160" i="52"/>
  <c r="W87" i="52" s="1"/>
  <c r="W160" i="50"/>
  <c r="W87" i="50" s="1"/>
  <c r="W160" i="44"/>
  <c r="W87" i="44" s="1"/>
  <c r="W160" i="45"/>
  <c r="W87" i="45" s="1"/>
  <c r="W160" i="43"/>
  <c r="W87" i="43" s="1"/>
  <c r="W160" i="42"/>
  <c r="W87" i="42" s="1"/>
  <c r="W160" i="40"/>
  <c r="W87" i="40" s="1"/>
  <c r="W160" i="38"/>
  <c r="W87" i="38" s="1"/>
  <c r="W160" i="39"/>
  <c r="W87" i="39" s="1"/>
  <c r="W160" i="37"/>
  <c r="W87" i="37" s="1"/>
  <c r="AS20" i="37"/>
  <c r="J51" i="37"/>
  <c r="AS19" i="37"/>
  <c r="AT21" i="37"/>
  <c r="P97" i="37" s="1"/>
  <c r="J52" i="37"/>
  <c r="AU21" i="40"/>
  <c r="Q97" i="40" s="1"/>
  <c r="E70" i="40"/>
  <c r="D70" i="40"/>
  <c r="E69" i="40"/>
  <c r="AU29" i="40"/>
  <c r="AV29" i="40"/>
  <c r="AS29" i="40"/>
  <c r="AT29" i="40"/>
  <c r="E73" i="40"/>
  <c r="D73" i="40"/>
  <c r="E72" i="40"/>
  <c r="AT21" i="40"/>
  <c r="P97" i="40" s="1"/>
  <c r="AS21" i="40"/>
  <c r="O97" i="40" s="1"/>
  <c r="E66" i="40"/>
  <c r="D67" i="40"/>
  <c r="E67" i="40"/>
  <c r="AU21" i="39"/>
  <c r="Q97" i="39" s="1"/>
  <c r="E73" i="39"/>
  <c r="D73" i="39"/>
  <c r="E72" i="39"/>
  <c r="AT21" i="39"/>
  <c r="P97" i="39" s="1"/>
  <c r="AS21" i="39"/>
  <c r="O97" i="39" s="1"/>
  <c r="E70" i="39"/>
  <c r="E69" i="39"/>
  <c r="D70" i="39"/>
  <c r="AT29" i="39"/>
  <c r="AV29" i="39"/>
  <c r="AS29" i="39"/>
  <c r="AU29" i="39"/>
  <c r="E66" i="39"/>
  <c r="D67" i="39"/>
  <c r="E67" i="39"/>
  <c r="D72" i="38"/>
  <c r="I73" i="38"/>
  <c r="I72" i="38" s="1"/>
  <c r="I70" i="38"/>
  <c r="I69" i="38" s="1"/>
  <c r="D69" i="38"/>
  <c r="D66" i="38"/>
  <c r="AT29" i="37"/>
  <c r="E70" i="37"/>
  <c r="AU29" i="37"/>
  <c r="AS29" i="37"/>
  <c r="D66" i="37"/>
  <c r="AL37" i="36"/>
  <c r="AL37" i="35"/>
  <c r="W160" i="36"/>
  <c r="W87" i="36" s="1"/>
  <c r="W160" i="35"/>
  <c r="W87" i="35" s="1"/>
  <c r="AS15" i="36"/>
  <c r="AS17" i="36" s="1"/>
  <c r="AV20" i="36" s="1"/>
  <c r="AS28" i="36"/>
  <c r="AV28" i="36"/>
  <c r="AT28" i="36"/>
  <c r="AU28" i="36"/>
  <c r="AT15" i="36"/>
  <c r="AT17" i="36" s="1"/>
  <c r="AU15" i="36"/>
  <c r="AU17" i="36" s="1"/>
  <c r="E58" i="36"/>
  <c r="D58" i="36"/>
  <c r="E57" i="36"/>
  <c r="E61" i="36"/>
  <c r="E60" i="36"/>
  <c r="D61" i="36"/>
  <c r="D64" i="36"/>
  <c r="E63" i="36"/>
  <c r="E64" i="36"/>
  <c r="J49" i="35"/>
  <c r="AS14" i="35"/>
  <c r="AT14" i="35"/>
  <c r="AU14" i="35"/>
  <c r="AS13" i="35"/>
  <c r="AU13" i="35"/>
  <c r="J48" i="35"/>
  <c r="AT13" i="35"/>
  <c r="I48" i="35"/>
  <c r="AU12" i="35"/>
  <c r="AS12" i="35"/>
  <c r="J47" i="35"/>
  <c r="AT12" i="35"/>
  <c r="AK37" i="7"/>
  <c r="AU59" i="7" s="1"/>
  <c r="AL37" i="7"/>
  <c r="AK30" i="7"/>
  <c r="AU52" i="7" s="1"/>
  <c r="AL30" i="7"/>
  <c r="AK31" i="7"/>
  <c r="AU53" i="7" s="1"/>
  <c r="AL31" i="7"/>
  <c r="AK32" i="7"/>
  <c r="AU54" i="7" s="1"/>
  <c r="AL32" i="7"/>
  <c r="AK33" i="7"/>
  <c r="AU55" i="7" s="1"/>
  <c r="AL33" i="7"/>
  <c r="AK34" i="7"/>
  <c r="AU56" i="7" s="1"/>
  <c r="AL34" i="7"/>
  <c r="AK35" i="7"/>
  <c r="AU57" i="7" s="1"/>
  <c r="AL35" i="7"/>
  <c r="AK36" i="7"/>
  <c r="AU58" i="7" s="1"/>
  <c r="AL36" i="7"/>
  <c r="AK29" i="7"/>
  <c r="AU51" i="7" s="1"/>
  <c r="AS21" i="37" l="1"/>
  <c r="O97" i="37" s="1"/>
  <c r="D70" i="37"/>
  <c r="AV29" i="37"/>
  <c r="E69" i="37"/>
  <c r="E73" i="37"/>
  <c r="D73" i="37"/>
  <c r="E72" i="37"/>
  <c r="I73" i="40"/>
  <c r="I72" i="40" s="1"/>
  <c r="D72" i="40"/>
  <c r="D66" i="40"/>
  <c r="D69" i="40"/>
  <c r="I70" i="40"/>
  <c r="I69" i="40" s="1"/>
  <c r="D69" i="39"/>
  <c r="I70" i="39"/>
  <c r="I69" i="39" s="1"/>
  <c r="I73" i="39"/>
  <c r="I72" i="39" s="1"/>
  <c r="D72" i="39"/>
  <c r="D66" i="39"/>
  <c r="AV18" i="36"/>
  <c r="J50" i="36" s="1"/>
  <c r="AV19" i="36"/>
  <c r="J51" i="36" s="1"/>
  <c r="I64" i="36"/>
  <c r="I63" i="36" s="1"/>
  <c r="D63" i="36"/>
  <c r="J52" i="36"/>
  <c r="AS20" i="36"/>
  <c r="AT20" i="36"/>
  <c r="AU20" i="36"/>
  <c r="I61" i="36"/>
  <c r="I60" i="36" s="1"/>
  <c r="D60" i="36"/>
  <c r="D57" i="36"/>
  <c r="AT35" i="35"/>
  <c r="AS35" i="35"/>
  <c r="AS32" i="35"/>
  <c r="AT28" i="35"/>
  <c r="AT33" i="35"/>
  <c r="AS36" i="35"/>
  <c r="AU30" i="35"/>
  <c r="AS30" i="35"/>
  <c r="AT32" i="35"/>
  <c r="AT36" i="35"/>
  <c r="AV35" i="35"/>
  <c r="AT30" i="35"/>
  <c r="AV30" i="35"/>
  <c r="AS33" i="35"/>
  <c r="AU33" i="35"/>
  <c r="AU36" i="35"/>
  <c r="AU35" i="35"/>
  <c r="AV32" i="35"/>
  <c r="AU28" i="35"/>
  <c r="AV36" i="35"/>
  <c r="AV33" i="35"/>
  <c r="AU32" i="35"/>
  <c r="AS28" i="35"/>
  <c r="AV28" i="35"/>
  <c r="AS15" i="35"/>
  <c r="AS17" i="35" s="1"/>
  <c r="AV19" i="35" s="1"/>
  <c r="AT15" i="35"/>
  <c r="AT17" i="35" s="1"/>
  <c r="AU15" i="35"/>
  <c r="AU17" i="35" s="1"/>
  <c r="D61" i="35"/>
  <c r="E60" i="35"/>
  <c r="E61" i="35"/>
  <c r="D58" i="35"/>
  <c r="E58" i="35"/>
  <c r="E57" i="35"/>
  <c r="E64" i="35"/>
  <c r="D64" i="35"/>
  <c r="E63" i="35"/>
  <c r="D28" i="6"/>
  <c r="D20" i="6"/>
  <c r="D10" i="6"/>
  <c r="AL29" i="7"/>
  <c r="D21" i="6"/>
  <c r="D19" i="6"/>
  <c r="D15" i="6"/>
  <c r="D14" i="6"/>
  <c r="D13" i="6"/>
  <c r="D12" i="6"/>
  <c r="D9" i="6"/>
  <c r="D8" i="6"/>
  <c r="D6" i="6"/>
  <c r="D4" i="6"/>
  <c r="D3" i="6"/>
  <c r="D106" i="6"/>
  <c r="D97" i="6"/>
  <c r="D22" i="6"/>
  <c r="D24" i="6"/>
  <c r="D25" i="6"/>
  <c r="D27" i="6"/>
  <c r="D29" i="6"/>
  <c r="D30" i="6"/>
  <c r="D31" i="6"/>
  <c r="D52" i="6"/>
  <c r="D49" i="6"/>
  <c r="D50" i="6"/>
  <c r="D51" i="6"/>
  <c r="D79" i="6"/>
  <c r="D78" i="6"/>
  <c r="D77" i="6"/>
  <c r="D74" i="6"/>
  <c r="D73" i="6"/>
  <c r="D76" i="6"/>
  <c r="AE45" i="7"/>
  <c r="AC47" i="7"/>
  <c r="AC46" i="7"/>
  <c r="AC45" i="7"/>
  <c r="W170" i="48" l="1"/>
  <c r="W170" i="47"/>
  <c r="W170" i="52"/>
  <c r="W170" i="50"/>
  <c r="W170" i="53"/>
  <c r="W170" i="51"/>
  <c r="W170" i="49"/>
  <c r="W170" i="45"/>
  <c r="W170" i="43"/>
  <c r="W170" i="44"/>
  <c r="W170" i="42"/>
  <c r="W170" i="39"/>
  <c r="W170" i="37"/>
  <c r="W170" i="40"/>
  <c r="W170" i="38"/>
  <c r="W107" i="53"/>
  <c r="W107" i="51"/>
  <c r="W107" i="49"/>
  <c r="W107" i="48"/>
  <c r="W107" i="50"/>
  <c r="W107" i="47"/>
  <c r="W107" i="52"/>
  <c r="W107" i="44"/>
  <c r="W107" i="42"/>
  <c r="W107" i="45"/>
  <c r="W107" i="43"/>
  <c r="W107" i="40"/>
  <c r="W107" i="38"/>
  <c r="W107" i="37"/>
  <c r="W107" i="39"/>
  <c r="W171" i="52"/>
  <c r="W171" i="50"/>
  <c r="W171" i="53"/>
  <c r="W171" i="51"/>
  <c r="W171" i="49"/>
  <c r="W171" i="47"/>
  <c r="W171" i="48"/>
  <c r="W171" i="44"/>
  <c r="W171" i="42"/>
  <c r="W171" i="45"/>
  <c r="W171" i="43"/>
  <c r="W171" i="37"/>
  <c r="W171" i="40"/>
  <c r="W171" i="38"/>
  <c r="W171" i="39"/>
  <c r="W146" i="48"/>
  <c r="W146" i="47"/>
  <c r="W146" i="52"/>
  <c r="W146" i="50"/>
  <c r="W146" i="53"/>
  <c r="W146" i="51"/>
  <c r="W146" i="49"/>
  <c r="W146" i="45"/>
  <c r="W146" i="43"/>
  <c r="W146" i="44"/>
  <c r="W146" i="42"/>
  <c r="W146" i="39"/>
  <c r="W146" i="37"/>
  <c r="W146" i="40"/>
  <c r="W146" i="38"/>
  <c r="W122" i="53"/>
  <c r="W122" i="51"/>
  <c r="W122" i="49"/>
  <c r="W122" i="48"/>
  <c r="W122" i="52"/>
  <c r="W122" i="47"/>
  <c r="W122" i="50"/>
  <c r="W122" i="44"/>
  <c r="W122" i="42"/>
  <c r="W122" i="45"/>
  <c r="W122" i="43"/>
  <c r="W122" i="37"/>
  <c r="W122" i="40"/>
  <c r="W122" i="38"/>
  <c r="W122" i="39"/>
  <c r="W101" i="53"/>
  <c r="W101" i="51"/>
  <c r="W101" i="49"/>
  <c r="W101" i="48"/>
  <c r="W101" i="47"/>
  <c r="W101" i="52"/>
  <c r="W101" i="50"/>
  <c r="W101" i="44"/>
  <c r="W101" i="42"/>
  <c r="W101" i="45"/>
  <c r="W101" i="43"/>
  <c r="W101" i="40"/>
  <c r="W101" i="38"/>
  <c r="W101" i="37"/>
  <c r="W101" i="39"/>
  <c r="W111" i="49"/>
  <c r="W111" i="48"/>
  <c r="W111" i="47"/>
  <c r="W111" i="52"/>
  <c r="W111" i="50"/>
  <c r="W111" i="53"/>
  <c r="W111" i="51"/>
  <c r="W111" i="45"/>
  <c r="W111" i="43"/>
  <c r="W111" i="44"/>
  <c r="W111" i="42"/>
  <c r="W111" i="39"/>
  <c r="W111" i="37"/>
  <c r="W111" i="40"/>
  <c r="W111" i="38"/>
  <c r="W117" i="48"/>
  <c r="W117" i="47"/>
  <c r="W117" i="52"/>
  <c r="W117" i="50"/>
  <c r="W117" i="53"/>
  <c r="W117" i="51"/>
  <c r="W117" i="49"/>
  <c r="W117" i="45"/>
  <c r="W117" i="43"/>
  <c r="W117" i="44"/>
  <c r="W117" i="42"/>
  <c r="W117" i="39"/>
  <c r="W117" i="37"/>
  <c r="W117" i="40"/>
  <c r="W117" i="38"/>
  <c r="W149" i="48"/>
  <c r="W149" i="47"/>
  <c r="W149" i="52"/>
  <c r="W149" i="50"/>
  <c r="W149" i="53"/>
  <c r="W149" i="51"/>
  <c r="W149" i="49"/>
  <c r="W149" i="45"/>
  <c r="W149" i="43"/>
  <c r="W149" i="44"/>
  <c r="W149" i="42"/>
  <c r="W149" i="39"/>
  <c r="W149" i="37"/>
  <c r="W149" i="40"/>
  <c r="W149" i="38"/>
  <c r="W121" i="48"/>
  <c r="W121" i="47"/>
  <c r="W121" i="52"/>
  <c r="W121" i="50"/>
  <c r="W121" i="53"/>
  <c r="W121" i="51"/>
  <c r="W121" i="49"/>
  <c r="W121" i="45"/>
  <c r="W121" i="43"/>
  <c r="W121" i="44"/>
  <c r="W121" i="42"/>
  <c r="W121" i="39"/>
  <c r="W121" i="37"/>
  <c r="W121" i="40"/>
  <c r="W121" i="38"/>
  <c r="W112" i="52"/>
  <c r="W112" i="50"/>
  <c r="W112" i="53"/>
  <c r="W112" i="51"/>
  <c r="W112" i="49"/>
  <c r="W112" i="48"/>
  <c r="W112" i="47"/>
  <c r="W112" i="45"/>
  <c r="W112" i="42"/>
  <c r="W112" i="44"/>
  <c r="W112" i="43"/>
  <c r="W112" i="39"/>
  <c r="W112" i="37"/>
  <c r="W112" i="40"/>
  <c r="W112" i="38"/>
  <c r="W125" i="48"/>
  <c r="W125" i="47"/>
  <c r="W125" i="52"/>
  <c r="W125" i="50"/>
  <c r="W125" i="53"/>
  <c r="W125" i="51"/>
  <c r="W125" i="49"/>
  <c r="W125" i="45"/>
  <c r="W125" i="43"/>
  <c r="W125" i="44"/>
  <c r="W125" i="42"/>
  <c r="W125" i="39"/>
  <c r="W125" i="37"/>
  <c r="W125" i="40"/>
  <c r="W125" i="38"/>
  <c r="W100" i="52"/>
  <c r="W100" i="50"/>
  <c r="W100" i="53"/>
  <c r="W100" i="51"/>
  <c r="W100" i="49"/>
  <c r="W100" i="48"/>
  <c r="W100" i="47"/>
  <c r="W100" i="45"/>
  <c r="W100" i="42"/>
  <c r="W100" i="44"/>
  <c r="W100" i="43"/>
  <c r="W100" i="39"/>
  <c r="W100" i="37"/>
  <c r="W100" i="40"/>
  <c r="W100" i="38"/>
  <c r="W174" i="52"/>
  <c r="W174" i="50"/>
  <c r="W174" i="53"/>
  <c r="W174" i="51"/>
  <c r="W174" i="49"/>
  <c r="W174" i="48"/>
  <c r="W174" i="47"/>
  <c r="W174" i="44"/>
  <c r="W174" i="42"/>
  <c r="W174" i="45"/>
  <c r="W174" i="43"/>
  <c r="W174" i="37"/>
  <c r="W174" i="40"/>
  <c r="W174" i="38"/>
  <c r="W174" i="39"/>
  <c r="W103" i="52"/>
  <c r="W103" i="50"/>
  <c r="W103" i="53"/>
  <c r="W103" i="51"/>
  <c r="W103" i="47"/>
  <c r="W103" i="49"/>
  <c r="W103" i="48"/>
  <c r="W103" i="45"/>
  <c r="W103" i="42"/>
  <c r="W103" i="44"/>
  <c r="W103" i="43"/>
  <c r="W103" i="39"/>
  <c r="W103" i="37"/>
  <c r="W103" i="40"/>
  <c r="W103" i="38"/>
  <c r="W175" i="53"/>
  <c r="W175" i="51"/>
  <c r="W175" i="49"/>
  <c r="W175" i="48"/>
  <c r="W175" i="47"/>
  <c r="W175" i="52"/>
  <c r="W175" i="50"/>
  <c r="W175" i="44"/>
  <c r="W175" i="45"/>
  <c r="W175" i="43"/>
  <c r="W175" i="42"/>
  <c r="W175" i="40"/>
  <c r="W175" i="38"/>
  <c r="W175" i="39"/>
  <c r="W175" i="37"/>
  <c r="W128" i="53"/>
  <c r="W128" i="51"/>
  <c r="W128" i="49"/>
  <c r="W128" i="48"/>
  <c r="W128" i="52"/>
  <c r="W128" i="47"/>
  <c r="W128" i="50"/>
  <c r="W128" i="44"/>
  <c r="W128" i="42"/>
  <c r="W128" i="45"/>
  <c r="W128" i="43"/>
  <c r="W128" i="40"/>
  <c r="W128" i="38"/>
  <c r="W128" i="39"/>
  <c r="W128" i="37"/>
  <c r="W119" i="48"/>
  <c r="W119" i="47"/>
  <c r="W119" i="52"/>
  <c r="W119" i="50"/>
  <c r="W119" i="53"/>
  <c r="W119" i="51"/>
  <c r="W119" i="49"/>
  <c r="W119" i="45"/>
  <c r="W119" i="43"/>
  <c r="W119" i="44"/>
  <c r="W119" i="42"/>
  <c r="W119" i="39"/>
  <c r="W119" i="37"/>
  <c r="W119" i="40"/>
  <c r="W119" i="38"/>
  <c r="W105" i="49"/>
  <c r="W105" i="48"/>
  <c r="W105" i="47"/>
  <c r="W105" i="52"/>
  <c r="W105" i="50"/>
  <c r="W105" i="53"/>
  <c r="W105" i="51"/>
  <c r="W105" i="45"/>
  <c r="W105" i="43"/>
  <c r="W105" i="44"/>
  <c r="W105" i="42"/>
  <c r="W105" i="39"/>
  <c r="W105" i="37"/>
  <c r="W105" i="40"/>
  <c r="W105" i="38"/>
  <c r="W116" i="53"/>
  <c r="W116" i="51"/>
  <c r="W116" i="49"/>
  <c r="W116" i="48"/>
  <c r="W116" i="52"/>
  <c r="W116" i="47"/>
  <c r="W116" i="50"/>
  <c r="W116" i="44"/>
  <c r="W116" i="42"/>
  <c r="W116" i="45"/>
  <c r="W116" i="43"/>
  <c r="W116" i="40"/>
  <c r="W116" i="38"/>
  <c r="W116" i="37"/>
  <c r="W116" i="39"/>
  <c r="W176" i="48"/>
  <c r="W176" i="47"/>
  <c r="W176" i="52"/>
  <c r="W176" i="50"/>
  <c r="W176" i="53"/>
  <c r="W176" i="51"/>
  <c r="W176" i="49"/>
  <c r="W176" i="45"/>
  <c r="W176" i="43"/>
  <c r="W176" i="44"/>
  <c r="W176" i="42"/>
  <c r="W176" i="39"/>
  <c r="W176" i="37"/>
  <c r="W176" i="40"/>
  <c r="W176" i="38"/>
  <c r="W127" i="48"/>
  <c r="W127" i="47"/>
  <c r="W127" i="52"/>
  <c r="W127" i="50"/>
  <c r="W127" i="53"/>
  <c r="W127" i="51"/>
  <c r="W127" i="49"/>
  <c r="W127" i="45"/>
  <c r="W127" i="43"/>
  <c r="W127" i="44"/>
  <c r="W127" i="42"/>
  <c r="W127" i="39"/>
  <c r="W127" i="37"/>
  <c r="W127" i="40"/>
  <c r="W127" i="38"/>
  <c r="W66" i="52"/>
  <c r="I27" i="52" s="1"/>
  <c r="W66" i="51"/>
  <c r="I27" i="51" s="1"/>
  <c r="W66" i="53"/>
  <c r="I27" i="53" s="1"/>
  <c r="W66" i="50"/>
  <c r="I27" i="50" s="1"/>
  <c r="W66" i="47"/>
  <c r="I27" i="47" s="1"/>
  <c r="W66" i="49"/>
  <c r="I27" i="49" s="1"/>
  <c r="W66" i="48"/>
  <c r="I27" i="48" s="1"/>
  <c r="W66" i="43"/>
  <c r="I27" i="43" s="1"/>
  <c r="W66" i="42"/>
  <c r="I27" i="42" s="1"/>
  <c r="W66" i="45"/>
  <c r="I27" i="45" s="1"/>
  <c r="W66" i="44"/>
  <c r="I27" i="44" s="1"/>
  <c r="W66" i="40"/>
  <c r="I27" i="40" s="1"/>
  <c r="I28" i="40" s="1"/>
  <c r="W66" i="37"/>
  <c r="I27" i="37" s="1"/>
  <c r="I28" i="37" s="1"/>
  <c r="W66" i="38"/>
  <c r="I27" i="38" s="1"/>
  <c r="I28" i="38" s="1"/>
  <c r="W66" i="39"/>
  <c r="I27" i="39" s="1"/>
  <c r="I28" i="39" s="1"/>
  <c r="W106" i="52"/>
  <c r="W106" i="50"/>
  <c r="W106" i="53"/>
  <c r="W106" i="51"/>
  <c r="W106" i="47"/>
  <c r="W106" i="49"/>
  <c r="W106" i="48"/>
  <c r="W106" i="45"/>
  <c r="W106" i="42"/>
  <c r="W106" i="44"/>
  <c r="W106" i="43"/>
  <c r="W106" i="39"/>
  <c r="W106" i="37"/>
  <c r="W106" i="40"/>
  <c r="W106" i="38"/>
  <c r="W118" i="53"/>
  <c r="W118" i="51"/>
  <c r="W118" i="49"/>
  <c r="W118" i="48"/>
  <c r="W118" i="52"/>
  <c r="W118" i="47"/>
  <c r="W118" i="50"/>
  <c r="W118" i="44"/>
  <c r="W118" i="42"/>
  <c r="W118" i="45"/>
  <c r="W118" i="43"/>
  <c r="W118" i="40"/>
  <c r="W118" i="38"/>
  <c r="W118" i="37"/>
  <c r="W118" i="39"/>
  <c r="W147" i="52"/>
  <c r="W147" i="50"/>
  <c r="W147" i="53"/>
  <c r="W147" i="51"/>
  <c r="W147" i="49"/>
  <c r="W147" i="48"/>
  <c r="W147" i="47"/>
  <c r="W147" i="44"/>
  <c r="W147" i="42"/>
  <c r="W147" i="45"/>
  <c r="W147" i="43"/>
  <c r="W147" i="37"/>
  <c r="W147" i="40"/>
  <c r="W147" i="38"/>
  <c r="W147" i="39"/>
  <c r="W124" i="53"/>
  <c r="W124" i="51"/>
  <c r="W124" i="49"/>
  <c r="W124" i="48"/>
  <c r="W124" i="52"/>
  <c r="W124" i="47"/>
  <c r="W124" i="50"/>
  <c r="W124" i="44"/>
  <c r="W124" i="42"/>
  <c r="W124" i="45"/>
  <c r="W124" i="43"/>
  <c r="W124" i="40"/>
  <c r="W124" i="38"/>
  <c r="W124" i="37"/>
  <c r="W124" i="39"/>
  <c r="W110" i="53"/>
  <c r="W110" i="51"/>
  <c r="W110" i="49"/>
  <c r="W110" i="48"/>
  <c r="W110" i="52"/>
  <c r="W110" i="50"/>
  <c r="W110" i="47"/>
  <c r="W110" i="44"/>
  <c r="W110" i="42"/>
  <c r="W110" i="45"/>
  <c r="W110" i="43"/>
  <c r="W110" i="40"/>
  <c r="W110" i="38"/>
  <c r="W110" i="37"/>
  <c r="W110" i="39"/>
  <c r="W173" i="48"/>
  <c r="W173" i="47"/>
  <c r="W173" i="52"/>
  <c r="W173" i="50"/>
  <c r="W173" i="53"/>
  <c r="W173" i="51"/>
  <c r="W173" i="49"/>
  <c r="W173" i="45"/>
  <c r="W173" i="43"/>
  <c r="W173" i="44"/>
  <c r="W173" i="42"/>
  <c r="W173" i="39"/>
  <c r="W173" i="37"/>
  <c r="W173" i="40"/>
  <c r="W173" i="38"/>
  <c r="W148" i="53"/>
  <c r="W203" i="53" s="1"/>
  <c r="AB203" i="53" s="1"/>
  <c r="W148" i="51"/>
  <c r="W203" i="51" s="1"/>
  <c r="AB203" i="51" s="1"/>
  <c r="W148" i="49"/>
  <c r="W203" i="49" s="1"/>
  <c r="AB203" i="49" s="1"/>
  <c r="W148" i="48"/>
  <c r="W203" i="48" s="1"/>
  <c r="AB203" i="48" s="1"/>
  <c r="W148" i="47"/>
  <c r="W203" i="47" s="1"/>
  <c r="AB203" i="47" s="1"/>
  <c r="W148" i="52"/>
  <c r="W203" i="52" s="1"/>
  <c r="AB203" i="52" s="1"/>
  <c r="W148" i="50"/>
  <c r="W203" i="50" s="1"/>
  <c r="AB203" i="50" s="1"/>
  <c r="W148" i="44"/>
  <c r="W203" i="44" s="1"/>
  <c r="AB203" i="44" s="1"/>
  <c r="W148" i="45"/>
  <c r="W203" i="45" s="1"/>
  <c r="AB203" i="45" s="1"/>
  <c r="W148" i="43"/>
  <c r="W203" i="43" s="1"/>
  <c r="AB203" i="43" s="1"/>
  <c r="W148" i="42"/>
  <c r="W203" i="42" s="1"/>
  <c r="AB203" i="42" s="1"/>
  <c r="W148" i="40"/>
  <c r="W203" i="40" s="1"/>
  <c r="AB203" i="40" s="1"/>
  <c r="W148" i="38"/>
  <c r="W203" i="38" s="1"/>
  <c r="AB203" i="38" s="1"/>
  <c r="W148" i="39"/>
  <c r="W203" i="39" s="1"/>
  <c r="AB203" i="39" s="1"/>
  <c r="W148" i="37"/>
  <c r="W203" i="37" s="1"/>
  <c r="AB203" i="37" s="1"/>
  <c r="W126" i="53"/>
  <c r="W126" i="51"/>
  <c r="W126" i="49"/>
  <c r="W126" i="48"/>
  <c r="W126" i="52"/>
  <c r="W126" i="47"/>
  <c r="W126" i="50"/>
  <c r="W126" i="44"/>
  <c r="W126" i="42"/>
  <c r="W126" i="45"/>
  <c r="W126" i="43"/>
  <c r="W126" i="40"/>
  <c r="W126" i="38"/>
  <c r="W126" i="37"/>
  <c r="W126" i="39"/>
  <c r="W75" i="49"/>
  <c r="I38" i="49" s="1"/>
  <c r="I39" i="49" s="1"/>
  <c r="W75" i="48"/>
  <c r="I38" i="48" s="1"/>
  <c r="I39" i="48" s="1"/>
  <c r="W75" i="47"/>
  <c r="I38" i="47" s="1"/>
  <c r="I39" i="47" s="1"/>
  <c r="W75" i="52"/>
  <c r="I38" i="52" s="1"/>
  <c r="I39" i="52" s="1"/>
  <c r="W75" i="51"/>
  <c r="I38" i="51" s="1"/>
  <c r="I39" i="51" s="1"/>
  <c r="W75" i="53"/>
  <c r="I38" i="53" s="1"/>
  <c r="I39" i="53" s="1"/>
  <c r="W75" i="50"/>
  <c r="I38" i="50" s="1"/>
  <c r="I39" i="50" s="1"/>
  <c r="W75" i="45"/>
  <c r="I38" i="45" s="1"/>
  <c r="I39" i="45" s="1"/>
  <c r="W75" i="44"/>
  <c r="I38" i="44" s="1"/>
  <c r="I39" i="44" s="1"/>
  <c r="W75" i="43"/>
  <c r="I38" i="43" s="1"/>
  <c r="I39" i="43" s="1"/>
  <c r="W75" i="42"/>
  <c r="I38" i="42" s="1"/>
  <c r="I39" i="42" s="1"/>
  <c r="W75" i="39"/>
  <c r="I38" i="39" s="1"/>
  <c r="I39" i="39" s="1"/>
  <c r="W75" i="40"/>
  <c r="I38" i="40" s="1"/>
  <c r="I39" i="40" s="1"/>
  <c r="W75" i="38"/>
  <c r="I38" i="38" s="1"/>
  <c r="I39" i="38" s="1"/>
  <c r="W75" i="37"/>
  <c r="I38" i="37" s="1"/>
  <c r="I39" i="37" s="1"/>
  <c r="W109" i="52"/>
  <c r="W109" i="50"/>
  <c r="W109" i="53"/>
  <c r="W109" i="51"/>
  <c r="W109" i="49"/>
  <c r="W109" i="48"/>
  <c r="W109" i="47"/>
  <c r="W109" i="45"/>
  <c r="W109" i="42"/>
  <c r="W109" i="44"/>
  <c r="W109" i="43"/>
  <c r="W109" i="39"/>
  <c r="W109" i="37"/>
  <c r="W109" i="40"/>
  <c r="W109" i="38"/>
  <c r="AT18" i="36"/>
  <c r="AU18" i="36"/>
  <c r="D69" i="37"/>
  <c r="I70" i="37"/>
  <c r="I69" i="37" s="1"/>
  <c r="I73" i="37"/>
  <c r="I72" i="37" s="1"/>
  <c r="D72" i="37"/>
  <c r="AS18" i="36"/>
  <c r="AU19" i="36"/>
  <c r="AT19" i="36"/>
  <c r="AT21" i="36" s="1"/>
  <c r="P97" i="36" s="1"/>
  <c r="W109" i="36"/>
  <c r="W195" i="36" s="1"/>
  <c r="AB195" i="36" s="1"/>
  <c r="W109" i="35"/>
  <c r="W147" i="36"/>
  <c r="W147" i="35"/>
  <c r="W202" i="35" s="1"/>
  <c r="AB202" i="35" s="1"/>
  <c r="W100" i="36"/>
  <c r="W188" i="36" s="1"/>
  <c r="AB188" i="36" s="1"/>
  <c r="W100" i="35"/>
  <c r="W107" i="36"/>
  <c r="W107" i="35"/>
  <c r="AS19" i="36"/>
  <c r="W148" i="36"/>
  <c r="W148" i="35"/>
  <c r="W203" i="35" s="1"/>
  <c r="AB203" i="35" s="1"/>
  <c r="W171" i="36"/>
  <c r="W171" i="35"/>
  <c r="W146" i="36"/>
  <c r="W146" i="35"/>
  <c r="W122" i="36"/>
  <c r="W202" i="36" s="1"/>
  <c r="AB202" i="36" s="1"/>
  <c r="W122" i="35"/>
  <c r="W101" i="36"/>
  <c r="W189" i="36" s="1"/>
  <c r="AB189" i="36" s="1"/>
  <c r="W101" i="35"/>
  <c r="W111" i="36"/>
  <c r="W196" i="36" s="1"/>
  <c r="AB196" i="36" s="1"/>
  <c r="W111" i="35"/>
  <c r="W117" i="36"/>
  <c r="W117" i="35"/>
  <c r="W174" i="36"/>
  <c r="W174" i="35"/>
  <c r="W149" i="36"/>
  <c r="W149" i="35"/>
  <c r="W204" i="35" s="1"/>
  <c r="AB204" i="35" s="1"/>
  <c r="W121" i="36"/>
  <c r="W121" i="35"/>
  <c r="W103" i="36"/>
  <c r="W190" i="36" s="1"/>
  <c r="AB190" i="36" s="1"/>
  <c r="W103" i="35"/>
  <c r="W112" i="36"/>
  <c r="W197" i="36" s="1"/>
  <c r="AB197" i="36" s="1"/>
  <c r="W112" i="35"/>
  <c r="W125" i="36"/>
  <c r="W204" i="36" s="1"/>
  <c r="AB204" i="36" s="1"/>
  <c r="W125" i="35"/>
  <c r="W173" i="36"/>
  <c r="W173" i="35"/>
  <c r="W126" i="36"/>
  <c r="W205" i="36" s="1"/>
  <c r="AB205" i="36" s="1"/>
  <c r="W126" i="35"/>
  <c r="W75" i="36"/>
  <c r="I38" i="36" s="1"/>
  <c r="I39" i="36" s="1"/>
  <c r="W75" i="35"/>
  <c r="I38" i="35" s="1"/>
  <c r="I39" i="35" s="1"/>
  <c r="W119" i="36"/>
  <c r="W201" i="36" s="1"/>
  <c r="AB201" i="36" s="1"/>
  <c r="W119" i="35"/>
  <c r="W170" i="36"/>
  <c r="W170" i="35"/>
  <c r="W124" i="36"/>
  <c r="W203" i="36" s="1"/>
  <c r="AB203" i="36" s="1"/>
  <c r="W124" i="35"/>
  <c r="W110" i="36"/>
  <c r="W110" i="35"/>
  <c r="W175" i="36"/>
  <c r="W175" i="35"/>
  <c r="W128" i="36"/>
  <c r="W128" i="35"/>
  <c r="W105" i="36"/>
  <c r="W192" i="36" s="1"/>
  <c r="AB192" i="36" s="1"/>
  <c r="W105" i="35"/>
  <c r="W116" i="36"/>
  <c r="W199" i="36" s="1"/>
  <c r="AB199" i="36" s="1"/>
  <c r="W116" i="35"/>
  <c r="W176" i="36"/>
  <c r="W176" i="35"/>
  <c r="W127" i="36"/>
  <c r="W206" i="36" s="1"/>
  <c r="AB206" i="36" s="1"/>
  <c r="W127" i="35"/>
  <c r="W66" i="36"/>
  <c r="I27" i="36" s="1"/>
  <c r="I28" i="36" s="1"/>
  <c r="W66" i="35"/>
  <c r="W106" i="36"/>
  <c r="W106" i="35"/>
  <c r="W118" i="36"/>
  <c r="W200" i="36" s="1"/>
  <c r="AB200" i="36" s="1"/>
  <c r="W118" i="35"/>
  <c r="AU21" i="36"/>
  <c r="Q97" i="36" s="1"/>
  <c r="AS21" i="36"/>
  <c r="O97" i="36" s="1"/>
  <c r="D67" i="36"/>
  <c r="E66" i="36"/>
  <c r="E67" i="36"/>
  <c r="E73" i="36"/>
  <c r="D73" i="36"/>
  <c r="E72" i="36"/>
  <c r="D70" i="36"/>
  <c r="E69" i="36"/>
  <c r="E70" i="36"/>
  <c r="AU29" i="36"/>
  <c r="AT29" i="36"/>
  <c r="AS29" i="36"/>
  <c r="AV29" i="36"/>
  <c r="AV20" i="35"/>
  <c r="AT20" i="35" s="1"/>
  <c r="AV18" i="35"/>
  <c r="J50" i="35" s="1"/>
  <c r="J51" i="35"/>
  <c r="AS19" i="35"/>
  <c r="AU19" i="35"/>
  <c r="AT19" i="35"/>
  <c r="I61" i="35"/>
  <c r="I60" i="35" s="1"/>
  <c r="D60" i="35"/>
  <c r="D63" i="35"/>
  <c r="I64" i="35"/>
  <c r="I63" i="35" s="1"/>
  <c r="D57" i="35"/>
  <c r="I58" i="35"/>
  <c r="AE46" i="7"/>
  <c r="J38" i="7" s="1"/>
  <c r="W202" i="38" l="1"/>
  <c r="AB202" i="38" s="1"/>
  <c r="I58" i="38"/>
  <c r="I57" i="38" s="1"/>
  <c r="W202" i="44"/>
  <c r="AB202" i="44" s="1"/>
  <c r="I58" i="44"/>
  <c r="I57" i="44" s="1"/>
  <c r="W202" i="50"/>
  <c r="AB202" i="50" s="1"/>
  <c r="I58" i="50"/>
  <c r="I57" i="50" s="1"/>
  <c r="I28" i="44"/>
  <c r="I28" i="47"/>
  <c r="W204" i="39"/>
  <c r="AB204" i="39" s="1"/>
  <c r="I67" i="39"/>
  <c r="I66" i="39" s="1"/>
  <c r="W204" i="51"/>
  <c r="AB204" i="51" s="1"/>
  <c r="I67" i="51"/>
  <c r="I66" i="51" s="1"/>
  <c r="W201" i="38"/>
  <c r="AB201" i="38" s="1"/>
  <c r="I52" i="38"/>
  <c r="I51" i="38" s="1"/>
  <c r="W201" i="43"/>
  <c r="AB201" i="43" s="1"/>
  <c r="I52" i="43"/>
  <c r="I51" i="43" s="1"/>
  <c r="W201" i="52"/>
  <c r="AB201" i="52" s="1"/>
  <c r="I52" i="52"/>
  <c r="I51" i="52" s="1"/>
  <c r="W202" i="40"/>
  <c r="AB202" i="40" s="1"/>
  <c r="I58" i="40"/>
  <c r="I57" i="40" s="1"/>
  <c r="W202" i="47"/>
  <c r="AB202" i="47" s="1"/>
  <c r="I58" i="47"/>
  <c r="I57" i="47" s="1"/>
  <c r="W202" i="52"/>
  <c r="AB202" i="52" s="1"/>
  <c r="I58" i="52"/>
  <c r="I57" i="52" s="1"/>
  <c r="I28" i="45"/>
  <c r="I28" i="50"/>
  <c r="W204" i="42"/>
  <c r="AB204" i="42" s="1"/>
  <c r="I67" i="42"/>
  <c r="I66" i="42" s="1"/>
  <c r="W204" i="53"/>
  <c r="AB204" i="53" s="1"/>
  <c r="I67" i="53"/>
  <c r="I66" i="53" s="1"/>
  <c r="W201" i="40"/>
  <c r="AB201" i="40" s="1"/>
  <c r="I52" i="40"/>
  <c r="I51" i="40" s="1"/>
  <c r="W201" i="45"/>
  <c r="AB201" i="45" s="1"/>
  <c r="I52" i="45"/>
  <c r="I51" i="45" s="1"/>
  <c r="W201" i="47"/>
  <c r="AB201" i="47" s="1"/>
  <c r="I52" i="47"/>
  <c r="I51" i="47" s="1"/>
  <c r="W202" i="37"/>
  <c r="AB202" i="37" s="1"/>
  <c r="I58" i="37"/>
  <c r="I57" i="37" s="1"/>
  <c r="W202" i="48"/>
  <c r="AB202" i="48" s="1"/>
  <c r="I58" i="48"/>
  <c r="I57" i="48" s="1"/>
  <c r="I28" i="42"/>
  <c r="I28" i="53"/>
  <c r="W204" i="44"/>
  <c r="AB204" i="44" s="1"/>
  <c r="I67" i="44"/>
  <c r="I66" i="44" s="1"/>
  <c r="W204" i="50"/>
  <c r="AB204" i="50" s="1"/>
  <c r="I67" i="50"/>
  <c r="I66" i="50" s="1"/>
  <c r="W201" i="37"/>
  <c r="AB201" i="37" s="1"/>
  <c r="I52" i="37"/>
  <c r="I51" i="37" s="1"/>
  <c r="W201" i="49"/>
  <c r="AB201" i="49" s="1"/>
  <c r="I52" i="49"/>
  <c r="I51" i="49" s="1"/>
  <c r="W201" i="48"/>
  <c r="AB201" i="48" s="1"/>
  <c r="I52" i="48"/>
  <c r="I51" i="48" s="1"/>
  <c r="W202" i="43"/>
  <c r="AB202" i="43" s="1"/>
  <c r="I58" i="43"/>
  <c r="I57" i="43" s="1"/>
  <c r="W202" i="49"/>
  <c r="AB202" i="49" s="1"/>
  <c r="I58" i="49"/>
  <c r="I57" i="49" s="1"/>
  <c r="I28" i="43"/>
  <c r="I28" i="51"/>
  <c r="W204" i="38"/>
  <c r="AB204" i="38" s="1"/>
  <c r="I67" i="38"/>
  <c r="I66" i="38" s="1"/>
  <c r="W204" i="43"/>
  <c r="AB204" i="43" s="1"/>
  <c r="I67" i="43"/>
  <c r="I66" i="43" s="1"/>
  <c r="W204" i="52"/>
  <c r="AB204" i="52" s="1"/>
  <c r="I67" i="52"/>
  <c r="I66" i="52" s="1"/>
  <c r="W201" i="39"/>
  <c r="AB201" i="39" s="1"/>
  <c r="I52" i="39"/>
  <c r="I51" i="39" s="1"/>
  <c r="W201" i="51"/>
  <c r="AB201" i="51" s="1"/>
  <c r="AB215" i="51" s="1"/>
  <c r="Q145" i="51" s="1"/>
  <c r="Q147" i="51" s="1"/>
  <c r="I52" i="51"/>
  <c r="I51" i="51" s="1"/>
  <c r="W202" i="45"/>
  <c r="AB202" i="45" s="1"/>
  <c r="I58" i="45"/>
  <c r="I57" i="45" s="1"/>
  <c r="W202" i="51"/>
  <c r="AB202" i="51" s="1"/>
  <c r="I58" i="51"/>
  <c r="I57" i="51" s="1"/>
  <c r="I28" i="48"/>
  <c r="I28" i="52"/>
  <c r="W204" i="40"/>
  <c r="AB204" i="40" s="1"/>
  <c r="I67" i="40"/>
  <c r="I66" i="40" s="1"/>
  <c r="W204" i="45"/>
  <c r="AB204" i="45" s="1"/>
  <c r="I67" i="45"/>
  <c r="I66" i="45" s="1"/>
  <c r="W204" i="47"/>
  <c r="AB204" i="47" s="1"/>
  <c r="I67" i="47"/>
  <c r="I66" i="47" s="1"/>
  <c r="W201" i="42"/>
  <c r="AB201" i="42" s="1"/>
  <c r="I52" i="42"/>
  <c r="I51" i="42" s="1"/>
  <c r="W201" i="53"/>
  <c r="AB201" i="53" s="1"/>
  <c r="I52" i="53"/>
  <c r="I51" i="53" s="1"/>
  <c r="W202" i="39"/>
  <c r="AB202" i="39" s="1"/>
  <c r="I58" i="39"/>
  <c r="I57" i="39" s="1"/>
  <c r="W202" i="42"/>
  <c r="AB202" i="42" s="1"/>
  <c r="I58" i="42"/>
  <c r="I57" i="42" s="1"/>
  <c r="W202" i="53"/>
  <c r="AB202" i="53" s="1"/>
  <c r="I58" i="53"/>
  <c r="I57" i="53" s="1"/>
  <c r="I28" i="49"/>
  <c r="W204" i="37"/>
  <c r="AB204" i="37" s="1"/>
  <c r="I67" i="37"/>
  <c r="I66" i="37" s="1"/>
  <c r="W204" i="49"/>
  <c r="AB204" i="49" s="1"/>
  <c r="I67" i="49"/>
  <c r="I66" i="49" s="1"/>
  <c r="W204" i="48"/>
  <c r="AB204" i="48" s="1"/>
  <c r="I67" i="48"/>
  <c r="I66" i="48" s="1"/>
  <c r="W201" i="44"/>
  <c r="AB201" i="44" s="1"/>
  <c r="AB215" i="44" s="1"/>
  <c r="Q145" i="44" s="1"/>
  <c r="Q147" i="44" s="1"/>
  <c r="I52" i="44"/>
  <c r="I51" i="44" s="1"/>
  <c r="W201" i="50"/>
  <c r="AB201" i="50" s="1"/>
  <c r="AB215" i="50" s="1"/>
  <c r="Q145" i="50" s="1"/>
  <c r="Q147" i="50" s="1"/>
  <c r="I52" i="50"/>
  <c r="I51" i="50" s="1"/>
  <c r="W193" i="36"/>
  <c r="AB193" i="36" s="1"/>
  <c r="I49" i="36"/>
  <c r="I48" i="36" s="1"/>
  <c r="W207" i="36"/>
  <c r="AB207" i="36" s="1"/>
  <c r="I58" i="36"/>
  <c r="I57" i="36" s="1"/>
  <c r="W201" i="35"/>
  <c r="AB201" i="35" s="1"/>
  <c r="AB215" i="35" s="1"/>
  <c r="Q145" i="35" s="1"/>
  <c r="Q147" i="35" s="1"/>
  <c r="I52" i="35"/>
  <c r="I51" i="35" s="1"/>
  <c r="W208" i="36"/>
  <c r="AB208" i="36" s="1"/>
  <c r="I52" i="36"/>
  <c r="I51" i="36" s="1"/>
  <c r="I70" i="36"/>
  <c r="I69" i="36" s="1"/>
  <c r="D69" i="36"/>
  <c r="D72" i="36"/>
  <c r="I73" i="36"/>
  <c r="I72" i="36" s="1"/>
  <c r="D66" i="36"/>
  <c r="I67" i="36"/>
  <c r="J52" i="35"/>
  <c r="E73" i="35" s="1"/>
  <c r="AT18" i="35"/>
  <c r="AT21" i="35" s="1"/>
  <c r="P97" i="35" s="1"/>
  <c r="AS18" i="35"/>
  <c r="AU18" i="35"/>
  <c r="AU20" i="35"/>
  <c r="AS20" i="35"/>
  <c r="I57" i="35"/>
  <c r="E70" i="35"/>
  <c r="D70" i="35"/>
  <c r="E69" i="35"/>
  <c r="AU29" i="35"/>
  <c r="AT29" i="35"/>
  <c r="AS29" i="35"/>
  <c r="AV29" i="35"/>
  <c r="E67" i="35"/>
  <c r="D67" i="35"/>
  <c r="E66" i="35"/>
  <c r="AB215" i="42" l="1"/>
  <c r="Q145" i="42" s="1"/>
  <c r="Q147" i="42" s="1"/>
  <c r="AB215" i="37"/>
  <c r="Q145" i="37" s="1"/>
  <c r="Q147" i="37" s="1"/>
  <c r="AB215" i="45"/>
  <c r="Q145" i="45" s="1"/>
  <c r="Q147" i="45" s="1"/>
  <c r="AB215" i="38"/>
  <c r="Q145" i="38" s="1"/>
  <c r="Q147" i="38" s="1"/>
  <c r="AB215" i="39"/>
  <c r="Q145" i="39" s="1"/>
  <c r="Q147" i="39" s="1"/>
  <c r="AB215" i="48"/>
  <c r="Q145" i="48" s="1"/>
  <c r="Q147" i="48" s="1"/>
  <c r="AB215" i="40"/>
  <c r="Q145" i="40" s="1"/>
  <c r="Q147" i="40" s="1"/>
  <c r="AB215" i="52"/>
  <c r="Q145" i="52" s="1"/>
  <c r="Q147" i="52" s="1"/>
  <c r="AB215" i="53"/>
  <c r="Q145" i="53" s="1"/>
  <c r="Q147" i="53" s="1"/>
  <c r="AB215" i="49"/>
  <c r="Q145" i="49" s="1"/>
  <c r="Q147" i="49" s="1"/>
  <c r="AB215" i="47"/>
  <c r="Q145" i="47" s="1"/>
  <c r="Q147" i="47" s="1"/>
  <c r="AB215" i="43"/>
  <c r="Q145" i="43" s="1"/>
  <c r="Q147" i="43" s="1"/>
  <c r="AB215" i="36"/>
  <c r="Q145" i="36" s="1"/>
  <c r="Q147" i="36" s="1"/>
  <c r="I66" i="36"/>
  <c r="D73" i="35"/>
  <c r="I73" i="35" s="1"/>
  <c r="I72" i="35" s="1"/>
  <c r="AS21" i="35"/>
  <c r="O97" i="35" s="1"/>
  <c r="E72" i="35"/>
  <c r="AU21" i="35"/>
  <c r="Q97" i="35" s="1"/>
  <c r="I70" i="35"/>
  <c r="I69" i="35" s="1"/>
  <c r="D69" i="35"/>
  <c r="I67" i="35"/>
  <c r="D66" i="35"/>
  <c r="I14" i="32"/>
  <c r="D72" i="35" l="1"/>
  <c r="I66" i="35"/>
  <c r="E7" i="31"/>
  <c r="X29" i="7" l="1"/>
  <c r="X30" i="7"/>
  <c r="X31" i="7"/>
  <c r="X32" i="7"/>
  <c r="X33" i="7"/>
  <c r="X34" i="7"/>
  <c r="X35" i="7"/>
  <c r="X36" i="7"/>
  <c r="X37" i="7"/>
  <c r="X38" i="7"/>
  <c r="X39" i="7"/>
  <c r="X40" i="7"/>
  <c r="X41" i="7"/>
  <c r="X42" i="7"/>
  <c r="X28" i="7"/>
  <c r="AO179" i="7" l="1"/>
  <c r="AN179" i="7"/>
  <c r="AM179" i="7"/>
  <c r="AL179" i="7"/>
  <c r="AK179" i="7"/>
  <c r="AJ179" i="7"/>
  <c r="AI179" i="7"/>
  <c r="AH179" i="7"/>
  <c r="AG179" i="7"/>
  <c r="AF179" i="7"/>
  <c r="AE179" i="7"/>
  <c r="AD179" i="7"/>
  <c r="AC179" i="7"/>
  <c r="AB179" i="7"/>
  <c r="AA179" i="7"/>
  <c r="Z179" i="7"/>
  <c r="Y179" i="7"/>
  <c r="X179" i="7"/>
  <c r="W179" i="7"/>
  <c r="V179" i="7"/>
  <c r="AO178" i="7"/>
  <c r="AN178" i="7"/>
  <c r="AM178" i="7"/>
  <c r="AL178" i="7"/>
  <c r="AK178" i="7"/>
  <c r="AJ178" i="7"/>
  <c r="AI178" i="7"/>
  <c r="AH178" i="7"/>
  <c r="AG178" i="7"/>
  <c r="AF178" i="7"/>
  <c r="AE178" i="7"/>
  <c r="AD178" i="7"/>
  <c r="AC178" i="7"/>
  <c r="AB178" i="7"/>
  <c r="AA178" i="7"/>
  <c r="Z178" i="7"/>
  <c r="Y178" i="7"/>
  <c r="X178" i="7"/>
  <c r="W178" i="7"/>
  <c r="V178" i="7"/>
  <c r="AO177" i="7"/>
  <c r="AN177" i="7"/>
  <c r="AM177" i="7"/>
  <c r="AL177" i="7"/>
  <c r="AK177" i="7"/>
  <c r="AJ177" i="7"/>
  <c r="AI177" i="7"/>
  <c r="AH177" i="7"/>
  <c r="AG177" i="7"/>
  <c r="AF177" i="7"/>
  <c r="AE177" i="7"/>
  <c r="AD177" i="7"/>
  <c r="AC177" i="7"/>
  <c r="AB177" i="7"/>
  <c r="AA177" i="7"/>
  <c r="Z177" i="7"/>
  <c r="Y177" i="7"/>
  <c r="X177" i="7"/>
  <c r="W177" i="7"/>
  <c r="V177" i="7"/>
  <c r="AO176" i="7"/>
  <c r="AN176" i="7"/>
  <c r="AM176" i="7"/>
  <c r="AL176" i="7"/>
  <c r="AK176" i="7"/>
  <c r="AJ176" i="7"/>
  <c r="AI176" i="7"/>
  <c r="AH176" i="7"/>
  <c r="AG176" i="7"/>
  <c r="AF176" i="7"/>
  <c r="AE176" i="7"/>
  <c r="AD176" i="7"/>
  <c r="AC176" i="7"/>
  <c r="AB176" i="7"/>
  <c r="AA176" i="7"/>
  <c r="Z176" i="7"/>
  <c r="Y176" i="7"/>
  <c r="X176" i="7"/>
  <c r="W176" i="7"/>
  <c r="V176" i="7"/>
  <c r="AO175" i="7"/>
  <c r="AN175" i="7"/>
  <c r="AM175" i="7"/>
  <c r="AL175" i="7"/>
  <c r="AK175" i="7"/>
  <c r="AJ175" i="7"/>
  <c r="AI175" i="7"/>
  <c r="AH175" i="7"/>
  <c r="AG175" i="7"/>
  <c r="AF175" i="7"/>
  <c r="AE175" i="7"/>
  <c r="AD175" i="7"/>
  <c r="AC175" i="7"/>
  <c r="AB175" i="7"/>
  <c r="AA175" i="7"/>
  <c r="Z175" i="7"/>
  <c r="Y175" i="7"/>
  <c r="X175" i="7"/>
  <c r="W175" i="7"/>
  <c r="V175" i="7"/>
  <c r="AO174" i="7"/>
  <c r="AN174" i="7"/>
  <c r="AM174" i="7"/>
  <c r="AL174" i="7"/>
  <c r="AK174" i="7"/>
  <c r="AJ174" i="7"/>
  <c r="AI174" i="7"/>
  <c r="AH174" i="7"/>
  <c r="AG174" i="7"/>
  <c r="AF174" i="7"/>
  <c r="AE174" i="7"/>
  <c r="AD174" i="7"/>
  <c r="AC174" i="7"/>
  <c r="AB174" i="7"/>
  <c r="AA174" i="7"/>
  <c r="Z174" i="7"/>
  <c r="Y174" i="7"/>
  <c r="X174" i="7"/>
  <c r="W174" i="7"/>
  <c r="V174" i="7"/>
  <c r="AO173" i="7"/>
  <c r="AN173" i="7"/>
  <c r="AM173" i="7"/>
  <c r="AL173" i="7"/>
  <c r="AK173" i="7"/>
  <c r="AJ173" i="7"/>
  <c r="AI173" i="7"/>
  <c r="AH173" i="7"/>
  <c r="AG173" i="7"/>
  <c r="AF173" i="7"/>
  <c r="AE173" i="7"/>
  <c r="AD173" i="7"/>
  <c r="AC173" i="7"/>
  <c r="AB173" i="7"/>
  <c r="AA173" i="7"/>
  <c r="Z173" i="7"/>
  <c r="Y173" i="7"/>
  <c r="X173" i="7"/>
  <c r="W173" i="7"/>
  <c r="V173" i="7"/>
  <c r="AO172" i="7"/>
  <c r="AN172" i="7"/>
  <c r="AM172" i="7"/>
  <c r="AL172" i="7"/>
  <c r="AK172" i="7"/>
  <c r="AJ172" i="7"/>
  <c r="AI172" i="7"/>
  <c r="AH172" i="7"/>
  <c r="AG172" i="7"/>
  <c r="AF172" i="7"/>
  <c r="AE172" i="7"/>
  <c r="AD172" i="7"/>
  <c r="AC172" i="7"/>
  <c r="AB172" i="7"/>
  <c r="AA172" i="7"/>
  <c r="Z172" i="7"/>
  <c r="Y172" i="7"/>
  <c r="X172" i="7"/>
  <c r="W172" i="7"/>
  <c r="V172" i="7"/>
  <c r="AO171" i="7"/>
  <c r="AN171" i="7"/>
  <c r="AM171" i="7"/>
  <c r="AL171" i="7"/>
  <c r="AK171" i="7"/>
  <c r="AJ171" i="7"/>
  <c r="AI171" i="7"/>
  <c r="AH171" i="7"/>
  <c r="AG171" i="7"/>
  <c r="AF171" i="7"/>
  <c r="AE171" i="7"/>
  <c r="AD171" i="7"/>
  <c r="AC171" i="7"/>
  <c r="AB171" i="7"/>
  <c r="AA171" i="7"/>
  <c r="Z171" i="7"/>
  <c r="Y171" i="7"/>
  <c r="X171" i="7"/>
  <c r="W171" i="7"/>
  <c r="V171" i="7"/>
  <c r="AO170" i="7"/>
  <c r="AN170" i="7"/>
  <c r="AM170" i="7"/>
  <c r="AL170" i="7"/>
  <c r="AK170" i="7"/>
  <c r="AJ170" i="7"/>
  <c r="AI170" i="7"/>
  <c r="AH170" i="7"/>
  <c r="AG170" i="7"/>
  <c r="AF170" i="7"/>
  <c r="AE170" i="7"/>
  <c r="AD170" i="7"/>
  <c r="AC170" i="7"/>
  <c r="AB170" i="7"/>
  <c r="AA170" i="7"/>
  <c r="Z170" i="7"/>
  <c r="Y170" i="7"/>
  <c r="X170" i="7"/>
  <c r="W170" i="7"/>
  <c r="V170" i="7"/>
  <c r="AO169" i="7"/>
  <c r="AN169" i="7"/>
  <c r="AM169" i="7"/>
  <c r="AL169" i="7"/>
  <c r="AK169" i="7"/>
  <c r="AJ169" i="7"/>
  <c r="AI169" i="7"/>
  <c r="AH169" i="7"/>
  <c r="AG169" i="7"/>
  <c r="AF169" i="7"/>
  <c r="AE169" i="7"/>
  <c r="AD169" i="7"/>
  <c r="AC169" i="7"/>
  <c r="AB169" i="7"/>
  <c r="AA169" i="7"/>
  <c r="Z169" i="7"/>
  <c r="Y169" i="7"/>
  <c r="X169" i="7"/>
  <c r="W169" i="7"/>
  <c r="V169" i="7"/>
  <c r="AO168" i="7"/>
  <c r="AN168" i="7"/>
  <c r="AM168" i="7"/>
  <c r="AL168" i="7"/>
  <c r="X95" i="7" s="1"/>
  <c r="AK168" i="7"/>
  <c r="AJ168" i="7"/>
  <c r="AI168" i="7"/>
  <c r="AH168" i="7"/>
  <c r="AG168" i="7"/>
  <c r="AF168" i="7"/>
  <c r="AE168" i="7"/>
  <c r="AD168" i="7"/>
  <c r="AD95" i="7" s="1"/>
  <c r="AC168" i="7"/>
  <c r="AC95" i="7" s="1"/>
  <c r="AB168" i="7"/>
  <c r="AB95" i="7" s="1"/>
  <c r="AA168" i="7"/>
  <c r="AA95" i="7" s="1"/>
  <c r="Z168" i="7"/>
  <c r="Z95" i="7" s="1"/>
  <c r="Y168" i="7"/>
  <c r="Y95" i="7" s="1"/>
  <c r="X168" i="7"/>
  <c r="W168" i="7"/>
  <c r="W95" i="7" s="1"/>
  <c r="V168" i="7"/>
  <c r="V95" i="7" s="1"/>
  <c r="AO167" i="7"/>
  <c r="AN167" i="7"/>
  <c r="AM167" i="7"/>
  <c r="AL167" i="7"/>
  <c r="X94" i="7" s="1"/>
  <c r="AK167" i="7"/>
  <c r="AJ167" i="7"/>
  <c r="AI167" i="7"/>
  <c r="AH167" i="7"/>
  <c r="AG167" i="7"/>
  <c r="AF167" i="7"/>
  <c r="AE167" i="7"/>
  <c r="AD167" i="7"/>
  <c r="AD94" i="7" s="1"/>
  <c r="AC167" i="7"/>
  <c r="AC94" i="7" s="1"/>
  <c r="AB167" i="7"/>
  <c r="AB94" i="7" s="1"/>
  <c r="AA167" i="7"/>
  <c r="AA94" i="7" s="1"/>
  <c r="Z167" i="7"/>
  <c r="Z94" i="7" s="1"/>
  <c r="Y167" i="7"/>
  <c r="Y94" i="7" s="1"/>
  <c r="X167" i="7"/>
  <c r="W167" i="7"/>
  <c r="W94" i="7" s="1"/>
  <c r="V167" i="7"/>
  <c r="V94" i="7" s="1"/>
  <c r="AO166" i="7"/>
  <c r="AN166" i="7"/>
  <c r="AM166" i="7"/>
  <c r="AL166" i="7"/>
  <c r="X93" i="7" s="1"/>
  <c r="AK166" i="7"/>
  <c r="AJ166" i="7"/>
  <c r="AI166" i="7"/>
  <c r="AH166" i="7"/>
  <c r="AG166" i="7"/>
  <c r="AF166" i="7"/>
  <c r="AE166" i="7"/>
  <c r="AD166" i="7"/>
  <c r="AD93" i="7" s="1"/>
  <c r="AC166" i="7"/>
  <c r="AC93" i="7" s="1"/>
  <c r="AB166" i="7"/>
  <c r="AB93" i="7" s="1"/>
  <c r="AA166" i="7"/>
  <c r="AA93" i="7" s="1"/>
  <c r="Z166" i="7"/>
  <c r="Z93" i="7" s="1"/>
  <c r="Y166" i="7"/>
  <c r="Y93" i="7" s="1"/>
  <c r="X166" i="7"/>
  <c r="W166" i="7"/>
  <c r="W93" i="7" s="1"/>
  <c r="V166" i="7"/>
  <c r="V93" i="7" s="1"/>
  <c r="AO165" i="7"/>
  <c r="AN165" i="7"/>
  <c r="AM165" i="7"/>
  <c r="AL165" i="7"/>
  <c r="X92" i="7" s="1"/>
  <c r="AK165" i="7"/>
  <c r="AJ165" i="7"/>
  <c r="AI165" i="7"/>
  <c r="AH165" i="7"/>
  <c r="AG165" i="7"/>
  <c r="AF165" i="7"/>
  <c r="AE165" i="7"/>
  <c r="AD165" i="7"/>
  <c r="AD92" i="7" s="1"/>
  <c r="AC165" i="7"/>
  <c r="AC92" i="7" s="1"/>
  <c r="AB165" i="7"/>
  <c r="AB92" i="7" s="1"/>
  <c r="AA165" i="7"/>
  <c r="AA92" i="7" s="1"/>
  <c r="Z165" i="7"/>
  <c r="Z92" i="7" s="1"/>
  <c r="Y165" i="7"/>
  <c r="Y92" i="7" s="1"/>
  <c r="X165" i="7"/>
  <c r="W165" i="7"/>
  <c r="W92" i="7" s="1"/>
  <c r="V165" i="7"/>
  <c r="V92" i="7" s="1"/>
  <c r="AO164" i="7"/>
  <c r="AN164" i="7"/>
  <c r="AM164" i="7"/>
  <c r="AL164" i="7"/>
  <c r="X91" i="7" s="1"/>
  <c r="AK164" i="7"/>
  <c r="AJ164" i="7"/>
  <c r="AI164" i="7"/>
  <c r="AH164" i="7"/>
  <c r="AG164" i="7"/>
  <c r="AF164" i="7"/>
  <c r="AE164" i="7"/>
  <c r="AD164" i="7"/>
  <c r="AD91" i="7" s="1"/>
  <c r="AC164" i="7"/>
  <c r="AC91" i="7" s="1"/>
  <c r="AB164" i="7"/>
  <c r="AB91" i="7" s="1"/>
  <c r="AA164" i="7"/>
  <c r="AA91" i="7" s="1"/>
  <c r="Z164" i="7"/>
  <c r="Z91" i="7" s="1"/>
  <c r="Y164" i="7"/>
  <c r="Y91" i="7" s="1"/>
  <c r="X164" i="7"/>
  <c r="W164" i="7"/>
  <c r="W91" i="7" s="1"/>
  <c r="V164" i="7"/>
  <c r="V91" i="7" s="1"/>
  <c r="AO163" i="7"/>
  <c r="AN163" i="7"/>
  <c r="AM163" i="7"/>
  <c r="AL163" i="7"/>
  <c r="X90" i="7" s="1"/>
  <c r="AK163" i="7"/>
  <c r="AJ163" i="7"/>
  <c r="AI163" i="7"/>
  <c r="AH163" i="7"/>
  <c r="AG163" i="7"/>
  <c r="AF163" i="7"/>
  <c r="AE163" i="7"/>
  <c r="AD163" i="7"/>
  <c r="AD90" i="7" s="1"/>
  <c r="AC163" i="7"/>
  <c r="AC90" i="7" s="1"/>
  <c r="AB163" i="7"/>
  <c r="AB90" i="7" s="1"/>
  <c r="AA163" i="7"/>
  <c r="AA90" i="7" s="1"/>
  <c r="Z163" i="7"/>
  <c r="Z90" i="7" s="1"/>
  <c r="Y163" i="7"/>
  <c r="Y90" i="7" s="1"/>
  <c r="X163" i="7"/>
  <c r="W163" i="7"/>
  <c r="W90" i="7" s="1"/>
  <c r="V163" i="7"/>
  <c r="V90" i="7" s="1"/>
  <c r="AO162" i="7"/>
  <c r="AN162" i="7"/>
  <c r="AM162" i="7"/>
  <c r="AL162" i="7"/>
  <c r="X89" i="7" s="1"/>
  <c r="AK162" i="7"/>
  <c r="AJ162" i="7"/>
  <c r="AI162" i="7"/>
  <c r="AH162" i="7"/>
  <c r="AG162" i="7"/>
  <c r="AF162" i="7"/>
  <c r="AE162" i="7"/>
  <c r="AD162" i="7"/>
  <c r="AD89" i="7" s="1"/>
  <c r="AC162" i="7"/>
  <c r="AC89" i="7" s="1"/>
  <c r="AB162" i="7"/>
  <c r="AB89" i="7" s="1"/>
  <c r="AA162" i="7"/>
  <c r="AA89" i="7" s="1"/>
  <c r="Z162" i="7"/>
  <c r="Z89" i="7" s="1"/>
  <c r="Y162" i="7"/>
  <c r="Y89" i="7" s="1"/>
  <c r="X162" i="7"/>
  <c r="W162" i="7"/>
  <c r="W89" i="7" s="1"/>
  <c r="V162" i="7"/>
  <c r="V89" i="7" s="1"/>
  <c r="AO161" i="7"/>
  <c r="AN161" i="7"/>
  <c r="AM161" i="7"/>
  <c r="AL161" i="7"/>
  <c r="X88" i="7" s="1"/>
  <c r="AK161" i="7"/>
  <c r="AJ161" i="7"/>
  <c r="AI161" i="7"/>
  <c r="AH161" i="7"/>
  <c r="AG161" i="7"/>
  <c r="AF161" i="7"/>
  <c r="AE161" i="7"/>
  <c r="AD161" i="7"/>
  <c r="AD88" i="7" s="1"/>
  <c r="AC161" i="7"/>
  <c r="AC88" i="7" s="1"/>
  <c r="AB161" i="7"/>
  <c r="AB88" i="7" s="1"/>
  <c r="AA161" i="7"/>
  <c r="AA88" i="7" s="1"/>
  <c r="Z161" i="7"/>
  <c r="Z88" i="7" s="1"/>
  <c r="Y161" i="7"/>
  <c r="Y88" i="7" s="1"/>
  <c r="X161" i="7"/>
  <c r="W161" i="7"/>
  <c r="W88" i="7" s="1"/>
  <c r="V161" i="7"/>
  <c r="V88" i="7" s="1"/>
  <c r="AO160" i="7"/>
  <c r="AN160" i="7"/>
  <c r="AM160" i="7"/>
  <c r="AL160" i="7"/>
  <c r="X87" i="7" s="1"/>
  <c r="AK160" i="7"/>
  <c r="AJ160" i="7"/>
  <c r="AI160" i="7"/>
  <c r="AH160" i="7"/>
  <c r="AG160" i="7"/>
  <c r="AF160" i="7"/>
  <c r="AE160" i="7"/>
  <c r="AD160" i="7"/>
  <c r="AD87" i="7" s="1"/>
  <c r="AC160" i="7"/>
  <c r="AC87" i="7" s="1"/>
  <c r="AB160" i="7"/>
  <c r="AB87" i="7" s="1"/>
  <c r="AA160" i="7"/>
  <c r="AA87" i="7" s="1"/>
  <c r="Z160" i="7"/>
  <c r="Z87" i="7" s="1"/>
  <c r="Y160" i="7"/>
  <c r="Y87" i="7" s="1"/>
  <c r="X160" i="7"/>
  <c r="W160" i="7"/>
  <c r="W87" i="7" s="1"/>
  <c r="V160" i="7"/>
  <c r="V87" i="7" s="1"/>
  <c r="AO159" i="7"/>
  <c r="AN159" i="7"/>
  <c r="AM159" i="7"/>
  <c r="AL159" i="7"/>
  <c r="AK159" i="7"/>
  <c r="AJ159" i="7"/>
  <c r="AI159" i="7"/>
  <c r="AH159" i="7"/>
  <c r="AG159" i="7"/>
  <c r="AF159" i="7"/>
  <c r="AE159" i="7"/>
  <c r="AD159" i="7"/>
  <c r="AC159" i="7"/>
  <c r="AB159" i="7"/>
  <c r="AA159" i="7"/>
  <c r="Z159" i="7"/>
  <c r="Y159" i="7"/>
  <c r="X159" i="7"/>
  <c r="W159" i="7"/>
  <c r="V159" i="7"/>
  <c r="AO158" i="7"/>
  <c r="AN158" i="7"/>
  <c r="AM158" i="7"/>
  <c r="AL158" i="7"/>
  <c r="AK158" i="7"/>
  <c r="AJ158" i="7"/>
  <c r="AI158" i="7"/>
  <c r="AH158" i="7"/>
  <c r="AG158" i="7"/>
  <c r="AF158" i="7"/>
  <c r="AE158" i="7"/>
  <c r="AD158" i="7"/>
  <c r="AC158" i="7"/>
  <c r="AB158" i="7"/>
  <c r="AA158" i="7"/>
  <c r="Z158" i="7"/>
  <c r="Y158" i="7"/>
  <c r="X158" i="7"/>
  <c r="W158" i="7"/>
  <c r="V158" i="7"/>
  <c r="AO157" i="7"/>
  <c r="AN157" i="7"/>
  <c r="AM157" i="7"/>
  <c r="AL157" i="7"/>
  <c r="AK157" i="7"/>
  <c r="AJ157" i="7"/>
  <c r="AI157" i="7"/>
  <c r="AH157" i="7"/>
  <c r="AG157" i="7"/>
  <c r="AF157" i="7"/>
  <c r="AE157" i="7"/>
  <c r="AD157" i="7"/>
  <c r="AC157" i="7"/>
  <c r="AB157" i="7"/>
  <c r="AA157" i="7"/>
  <c r="Z157" i="7"/>
  <c r="Y157" i="7"/>
  <c r="X157" i="7"/>
  <c r="W157" i="7"/>
  <c r="V157" i="7"/>
  <c r="AO156" i="7"/>
  <c r="AN156" i="7"/>
  <c r="AM156" i="7"/>
  <c r="AL156" i="7"/>
  <c r="AK156" i="7"/>
  <c r="AJ156" i="7"/>
  <c r="AI156" i="7"/>
  <c r="AH156" i="7"/>
  <c r="AG156" i="7"/>
  <c r="AF156" i="7"/>
  <c r="AE156" i="7"/>
  <c r="AD156" i="7"/>
  <c r="AC156" i="7"/>
  <c r="AB156" i="7"/>
  <c r="AA156" i="7"/>
  <c r="Z156" i="7"/>
  <c r="Y156" i="7"/>
  <c r="X156" i="7"/>
  <c r="W156" i="7"/>
  <c r="V156" i="7"/>
  <c r="AO155" i="7"/>
  <c r="AN155" i="7"/>
  <c r="AM155" i="7"/>
  <c r="AL155" i="7"/>
  <c r="AK155" i="7"/>
  <c r="AJ155" i="7"/>
  <c r="AI155" i="7"/>
  <c r="AH155" i="7"/>
  <c r="AG155" i="7"/>
  <c r="AF155" i="7"/>
  <c r="AE155" i="7"/>
  <c r="AD155" i="7"/>
  <c r="AC155" i="7"/>
  <c r="AB155" i="7"/>
  <c r="AA155" i="7"/>
  <c r="Z155" i="7"/>
  <c r="Y155" i="7"/>
  <c r="X155" i="7"/>
  <c r="W155" i="7"/>
  <c r="V155" i="7"/>
  <c r="AO154" i="7"/>
  <c r="AN154" i="7"/>
  <c r="AM154" i="7"/>
  <c r="AL154" i="7"/>
  <c r="AK154" i="7"/>
  <c r="AJ154" i="7"/>
  <c r="AI154" i="7"/>
  <c r="AH154" i="7"/>
  <c r="AG154" i="7"/>
  <c r="AF154" i="7"/>
  <c r="AE154" i="7"/>
  <c r="AD154" i="7"/>
  <c r="AC154" i="7"/>
  <c r="AB154" i="7"/>
  <c r="AA154" i="7"/>
  <c r="Z154" i="7"/>
  <c r="Y154" i="7"/>
  <c r="X154" i="7"/>
  <c r="W154" i="7"/>
  <c r="V154" i="7"/>
  <c r="AO153" i="7"/>
  <c r="AN153" i="7"/>
  <c r="AM153" i="7"/>
  <c r="AL153" i="7"/>
  <c r="AK153" i="7"/>
  <c r="AJ153" i="7"/>
  <c r="AI153" i="7"/>
  <c r="AH153" i="7"/>
  <c r="AG153" i="7"/>
  <c r="AF153" i="7"/>
  <c r="AE153" i="7"/>
  <c r="AD153" i="7"/>
  <c r="AC153" i="7"/>
  <c r="AB153" i="7"/>
  <c r="AA153" i="7"/>
  <c r="Z153" i="7"/>
  <c r="Y153" i="7"/>
  <c r="X153" i="7"/>
  <c r="W153" i="7"/>
  <c r="V153" i="7"/>
  <c r="AO152" i="7"/>
  <c r="AN152" i="7"/>
  <c r="AM152" i="7"/>
  <c r="AL152" i="7"/>
  <c r="AK152" i="7"/>
  <c r="AJ152" i="7"/>
  <c r="AI152" i="7"/>
  <c r="AH152" i="7"/>
  <c r="AG152" i="7"/>
  <c r="AF152" i="7"/>
  <c r="AE152" i="7"/>
  <c r="AD152" i="7"/>
  <c r="AC152" i="7"/>
  <c r="AB152" i="7"/>
  <c r="AA152" i="7"/>
  <c r="Z152" i="7"/>
  <c r="Y152" i="7"/>
  <c r="X152" i="7"/>
  <c r="W152" i="7"/>
  <c r="V152" i="7"/>
  <c r="AO151" i="7"/>
  <c r="AN151" i="7"/>
  <c r="AM151" i="7"/>
  <c r="AL151" i="7"/>
  <c r="AK151" i="7"/>
  <c r="AJ151" i="7"/>
  <c r="AI151" i="7"/>
  <c r="AH151" i="7"/>
  <c r="AG151" i="7"/>
  <c r="AF151" i="7"/>
  <c r="AE151" i="7"/>
  <c r="AD151" i="7"/>
  <c r="AC151" i="7"/>
  <c r="AB151" i="7"/>
  <c r="AA151" i="7"/>
  <c r="Z151" i="7"/>
  <c r="Y151" i="7"/>
  <c r="X151" i="7"/>
  <c r="W151" i="7"/>
  <c r="V151" i="7"/>
  <c r="AO150" i="7"/>
  <c r="AN150" i="7"/>
  <c r="AM150" i="7"/>
  <c r="AL150" i="7"/>
  <c r="AK150" i="7"/>
  <c r="AJ150" i="7"/>
  <c r="AI150" i="7"/>
  <c r="AH150" i="7"/>
  <c r="AG150" i="7"/>
  <c r="AF150" i="7"/>
  <c r="AE150" i="7"/>
  <c r="AD150" i="7"/>
  <c r="AC150" i="7"/>
  <c r="AB150" i="7"/>
  <c r="AA150" i="7"/>
  <c r="Z150" i="7"/>
  <c r="Y150" i="7"/>
  <c r="X150" i="7"/>
  <c r="W150" i="7"/>
  <c r="V150" i="7"/>
  <c r="AO149" i="7"/>
  <c r="AN149" i="7"/>
  <c r="AM149" i="7"/>
  <c r="AL149" i="7"/>
  <c r="AK149" i="7"/>
  <c r="AJ149" i="7"/>
  <c r="AI149" i="7"/>
  <c r="AH149" i="7"/>
  <c r="AG149" i="7"/>
  <c r="AF149" i="7"/>
  <c r="AE149" i="7"/>
  <c r="AD149" i="7"/>
  <c r="AC149" i="7"/>
  <c r="AB149" i="7"/>
  <c r="AA149" i="7"/>
  <c r="Z149" i="7"/>
  <c r="Y149" i="7"/>
  <c r="X149" i="7"/>
  <c r="W149" i="7"/>
  <c r="V149" i="7"/>
  <c r="AO148" i="7"/>
  <c r="AN148" i="7"/>
  <c r="AM148" i="7"/>
  <c r="AL148" i="7"/>
  <c r="AK148" i="7"/>
  <c r="AJ148" i="7"/>
  <c r="AI148" i="7"/>
  <c r="AH148" i="7"/>
  <c r="AG148" i="7"/>
  <c r="AF148" i="7"/>
  <c r="AE148" i="7"/>
  <c r="AD148" i="7"/>
  <c r="AC148" i="7"/>
  <c r="AB148" i="7"/>
  <c r="AA148" i="7"/>
  <c r="Z148" i="7"/>
  <c r="Y148" i="7"/>
  <c r="X148" i="7"/>
  <c r="W148" i="7"/>
  <c r="V148" i="7"/>
  <c r="AO147" i="7"/>
  <c r="AN147" i="7"/>
  <c r="AM147" i="7"/>
  <c r="AL147" i="7"/>
  <c r="AK147" i="7"/>
  <c r="AJ147" i="7"/>
  <c r="AI147" i="7"/>
  <c r="AH147" i="7"/>
  <c r="AG147" i="7"/>
  <c r="AF147" i="7"/>
  <c r="AE147" i="7"/>
  <c r="AD147" i="7"/>
  <c r="AC147" i="7"/>
  <c r="AB147" i="7"/>
  <c r="AA147" i="7"/>
  <c r="Z147" i="7"/>
  <c r="Y147" i="7"/>
  <c r="X147" i="7"/>
  <c r="W147" i="7"/>
  <c r="V147" i="7"/>
  <c r="AO146" i="7"/>
  <c r="AN146" i="7"/>
  <c r="AM146" i="7"/>
  <c r="AL146" i="7"/>
  <c r="AK146" i="7"/>
  <c r="AJ146" i="7"/>
  <c r="AI146" i="7"/>
  <c r="AH146" i="7"/>
  <c r="AG146" i="7"/>
  <c r="AF146" i="7"/>
  <c r="AE146" i="7"/>
  <c r="AD146" i="7"/>
  <c r="AC146" i="7"/>
  <c r="AB146" i="7"/>
  <c r="AA146" i="7"/>
  <c r="Z146" i="7"/>
  <c r="Y146" i="7"/>
  <c r="X146" i="7"/>
  <c r="W146" i="7"/>
  <c r="V146" i="7"/>
  <c r="AO145" i="7"/>
  <c r="AN145" i="7"/>
  <c r="AM145" i="7"/>
  <c r="AL145" i="7"/>
  <c r="AK145" i="7"/>
  <c r="AJ145" i="7"/>
  <c r="AI145" i="7"/>
  <c r="AH145" i="7"/>
  <c r="AG145" i="7"/>
  <c r="AF145" i="7"/>
  <c r="AE145" i="7"/>
  <c r="AD145" i="7"/>
  <c r="AC145" i="7"/>
  <c r="AB145" i="7"/>
  <c r="AA145" i="7"/>
  <c r="Z145" i="7"/>
  <c r="Y145" i="7"/>
  <c r="X145" i="7"/>
  <c r="W145" i="7"/>
  <c r="V145" i="7"/>
  <c r="AO144" i="7"/>
  <c r="AN144" i="7"/>
  <c r="AM144" i="7"/>
  <c r="AL144" i="7"/>
  <c r="AK144" i="7"/>
  <c r="AJ144" i="7"/>
  <c r="AI144" i="7"/>
  <c r="AH144" i="7"/>
  <c r="AG144" i="7"/>
  <c r="AF144" i="7"/>
  <c r="AE144" i="7"/>
  <c r="AD144" i="7"/>
  <c r="AC144" i="7"/>
  <c r="AB144" i="7"/>
  <c r="AA144" i="7"/>
  <c r="Z144" i="7"/>
  <c r="Y144" i="7"/>
  <c r="X144" i="7"/>
  <c r="W144" i="7"/>
  <c r="V144" i="7"/>
  <c r="AO143" i="7"/>
  <c r="AN143" i="7"/>
  <c r="AM143" i="7"/>
  <c r="AL143" i="7"/>
  <c r="AK143" i="7"/>
  <c r="AJ143" i="7"/>
  <c r="AI143" i="7"/>
  <c r="AH143" i="7"/>
  <c r="AG143" i="7"/>
  <c r="AF143" i="7"/>
  <c r="AE143" i="7"/>
  <c r="AD143" i="7"/>
  <c r="AC143" i="7"/>
  <c r="AB143" i="7"/>
  <c r="AA143" i="7"/>
  <c r="Z143" i="7"/>
  <c r="Y143" i="7"/>
  <c r="X143" i="7"/>
  <c r="W143" i="7"/>
  <c r="V143" i="7"/>
  <c r="AO142" i="7"/>
  <c r="AN142" i="7"/>
  <c r="AM142" i="7"/>
  <c r="AL142" i="7"/>
  <c r="AK142" i="7"/>
  <c r="AJ142" i="7"/>
  <c r="AI142" i="7"/>
  <c r="AH142" i="7"/>
  <c r="AG142" i="7"/>
  <c r="AF142" i="7"/>
  <c r="AE142" i="7"/>
  <c r="AD142" i="7"/>
  <c r="AC142" i="7"/>
  <c r="AB142" i="7"/>
  <c r="AA142" i="7"/>
  <c r="Z142" i="7"/>
  <c r="Y142" i="7"/>
  <c r="X142" i="7"/>
  <c r="W142" i="7"/>
  <c r="V142" i="7"/>
  <c r="AO141" i="7"/>
  <c r="AN141" i="7"/>
  <c r="AM141" i="7"/>
  <c r="AL141" i="7"/>
  <c r="AK141" i="7"/>
  <c r="AJ141" i="7"/>
  <c r="AI141" i="7"/>
  <c r="AH141" i="7"/>
  <c r="AG141" i="7"/>
  <c r="AF141" i="7"/>
  <c r="AE141" i="7"/>
  <c r="AD141" i="7"/>
  <c r="AC141" i="7"/>
  <c r="AB141" i="7"/>
  <c r="AA141" i="7"/>
  <c r="Z141" i="7"/>
  <c r="Y141" i="7"/>
  <c r="X141" i="7"/>
  <c r="W141" i="7"/>
  <c r="V141" i="7"/>
  <c r="AO140" i="7"/>
  <c r="AN140" i="7"/>
  <c r="AM140" i="7"/>
  <c r="AL140" i="7"/>
  <c r="AK140" i="7"/>
  <c r="AJ140" i="7"/>
  <c r="AI140" i="7"/>
  <c r="AH140" i="7"/>
  <c r="AG140" i="7"/>
  <c r="AF140" i="7"/>
  <c r="AE140" i="7"/>
  <c r="AD140" i="7"/>
  <c r="AC140" i="7"/>
  <c r="AB140" i="7"/>
  <c r="AA140" i="7"/>
  <c r="Z140" i="7"/>
  <c r="Y140" i="7"/>
  <c r="X140" i="7"/>
  <c r="W140" i="7"/>
  <c r="V140" i="7"/>
  <c r="AO139" i="7"/>
  <c r="AN139" i="7"/>
  <c r="AM139" i="7"/>
  <c r="AL139" i="7"/>
  <c r="AK139" i="7"/>
  <c r="AJ139" i="7"/>
  <c r="AI139" i="7"/>
  <c r="AH139" i="7"/>
  <c r="AG139" i="7"/>
  <c r="AF139" i="7"/>
  <c r="AE139" i="7"/>
  <c r="AD139" i="7"/>
  <c r="AC139" i="7"/>
  <c r="AB139" i="7"/>
  <c r="AA139" i="7"/>
  <c r="Z139" i="7"/>
  <c r="Y139" i="7"/>
  <c r="X139" i="7"/>
  <c r="W139" i="7"/>
  <c r="V139" i="7"/>
  <c r="AO138" i="7"/>
  <c r="AN138" i="7"/>
  <c r="AM138" i="7"/>
  <c r="AL138" i="7"/>
  <c r="AK138" i="7"/>
  <c r="AJ138" i="7"/>
  <c r="AI138" i="7"/>
  <c r="AH138" i="7"/>
  <c r="AG138" i="7"/>
  <c r="AF138" i="7"/>
  <c r="AE138" i="7"/>
  <c r="AD138" i="7"/>
  <c r="AC138" i="7"/>
  <c r="AB138" i="7"/>
  <c r="AA138" i="7"/>
  <c r="Z138" i="7"/>
  <c r="Y138" i="7"/>
  <c r="X138" i="7"/>
  <c r="W138" i="7"/>
  <c r="V138" i="7"/>
  <c r="AO137" i="7"/>
  <c r="AN137" i="7"/>
  <c r="AM137" i="7"/>
  <c r="AL137" i="7"/>
  <c r="AK137" i="7"/>
  <c r="AJ137" i="7"/>
  <c r="AI137" i="7"/>
  <c r="AH137" i="7"/>
  <c r="AG137" i="7"/>
  <c r="AF137" i="7"/>
  <c r="AE137" i="7"/>
  <c r="AD137" i="7"/>
  <c r="AC137" i="7"/>
  <c r="AB137" i="7"/>
  <c r="AA137" i="7"/>
  <c r="Z137" i="7"/>
  <c r="Y137" i="7"/>
  <c r="X137" i="7"/>
  <c r="W137" i="7"/>
  <c r="V137" i="7"/>
  <c r="AO136" i="7"/>
  <c r="AN136" i="7"/>
  <c r="AM136" i="7"/>
  <c r="AL136" i="7"/>
  <c r="AK136" i="7"/>
  <c r="AJ136" i="7"/>
  <c r="AI136" i="7"/>
  <c r="AH136" i="7"/>
  <c r="AG136" i="7"/>
  <c r="AF136" i="7"/>
  <c r="AE136" i="7"/>
  <c r="AD136" i="7"/>
  <c r="AC136" i="7"/>
  <c r="AB136" i="7"/>
  <c r="AA136" i="7"/>
  <c r="Z136" i="7"/>
  <c r="Y136" i="7"/>
  <c r="X136" i="7"/>
  <c r="W136" i="7"/>
  <c r="V136" i="7"/>
  <c r="AO135" i="7"/>
  <c r="AN135" i="7"/>
  <c r="AM135" i="7"/>
  <c r="AL135" i="7"/>
  <c r="AK135" i="7"/>
  <c r="AJ135" i="7"/>
  <c r="AI135" i="7"/>
  <c r="AH135" i="7"/>
  <c r="AG135" i="7"/>
  <c r="AF135" i="7"/>
  <c r="AE135" i="7"/>
  <c r="AD135" i="7"/>
  <c r="AC135" i="7"/>
  <c r="AB135" i="7"/>
  <c r="AA135" i="7"/>
  <c r="Z135" i="7"/>
  <c r="Y135" i="7"/>
  <c r="X135" i="7"/>
  <c r="W135" i="7"/>
  <c r="V135" i="7"/>
  <c r="AO134" i="7"/>
  <c r="AN134" i="7"/>
  <c r="AM134" i="7"/>
  <c r="AL134" i="7"/>
  <c r="AK134" i="7"/>
  <c r="AJ134" i="7"/>
  <c r="AI134" i="7"/>
  <c r="AH134" i="7"/>
  <c r="AG134" i="7"/>
  <c r="AF134" i="7"/>
  <c r="AE134" i="7"/>
  <c r="AD134" i="7"/>
  <c r="AC134" i="7"/>
  <c r="AB134" i="7"/>
  <c r="AA134" i="7"/>
  <c r="Z134" i="7"/>
  <c r="Y134" i="7"/>
  <c r="X134" i="7"/>
  <c r="W134" i="7"/>
  <c r="V134" i="7"/>
  <c r="AO133" i="7"/>
  <c r="AN133" i="7"/>
  <c r="AM133" i="7"/>
  <c r="AL133" i="7"/>
  <c r="AK133" i="7"/>
  <c r="AJ133" i="7"/>
  <c r="AI133" i="7"/>
  <c r="AH133" i="7"/>
  <c r="AG133" i="7"/>
  <c r="AF133" i="7"/>
  <c r="AE133" i="7"/>
  <c r="AD133" i="7"/>
  <c r="AC133" i="7"/>
  <c r="AB133" i="7"/>
  <c r="AA133" i="7"/>
  <c r="Z133" i="7"/>
  <c r="Y133" i="7"/>
  <c r="X133" i="7"/>
  <c r="W133" i="7"/>
  <c r="V133" i="7"/>
  <c r="AO132" i="7"/>
  <c r="AN132" i="7"/>
  <c r="AM132" i="7"/>
  <c r="AL132" i="7"/>
  <c r="AK132" i="7"/>
  <c r="AJ132" i="7"/>
  <c r="AI132" i="7"/>
  <c r="AH132" i="7"/>
  <c r="AG132" i="7"/>
  <c r="AF132" i="7"/>
  <c r="AE132" i="7"/>
  <c r="AD132" i="7"/>
  <c r="AC132" i="7"/>
  <c r="AB132" i="7"/>
  <c r="AA132" i="7"/>
  <c r="Z132" i="7"/>
  <c r="Y132" i="7"/>
  <c r="X132" i="7"/>
  <c r="W132" i="7"/>
  <c r="V132" i="7"/>
  <c r="AO131" i="7"/>
  <c r="AN131" i="7"/>
  <c r="AM131" i="7"/>
  <c r="AL131" i="7"/>
  <c r="AK131" i="7"/>
  <c r="AJ131" i="7"/>
  <c r="AI131" i="7"/>
  <c r="AH131" i="7"/>
  <c r="AG131" i="7"/>
  <c r="AF131" i="7"/>
  <c r="AE131" i="7"/>
  <c r="AD131" i="7"/>
  <c r="AC131" i="7"/>
  <c r="AB131" i="7"/>
  <c r="AA131" i="7"/>
  <c r="Z131" i="7"/>
  <c r="Y131" i="7"/>
  <c r="X131" i="7"/>
  <c r="W131" i="7"/>
  <c r="V131" i="7"/>
  <c r="AO130" i="7"/>
  <c r="AN130" i="7"/>
  <c r="AM130" i="7"/>
  <c r="AL130" i="7"/>
  <c r="AK130" i="7"/>
  <c r="AJ130" i="7"/>
  <c r="AI130" i="7"/>
  <c r="AH130" i="7"/>
  <c r="AG130" i="7"/>
  <c r="AF130" i="7"/>
  <c r="AE130" i="7"/>
  <c r="AD130" i="7"/>
  <c r="AC130" i="7"/>
  <c r="AB130" i="7"/>
  <c r="AA130" i="7"/>
  <c r="Z130" i="7"/>
  <c r="Y130" i="7"/>
  <c r="X130" i="7"/>
  <c r="W130" i="7"/>
  <c r="V130" i="7"/>
  <c r="AO129" i="7"/>
  <c r="AN129" i="7"/>
  <c r="AM129" i="7"/>
  <c r="AL129" i="7"/>
  <c r="AK129" i="7"/>
  <c r="AJ129" i="7"/>
  <c r="AI129" i="7"/>
  <c r="AH129" i="7"/>
  <c r="AG129" i="7"/>
  <c r="AF129" i="7"/>
  <c r="AE129" i="7"/>
  <c r="AD129" i="7"/>
  <c r="AC129" i="7"/>
  <c r="AB129" i="7"/>
  <c r="AA129" i="7"/>
  <c r="Z129" i="7"/>
  <c r="Y129" i="7"/>
  <c r="X129" i="7"/>
  <c r="W129" i="7"/>
  <c r="V129" i="7"/>
  <c r="AO128" i="7"/>
  <c r="AN128" i="7"/>
  <c r="AM128" i="7"/>
  <c r="AL128" i="7"/>
  <c r="AK128" i="7"/>
  <c r="AJ128" i="7"/>
  <c r="AI128" i="7"/>
  <c r="AH128" i="7"/>
  <c r="AG128" i="7"/>
  <c r="AF128" i="7"/>
  <c r="AE128" i="7"/>
  <c r="AD128" i="7"/>
  <c r="AC128" i="7"/>
  <c r="AB128" i="7"/>
  <c r="AA128" i="7"/>
  <c r="Z128" i="7"/>
  <c r="Y128" i="7"/>
  <c r="X128" i="7"/>
  <c r="W128" i="7"/>
  <c r="V128" i="7"/>
  <c r="AO127" i="7"/>
  <c r="AN127" i="7"/>
  <c r="AM127" i="7"/>
  <c r="AL127" i="7"/>
  <c r="AK127" i="7"/>
  <c r="AJ127" i="7"/>
  <c r="AI127" i="7"/>
  <c r="AH127" i="7"/>
  <c r="AG127" i="7"/>
  <c r="AF127" i="7"/>
  <c r="AE127" i="7"/>
  <c r="AD127" i="7"/>
  <c r="AC127" i="7"/>
  <c r="AB127" i="7"/>
  <c r="AA127" i="7"/>
  <c r="Z127" i="7"/>
  <c r="Y127" i="7"/>
  <c r="X127" i="7"/>
  <c r="W127" i="7"/>
  <c r="V127" i="7"/>
  <c r="AO126" i="7"/>
  <c r="AN126" i="7"/>
  <c r="AM126" i="7"/>
  <c r="AL126" i="7"/>
  <c r="AK126" i="7"/>
  <c r="AJ126" i="7"/>
  <c r="AI126" i="7"/>
  <c r="AH126" i="7"/>
  <c r="AG126" i="7"/>
  <c r="AF126" i="7"/>
  <c r="AE126" i="7"/>
  <c r="AD126" i="7"/>
  <c r="AC126" i="7"/>
  <c r="AB126" i="7"/>
  <c r="AA126" i="7"/>
  <c r="Z126" i="7"/>
  <c r="Y126" i="7"/>
  <c r="X126" i="7"/>
  <c r="W126" i="7"/>
  <c r="V126" i="7"/>
  <c r="AO125" i="7"/>
  <c r="AN125" i="7"/>
  <c r="AM125" i="7"/>
  <c r="AL125" i="7"/>
  <c r="AK125" i="7"/>
  <c r="AJ125" i="7"/>
  <c r="AI125" i="7"/>
  <c r="AH125" i="7"/>
  <c r="AG125" i="7"/>
  <c r="AF125" i="7"/>
  <c r="AE125" i="7"/>
  <c r="AD125" i="7"/>
  <c r="AC125" i="7"/>
  <c r="AB125" i="7"/>
  <c r="AA125" i="7"/>
  <c r="Z125" i="7"/>
  <c r="Y125" i="7"/>
  <c r="X125" i="7"/>
  <c r="W125" i="7"/>
  <c r="V125" i="7"/>
  <c r="AO124" i="7"/>
  <c r="AN124" i="7"/>
  <c r="AM124" i="7"/>
  <c r="AL124" i="7"/>
  <c r="AK124" i="7"/>
  <c r="AJ124" i="7"/>
  <c r="AI124" i="7"/>
  <c r="AH124" i="7"/>
  <c r="AG124" i="7"/>
  <c r="AF124" i="7"/>
  <c r="AE124" i="7"/>
  <c r="AD124" i="7"/>
  <c r="AC124" i="7"/>
  <c r="AB124" i="7"/>
  <c r="AA124" i="7"/>
  <c r="Z124" i="7"/>
  <c r="Y124" i="7"/>
  <c r="X124" i="7"/>
  <c r="W124" i="7"/>
  <c r="V124" i="7"/>
  <c r="AO123" i="7"/>
  <c r="AN123" i="7"/>
  <c r="AM123" i="7"/>
  <c r="AL123" i="7"/>
  <c r="AK123" i="7"/>
  <c r="AJ123" i="7"/>
  <c r="AI123" i="7"/>
  <c r="AH123" i="7"/>
  <c r="AG123" i="7"/>
  <c r="AF123" i="7"/>
  <c r="AE123" i="7"/>
  <c r="AD123" i="7"/>
  <c r="AC123" i="7"/>
  <c r="AB123" i="7"/>
  <c r="AA123" i="7"/>
  <c r="Z123" i="7"/>
  <c r="Y123" i="7"/>
  <c r="X123" i="7"/>
  <c r="W123" i="7"/>
  <c r="V123" i="7"/>
  <c r="AO122" i="7"/>
  <c r="AN122" i="7"/>
  <c r="AM122" i="7"/>
  <c r="AL122" i="7"/>
  <c r="AK122" i="7"/>
  <c r="AJ122" i="7"/>
  <c r="AI122" i="7"/>
  <c r="AH122" i="7"/>
  <c r="AG122" i="7"/>
  <c r="AF122" i="7"/>
  <c r="AE122" i="7"/>
  <c r="AD122" i="7"/>
  <c r="AC122" i="7"/>
  <c r="AB122" i="7"/>
  <c r="AA122" i="7"/>
  <c r="Z122" i="7"/>
  <c r="Y122" i="7"/>
  <c r="X122" i="7"/>
  <c r="W122" i="7"/>
  <c r="V122" i="7"/>
  <c r="AO121" i="7"/>
  <c r="AN121" i="7"/>
  <c r="AM121" i="7"/>
  <c r="AL121" i="7"/>
  <c r="AK121" i="7"/>
  <c r="AJ121" i="7"/>
  <c r="AI121" i="7"/>
  <c r="AH121" i="7"/>
  <c r="AG121" i="7"/>
  <c r="AF121" i="7"/>
  <c r="AE121" i="7"/>
  <c r="AD121" i="7"/>
  <c r="AC121" i="7"/>
  <c r="AB121" i="7"/>
  <c r="AA121" i="7"/>
  <c r="Z121" i="7"/>
  <c r="Y121" i="7"/>
  <c r="X121" i="7"/>
  <c r="W121" i="7"/>
  <c r="V121" i="7"/>
  <c r="AO120" i="7"/>
  <c r="AN120" i="7"/>
  <c r="AM120" i="7"/>
  <c r="AL120" i="7"/>
  <c r="AK120" i="7"/>
  <c r="AJ120" i="7"/>
  <c r="AI120" i="7"/>
  <c r="AH120" i="7"/>
  <c r="AG120" i="7"/>
  <c r="AF120" i="7"/>
  <c r="AE120" i="7"/>
  <c r="AD120" i="7"/>
  <c r="AC120" i="7"/>
  <c r="AB120" i="7"/>
  <c r="AA120" i="7"/>
  <c r="Z120" i="7"/>
  <c r="Y120" i="7"/>
  <c r="X120" i="7"/>
  <c r="W120" i="7"/>
  <c r="V120" i="7"/>
  <c r="AO119" i="7"/>
  <c r="AN119" i="7"/>
  <c r="AM119" i="7"/>
  <c r="AL119" i="7"/>
  <c r="AK119" i="7"/>
  <c r="AJ119" i="7"/>
  <c r="AI119" i="7"/>
  <c r="AH119" i="7"/>
  <c r="AG119" i="7"/>
  <c r="AF119" i="7"/>
  <c r="AE119" i="7"/>
  <c r="AD119" i="7"/>
  <c r="AC119" i="7"/>
  <c r="AB119" i="7"/>
  <c r="AA119" i="7"/>
  <c r="Z119" i="7"/>
  <c r="Y119" i="7"/>
  <c r="X119" i="7"/>
  <c r="W119" i="7"/>
  <c r="V119" i="7"/>
  <c r="AO118" i="7"/>
  <c r="AN118" i="7"/>
  <c r="AM118" i="7"/>
  <c r="AL118" i="7"/>
  <c r="AK118" i="7"/>
  <c r="AJ118" i="7"/>
  <c r="AI118" i="7"/>
  <c r="AH118" i="7"/>
  <c r="AG118" i="7"/>
  <c r="AF118" i="7"/>
  <c r="AE118" i="7"/>
  <c r="AD118" i="7"/>
  <c r="AC118" i="7"/>
  <c r="AB118" i="7"/>
  <c r="AA118" i="7"/>
  <c r="Z118" i="7"/>
  <c r="Y118" i="7"/>
  <c r="X118" i="7"/>
  <c r="W118" i="7"/>
  <c r="V118" i="7"/>
  <c r="AO117" i="7"/>
  <c r="AN117" i="7"/>
  <c r="AM117" i="7"/>
  <c r="AL117" i="7"/>
  <c r="AK117" i="7"/>
  <c r="AJ117" i="7"/>
  <c r="AI117" i="7"/>
  <c r="AH117" i="7"/>
  <c r="AG117" i="7"/>
  <c r="AF117" i="7"/>
  <c r="AE117" i="7"/>
  <c r="AD117" i="7"/>
  <c r="AC117" i="7"/>
  <c r="AB117" i="7"/>
  <c r="AA117" i="7"/>
  <c r="Z117" i="7"/>
  <c r="Y117" i="7"/>
  <c r="X117" i="7"/>
  <c r="W117" i="7"/>
  <c r="V117" i="7"/>
  <c r="AO116" i="7"/>
  <c r="AN116" i="7"/>
  <c r="AM116" i="7"/>
  <c r="AL116" i="7"/>
  <c r="AK116" i="7"/>
  <c r="AJ116" i="7"/>
  <c r="AI116" i="7"/>
  <c r="AH116" i="7"/>
  <c r="AG116" i="7"/>
  <c r="AF116" i="7"/>
  <c r="AE116" i="7"/>
  <c r="AD116" i="7"/>
  <c r="AC116" i="7"/>
  <c r="AB116" i="7"/>
  <c r="AA116" i="7"/>
  <c r="Z116" i="7"/>
  <c r="Y116" i="7"/>
  <c r="X116" i="7"/>
  <c r="W116" i="7"/>
  <c r="V116" i="7"/>
  <c r="AO115" i="7"/>
  <c r="AN115" i="7"/>
  <c r="AM115" i="7"/>
  <c r="AL115" i="7"/>
  <c r="AK115" i="7"/>
  <c r="AJ115" i="7"/>
  <c r="AI115" i="7"/>
  <c r="AH115" i="7"/>
  <c r="AG115" i="7"/>
  <c r="AF115" i="7"/>
  <c r="AE115" i="7"/>
  <c r="AD115" i="7"/>
  <c r="AC115" i="7"/>
  <c r="AB115" i="7"/>
  <c r="AA115" i="7"/>
  <c r="Z115" i="7"/>
  <c r="Y115" i="7"/>
  <c r="X115" i="7"/>
  <c r="W115" i="7"/>
  <c r="V115" i="7"/>
  <c r="AO114" i="7"/>
  <c r="AN114" i="7"/>
  <c r="AM114" i="7"/>
  <c r="AL114" i="7"/>
  <c r="AK114" i="7"/>
  <c r="AJ114" i="7"/>
  <c r="AI114" i="7"/>
  <c r="AH114" i="7"/>
  <c r="AG114" i="7"/>
  <c r="AF114" i="7"/>
  <c r="AE114" i="7"/>
  <c r="AD114" i="7"/>
  <c r="AC114" i="7"/>
  <c r="AB114" i="7"/>
  <c r="AA114" i="7"/>
  <c r="Z114" i="7"/>
  <c r="Y114" i="7"/>
  <c r="X114" i="7"/>
  <c r="W114" i="7"/>
  <c r="V114" i="7"/>
  <c r="AO113" i="7"/>
  <c r="AN113" i="7"/>
  <c r="AM113" i="7"/>
  <c r="AL113" i="7"/>
  <c r="AK113" i="7"/>
  <c r="AJ113" i="7"/>
  <c r="AI113" i="7"/>
  <c r="AH113" i="7"/>
  <c r="AG113" i="7"/>
  <c r="AF113" i="7"/>
  <c r="AE113" i="7"/>
  <c r="AD113" i="7"/>
  <c r="AC113" i="7"/>
  <c r="AB113" i="7"/>
  <c r="AA113" i="7"/>
  <c r="Z113" i="7"/>
  <c r="Y113" i="7"/>
  <c r="X113" i="7"/>
  <c r="W113" i="7"/>
  <c r="V113" i="7"/>
  <c r="AO112" i="7"/>
  <c r="AN112" i="7"/>
  <c r="AM112" i="7"/>
  <c r="AL112" i="7"/>
  <c r="AK112" i="7"/>
  <c r="AJ112" i="7"/>
  <c r="AI112" i="7"/>
  <c r="AH112" i="7"/>
  <c r="AG112" i="7"/>
  <c r="AF112" i="7"/>
  <c r="AE112" i="7"/>
  <c r="AD112" i="7"/>
  <c r="AC112" i="7"/>
  <c r="AB112" i="7"/>
  <c r="AA112" i="7"/>
  <c r="Z112" i="7"/>
  <c r="Y112" i="7"/>
  <c r="X112" i="7"/>
  <c r="W112" i="7"/>
  <c r="V112" i="7"/>
  <c r="AO111" i="7"/>
  <c r="AN111" i="7"/>
  <c r="AM111" i="7"/>
  <c r="AL111" i="7"/>
  <c r="AK111" i="7"/>
  <c r="AJ111" i="7"/>
  <c r="AI111" i="7"/>
  <c r="AH111" i="7"/>
  <c r="AG111" i="7"/>
  <c r="AF111" i="7"/>
  <c r="AE111" i="7"/>
  <c r="AD111" i="7"/>
  <c r="AC111" i="7"/>
  <c r="AB111" i="7"/>
  <c r="AA111" i="7"/>
  <c r="Z111" i="7"/>
  <c r="Y111" i="7"/>
  <c r="X111" i="7"/>
  <c r="W111" i="7"/>
  <c r="V111" i="7"/>
  <c r="AO110" i="7"/>
  <c r="AN110" i="7"/>
  <c r="AM110" i="7"/>
  <c r="AL110" i="7"/>
  <c r="AK110" i="7"/>
  <c r="AJ110" i="7"/>
  <c r="AI110" i="7"/>
  <c r="AH110" i="7"/>
  <c r="AG110" i="7"/>
  <c r="AF110" i="7"/>
  <c r="AE110" i="7"/>
  <c r="AD110" i="7"/>
  <c r="AC110" i="7"/>
  <c r="AB110" i="7"/>
  <c r="AA110" i="7"/>
  <c r="Z110" i="7"/>
  <c r="Y110" i="7"/>
  <c r="X110" i="7"/>
  <c r="W110" i="7"/>
  <c r="V110" i="7"/>
  <c r="AO109" i="7"/>
  <c r="AN109" i="7"/>
  <c r="AM109" i="7"/>
  <c r="AL109" i="7"/>
  <c r="AK109" i="7"/>
  <c r="AJ109" i="7"/>
  <c r="AI109" i="7"/>
  <c r="AH109" i="7"/>
  <c r="AG109" i="7"/>
  <c r="AF109" i="7"/>
  <c r="AE109" i="7"/>
  <c r="AD109" i="7"/>
  <c r="AC109" i="7"/>
  <c r="AB109" i="7"/>
  <c r="AA109" i="7"/>
  <c r="Z109" i="7"/>
  <c r="Y109" i="7"/>
  <c r="X109" i="7"/>
  <c r="W109" i="7"/>
  <c r="V109" i="7"/>
  <c r="AO108" i="7"/>
  <c r="AN108" i="7"/>
  <c r="AM108" i="7"/>
  <c r="AL108" i="7"/>
  <c r="AK108" i="7"/>
  <c r="AJ108" i="7"/>
  <c r="AI108" i="7"/>
  <c r="AH108" i="7"/>
  <c r="AG108" i="7"/>
  <c r="AF108" i="7"/>
  <c r="AE108" i="7"/>
  <c r="AD108" i="7"/>
  <c r="AC108" i="7"/>
  <c r="AB108" i="7"/>
  <c r="AA108" i="7"/>
  <c r="Z108" i="7"/>
  <c r="Y108" i="7"/>
  <c r="X108" i="7"/>
  <c r="W108" i="7"/>
  <c r="V108" i="7"/>
  <c r="AO107" i="7"/>
  <c r="AN107" i="7"/>
  <c r="AM107" i="7"/>
  <c r="AL107" i="7"/>
  <c r="AK107" i="7"/>
  <c r="AJ107" i="7"/>
  <c r="AI107" i="7"/>
  <c r="AH107" i="7"/>
  <c r="AG107" i="7"/>
  <c r="AF107" i="7"/>
  <c r="AE107" i="7"/>
  <c r="AD107" i="7"/>
  <c r="AC107" i="7"/>
  <c r="AB107" i="7"/>
  <c r="AA107" i="7"/>
  <c r="Z107" i="7"/>
  <c r="Y107" i="7"/>
  <c r="X107" i="7"/>
  <c r="W107" i="7"/>
  <c r="V107" i="7"/>
  <c r="AO106" i="7"/>
  <c r="AN106" i="7"/>
  <c r="AM106" i="7"/>
  <c r="AL106" i="7"/>
  <c r="AK106" i="7"/>
  <c r="AJ106" i="7"/>
  <c r="AI106" i="7"/>
  <c r="AH106" i="7"/>
  <c r="AG106" i="7"/>
  <c r="AF106" i="7"/>
  <c r="AE106" i="7"/>
  <c r="AD106" i="7"/>
  <c r="AC106" i="7"/>
  <c r="AB106" i="7"/>
  <c r="AA106" i="7"/>
  <c r="Z106" i="7"/>
  <c r="Y106" i="7"/>
  <c r="X106" i="7"/>
  <c r="W106" i="7"/>
  <c r="V106" i="7"/>
  <c r="AO105" i="7"/>
  <c r="AN105" i="7"/>
  <c r="AM105" i="7"/>
  <c r="AL105" i="7"/>
  <c r="AK105" i="7"/>
  <c r="AJ105" i="7"/>
  <c r="AI105" i="7"/>
  <c r="AH105" i="7"/>
  <c r="AG105" i="7"/>
  <c r="AF105" i="7"/>
  <c r="AE105" i="7"/>
  <c r="AD105" i="7"/>
  <c r="AC105" i="7"/>
  <c r="AB105" i="7"/>
  <c r="AA105" i="7"/>
  <c r="Z105" i="7"/>
  <c r="Y105" i="7"/>
  <c r="X105" i="7"/>
  <c r="W105" i="7"/>
  <c r="V105" i="7"/>
  <c r="AO104" i="7"/>
  <c r="AN104" i="7"/>
  <c r="AM104" i="7"/>
  <c r="AL104" i="7"/>
  <c r="AK104" i="7"/>
  <c r="AJ104" i="7"/>
  <c r="AI104" i="7"/>
  <c r="AH104" i="7"/>
  <c r="AG104" i="7"/>
  <c r="AF104" i="7"/>
  <c r="AE104" i="7"/>
  <c r="AD104" i="7"/>
  <c r="AC104" i="7"/>
  <c r="AB104" i="7"/>
  <c r="AA104" i="7"/>
  <c r="Z104" i="7"/>
  <c r="Y104" i="7"/>
  <c r="X104" i="7"/>
  <c r="W104" i="7"/>
  <c r="V104" i="7"/>
  <c r="AO103" i="7"/>
  <c r="AN103" i="7"/>
  <c r="AM103" i="7"/>
  <c r="AL103" i="7"/>
  <c r="AK103" i="7"/>
  <c r="AJ103" i="7"/>
  <c r="AI103" i="7"/>
  <c r="AH103" i="7"/>
  <c r="AG103" i="7"/>
  <c r="AF103" i="7"/>
  <c r="AE103" i="7"/>
  <c r="AD103" i="7"/>
  <c r="AC103" i="7"/>
  <c r="AB103" i="7"/>
  <c r="AA103" i="7"/>
  <c r="Z103" i="7"/>
  <c r="Y103" i="7"/>
  <c r="X103" i="7"/>
  <c r="W103" i="7"/>
  <c r="V103" i="7"/>
  <c r="AO102" i="7"/>
  <c r="AN102" i="7"/>
  <c r="AM102" i="7"/>
  <c r="AL102" i="7"/>
  <c r="AK102" i="7"/>
  <c r="AJ102" i="7"/>
  <c r="AI102" i="7"/>
  <c r="AH102" i="7"/>
  <c r="AG102" i="7"/>
  <c r="AF102" i="7"/>
  <c r="AE102" i="7"/>
  <c r="AD102" i="7"/>
  <c r="AC102" i="7"/>
  <c r="AB102" i="7"/>
  <c r="AA102" i="7"/>
  <c r="Z102" i="7"/>
  <c r="Y102" i="7"/>
  <c r="X102" i="7"/>
  <c r="W102" i="7"/>
  <c r="V102" i="7"/>
  <c r="AO101" i="7"/>
  <c r="AN101" i="7"/>
  <c r="AM101" i="7"/>
  <c r="AL101" i="7"/>
  <c r="AK101" i="7"/>
  <c r="AJ101" i="7"/>
  <c r="AI101" i="7"/>
  <c r="AH101" i="7"/>
  <c r="AG101" i="7"/>
  <c r="AF101" i="7"/>
  <c r="AE101" i="7"/>
  <c r="AD101" i="7"/>
  <c r="AC101" i="7"/>
  <c r="AB101" i="7"/>
  <c r="AA101" i="7"/>
  <c r="Z101" i="7"/>
  <c r="Y101" i="7"/>
  <c r="X101" i="7"/>
  <c r="W101" i="7"/>
  <c r="V101" i="7"/>
  <c r="AO100" i="7"/>
  <c r="AN100" i="7"/>
  <c r="AM100" i="7"/>
  <c r="AL100" i="7"/>
  <c r="AK100" i="7"/>
  <c r="AJ100" i="7"/>
  <c r="AI100" i="7"/>
  <c r="AH100" i="7"/>
  <c r="AG100" i="7"/>
  <c r="AF100" i="7"/>
  <c r="AE100" i="7"/>
  <c r="AD100" i="7"/>
  <c r="AC100" i="7"/>
  <c r="AB100" i="7"/>
  <c r="AA100" i="7"/>
  <c r="Z100" i="7"/>
  <c r="Y100" i="7"/>
  <c r="X100" i="7"/>
  <c r="W100" i="7"/>
  <c r="V100" i="7"/>
  <c r="W190" i="7" l="1"/>
  <c r="AB190" i="7" s="1"/>
  <c r="W193" i="7"/>
  <c r="AB193" i="7" s="1"/>
  <c r="W194" i="7"/>
  <c r="AB194" i="7" s="1"/>
  <c r="W197" i="7"/>
  <c r="AB197" i="7" s="1"/>
  <c r="W200" i="7"/>
  <c r="AB200" i="7" s="1"/>
  <c r="W211" i="7"/>
  <c r="AB211" i="7" s="1"/>
  <c r="W191" i="7"/>
  <c r="AB191" i="7" s="1"/>
  <c r="W195" i="7"/>
  <c r="AB195" i="7" s="1"/>
  <c r="W198" i="7"/>
  <c r="AB198" i="7" s="1"/>
  <c r="W192" i="7"/>
  <c r="AB192" i="7" s="1"/>
  <c r="W196" i="7"/>
  <c r="AB196" i="7" s="1"/>
  <c r="W199" i="7"/>
  <c r="AB199" i="7" s="1"/>
  <c r="Y198" i="7"/>
  <c r="AD198" i="7" s="1"/>
  <c r="X202" i="7"/>
  <c r="AC202" i="7" s="1"/>
  <c r="Z206" i="7"/>
  <c r="AE206" i="7" s="1"/>
  <c r="Y210" i="7"/>
  <c r="AD210" i="7" s="1"/>
  <c r="Z210" i="7"/>
  <c r="AE210" i="7" s="1"/>
  <c r="Y206" i="7"/>
  <c r="AD206" i="7" s="1"/>
  <c r="W210" i="7"/>
  <c r="AB210" i="7" s="1"/>
  <c r="Z202" i="7"/>
  <c r="AE202" i="7" s="1"/>
  <c r="Z197" i="7"/>
  <c r="AE197" i="7" s="1"/>
  <c r="Y202" i="7"/>
  <c r="AD202" i="7" s="1"/>
  <c r="Y189" i="7"/>
  <c r="AD189" i="7" s="1"/>
  <c r="Y211" i="7"/>
  <c r="AD211" i="7" s="1"/>
  <c r="W201" i="7"/>
  <c r="AB201" i="7" s="1"/>
  <c r="Y204" i="7"/>
  <c r="AD204" i="7" s="1"/>
  <c r="X208" i="7"/>
  <c r="AC208" i="7" s="1"/>
  <c r="Z205" i="7"/>
  <c r="AE205" i="7" s="1"/>
  <c r="Y203" i="7"/>
  <c r="AD203" i="7" s="1"/>
  <c r="Z200" i="7"/>
  <c r="AE200" i="7" s="1"/>
  <c r="X197" i="7"/>
  <c r="AC197" i="7" s="1"/>
  <c r="Z193" i="7"/>
  <c r="AE193" i="7" s="1"/>
  <c r="X190" i="7"/>
  <c r="AC190" i="7" s="1"/>
  <c r="Z189" i="7"/>
  <c r="AE189" i="7" s="1"/>
  <c r="Y199" i="7"/>
  <c r="AD199" i="7" s="1"/>
  <c r="Z192" i="7"/>
  <c r="AE192" i="7" s="1"/>
  <c r="Z209" i="7"/>
  <c r="AE209" i="7" s="1"/>
  <c r="Y201" i="7"/>
  <c r="AD201" i="7" s="1"/>
  <c r="W189" i="7"/>
  <c r="AB189" i="7" s="1"/>
  <c r="Z190" i="7"/>
  <c r="AE190" i="7" s="1"/>
  <c r="Z207" i="7"/>
  <c r="AE207" i="7" s="1"/>
  <c r="X194" i="7"/>
  <c r="AC194" i="7" s="1"/>
  <c r="Y205" i="7"/>
  <c r="AD205" i="7" s="1"/>
  <c r="Z204" i="7"/>
  <c r="AE204" i="7" s="1"/>
  <c r="X200" i="7"/>
  <c r="AC200" i="7" s="1"/>
  <c r="W205" i="7"/>
  <c r="AB205" i="7" s="1"/>
  <c r="Y197" i="7"/>
  <c r="AD197" i="7" s="1"/>
  <c r="Y195" i="7"/>
  <c r="AD195" i="7" s="1"/>
  <c r="X206" i="7"/>
  <c r="AC206" i="7" s="1"/>
  <c r="W207" i="7"/>
  <c r="AB207" i="7" s="1"/>
  <c r="X203" i="7"/>
  <c r="AC203" i="7" s="1"/>
  <c r="Y200" i="7"/>
  <c r="AD200" i="7" s="1"/>
  <c r="Z196" i="7"/>
  <c r="AE196" i="7" s="1"/>
  <c r="Y193" i="7"/>
  <c r="AD193" i="7" s="1"/>
  <c r="Y188" i="7"/>
  <c r="AD188" i="7" s="1"/>
  <c r="X211" i="7"/>
  <c r="AC211" i="7" s="1"/>
  <c r="W188" i="7"/>
  <c r="AB188" i="7" s="1"/>
  <c r="X209" i="7"/>
  <c r="AC209" i="7" s="1"/>
  <c r="X199" i="7"/>
  <c r="AC199" i="7" s="1"/>
  <c r="Z188" i="7"/>
  <c r="AE188" i="7" s="1"/>
  <c r="W204" i="7"/>
  <c r="AB204" i="7" s="1"/>
  <c r="X198" i="7"/>
  <c r="AC198" i="7" s="1"/>
  <c r="Y190" i="7"/>
  <c r="AD190" i="7" s="1"/>
  <c r="W203" i="7"/>
  <c r="AB203" i="7" s="1"/>
  <c r="W208" i="7"/>
  <c r="AB208" i="7" s="1"/>
  <c r="Z195" i="7"/>
  <c r="AE195" i="7" s="1"/>
  <c r="Y191" i="7"/>
  <c r="AD191" i="7" s="1"/>
  <c r="Z208" i="7"/>
  <c r="AE208" i="7" s="1"/>
  <c r="Y209" i="7"/>
  <c r="AD209" i="7" s="1"/>
  <c r="W202" i="7"/>
  <c r="AB202" i="7" s="1"/>
  <c r="Z199" i="7"/>
  <c r="AE199" i="7" s="1"/>
  <c r="Y196" i="7"/>
  <c r="AD196" i="7" s="1"/>
  <c r="Y192" i="7"/>
  <c r="AD192" i="7" s="1"/>
  <c r="X188" i="7"/>
  <c r="AC188" i="7" s="1"/>
  <c r="Z211" i="7"/>
  <c r="AE211" i="7" s="1"/>
  <c r="Z194" i="7"/>
  <c r="AE194" i="7" s="1"/>
  <c r="X207" i="7"/>
  <c r="AC207" i="7" s="1"/>
  <c r="X210" i="7"/>
  <c r="AC210" i="7" s="1"/>
  <c r="Y194" i="7"/>
  <c r="AD194" i="7" s="1"/>
  <c r="W206" i="7"/>
  <c r="AB206" i="7" s="1"/>
  <c r="Z203" i="7"/>
  <c r="AE203" i="7" s="1"/>
  <c r="X189" i="7"/>
  <c r="AC189" i="7" s="1"/>
  <c r="X196" i="7"/>
  <c r="AC196" i="7" s="1"/>
  <c r="X193" i="7"/>
  <c r="AC193" i="7" s="1"/>
  <c r="Z198" i="7"/>
  <c r="AE198" i="7" s="1"/>
  <c r="X205" i="7"/>
  <c r="AC205" i="7" s="1"/>
  <c r="Y208" i="7"/>
  <c r="AD208" i="7" s="1"/>
  <c r="Y207" i="7"/>
  <c r="AD207" i="7" s="1"/>
  <c r="Z201" i="7"/>
  <c r="AE201" i="7" s="1"/>
  <c r="X192" i="7"/>
  <c r="AC192" i="7" s="1"/>
  <c r="X204" i="7"/>
  <c r="AC204" i="7" s="1"/>
  <c r="X191" i="7"/>
  <c r="AC191" i="7" s="1"/>
  <c r="X195" i="7"/>
  <c r="AC195" i="7" s="1"/>
  <c r="W209" i="7"/>
  <c r="AB209" i="7" s="1"/>
  <c r="X201" i="7"/>
  <c r="AC201" i="7" s="1"/>
  <c r="Z191" i="7"/>
  <c r="AE191" i="7" s="1"/>
  <c r="W213" i="7"/>
  <c r="AB213" i="7" s="1"/>
  <c r="X212" i="7"/>
  <c r="AC212" i="7" s="1"/>
  <c r="X214" i="7"/>
  <c r="AC214" i="7" s="1"/>
  <c r="W214" i="7"/>
  <c r="AB214" i="7" s="1"/>
  <c r="Y212" i="7"/>
  <c r="AD212" i="7" s="1"/>
  <c r="Y214" i="7"/>
  <c r="AD214" i="7" s="1"/>
  <c r="Z212" i="7"/>
  <c r="AE212" i="7" s="1"/>
  <c r="Z214" i="7"/>
  <c r="AE214" i="7" s="1"/>
  <c r="Y213" i="7"/>
  <c r="AD213" i="7" s="1"/>
  <c r="X213" i="7"/>
  <c r="AC213" i="7" s="1"/>
  <c r="W212" i="7"/>
  <c r="AB212" i="7" s="1"/>
  <c r="Z213" i="7"/>
  <c r="AE213" i="7" s="1"/>
  <c r="AE87" i="7"/>
  <c r="AE90" i="7"/>
  <c r="AE93" i="7"/>
  <c r="AE95" i="7"/>
  <c r="AE94" i="7"/>
  <c r="AE92" i="7"/>
  <c r="AE91" i="7"/>
  <c r="AE89" i="7"/>
  <c r="AE88" i="7"/>
  <c r="AD215" i="7" l="1"/>
  <c r="AB215" i="7"/>
  <c r="Q145" i="7" s="1"/>
  <c r="AC215" i="7"/>
  <c r="AE215" i="7"/>
  <c r="AQ58" i="7"/>
  <c r="Z82" i="7"/>
  <c r="Y82" i="7"/>
  <c r="X82" i="7"/>
  <c r="W82" i="7"/>
  <c r="V82" i="7"/>
  <c r="Z81" i="7"/>
  <c r="Y81" i="7"/>
  <c r="X81" i="7"/>
  <c r="W81" i="7"/>
  <c r="V81" i="7"/>
  <c r="Z80" i="7"/>
  <c r="Y80" i="7"/>
  <c r="X80" i="7"/>
  <c r="W80" i="7"/>
  <c r="V80" i="7"/>
  <c r="Z79" i="7"/>
  <c r="Y79" i="7"/>
  <c r="X79" i="7"/>
  <c r="W79" i="7"/>
  <c r="V79" i="7"/>
  <c r="Z78" i="7"/>
  <c r="Y78" i="7"/>
  <c r="X78" i="7"/>
  <c r="W78" i="7"/>
  <c r="V78" i="7"/>
  <c r="Z77" i="7"/>
  <c r="Y77" i="7"/>
  <c r="X77" i="7"/>
  <c r="W77" i="7"/>
  <c r="V77" i="7"/>
  <c r="Z76" i="7"/>
  <c r="Y76" i="7"/>
  <c r="X76" i="7"/>
  <c r="W76" i="7"/>
  <c r="V76" i="7"/>
  <c r="Z75" i="7"/>
  <c r="Y75" i="7"/>
  <c r="X75" i="7"/>
  <c r="W75" i="7"/>
  <c r="V75" i="7"/>
  <c r="Z74" i="7"/>
  <c r="Y74" i="7"/>
  <c r="X74" i="7"/>
  <c r="W74" i="7"/>
  <c r="V74" i="7"/>
  <c r="Z73" i="7"/>
  <c r="Y73" i="7"/>
  <c r="X73" i="7"/>
  <c r="W73" i="7"/>
  <c r="V73" i="7"/>
  <c r="Z68" i="7"/>
  <c r="Y68" i="7"/>
  <c r="X68" i="7"/>
  <c r="W68" i="7"/>
  <c r="V68" i="7"/>
  <c r="Z67" i="7"/>
  <c r="Y67" i="7"/>
  <c r="X67" i="7"/>
  <c r="W67" i="7"/>
  <c r="V67" i="7"/>
  <c r="Z66" i="7"/>
  <c r="Y66" i="7"/>
  <c r="X66" i="7"/>
  <c r="W66" i="7"/>
  <c r="V66" i="7"/>
  <c r="Z65" i="7"/>
  <c r="Y65" i="7"/>
  <c r="X65" i="7"/>
  <c r="W65" i="7"/>
  <c r="V65" i="7"/>
  <c r="Z64" i="7"/>
  <c r="Y64" i="7"/>
  <c r="X64" i="7"/>
  <c r="W64" i="7"/>
  <c r="V64" i="7"/>
  <c r="Z63" i="7"/>
  <c r="Y63" i="7"/>
  <c r="X63" i="7"/>
  <c r="W63" i="7"/>
  <c r="V63" i="7"/>
  <c r="Z62" i="7"/>
  <c r="Y62" i="7"/>
  <c r="X62" i="7"/>
  <c r="W62" i="7"/>
  <c r="V62" i="7"/>
  <c r="Z61" i="7"/>
  <c r="Y61" i="7"/>
  <c r="X61" i="7"/>
  <c r="W61" i="7"/>
  <c r="V61" i="7"/>
  <c r="Z60" i="7"/>
  <c r="Y60" i="7"/>
  <c r="X60" i="7"/>
  <c r="W60" i="7"/>
  <c r="V60" i="7"/>
  <c r="Z59" i="7"/>
  <c r="Y59" i="7"/>
  <c r="X59" i="7"/>
  <c r="W59" i="7"/>
  <c r="V59" i="7"/>
  <c r="Z58" i="7"/>
  <c r="Y58" i="7"/>
  <c r="X58" i="7"/>
  <c r="W58" i="7"/>
  <c r="V58" i="7"/>
  <c r="Z57" i="7"/>
  <c r="Y57" i="7"/>
  <c r="X57" i="7"/>
  <c r="W57" i="7"/>
  <c r="V57" i="7"/>
  <c r="Z56" i="7"/>
  <c r="Y56" i="7"/>
  <c r="X56" i="7"/>
  <c r="W56" i="7"/>
  <c r="V56" i="7"/>
  <c r="AP44" i="7"/>
  <c r="B94" i="7" s="1"/>
  <c r="AP43" i="7"/>
  <c r="B91" i="7" s="1"/>
  <c r="AP42" i="7"/>
  <c r="B88" i="7" s="1"/>
  <c r="AP41" i="7"/>
  <c r="B85" i="7" s="1"/>
  <c r="AP40" i="7"/>
  <c r="B82" i="7" s="1"/>
  <c r="B45" i="7"/>
  <c r="Q35" i="7"/>
  <c r="P35" i="7"/>
  <c r="J39" i="7"/>
  <c r="B38" i="7"/>
  <c r="AG31" i="7"/>
  <c r="B30" i="7"/>
  <c r="AQ27" i="7" s="1"/>
  <c r="B27" i="7"/>
  <c r="P25" i="7"/>
  <c r="I24" i="7" s="1"/>
  <c r="G24" i="7"/>
  <c r="E24" i="7"/>
  <c r="C24" i="7"/>
  <c r="AB23" i="7"/>
  <c r="AA23" i="7"/>
  <c r="Z23" i="7"/>
  <c r="Y23" i="7"/>
  <c r="I23" i="7"/>
  <c r="G23" i="7"/>
  <c r="E23" i="7"/>
  <c r="C23" i="7"/>
  <c r="AB22" i="7"/>
  <c r="AA22" i="7"/>
  <c r="Z22" i="7"/>
  <c r="Y22" i="7"/>
  <c r="I22" i="7"/>
  <c r="G22" i="7"/>
  <c r="E22" i="7"/>
  <c r="C22" i="7"/>
  <c r="I21" i="7"/>
  <c r="G21" i="7"/>
  <c r="E21" i="7"/>
  <c r="C21" i="7"/>
  <c r="AI20" i="7"/>
  <c r="I20" i="7"/>
  <c r="B69" i="7"/>
  <c r="AQ35" i="7" s="1"/>
  <c r="AI19" i="7"/>
  <c r="B66" i="7"/>
  <c r="AQ34" i="7" s="1"/>
  <c r="AI18" i="7"/>
  <c r="AI17" i="7"/>
  <c r="AI16" i="7"/>
  <c r="AI15" i="7"/>
  <c r="AI14" i="7"/>
  <c r="I14" i="7"/>
  <c r="B60" i="7"/>
  <c r="AQ32" i="7" s="1"/>
  <c r="AI13" i="7"/>
  <c r="B57" i="7"/>
  <c r="AQ31" i="7" s="1"/>
  <c r="AI12" i="7"/>
  <c r="AI11" i="7"/>
  <c r="AB11" i="7"/>
  <c r="AA11" i="7"/>
  <c r="Z11" i="7"/>
  <c r="Y11" i="7"/>
  <c r="AI10" i="7"/>
  <c r="AB10" i="7"/>
  <c r="AA10" i="7"/>
  <c r="Z10" i="7"/>
  <c r="Y10" i="7"/>
  <c r="AI9" i="7"/>
  <c r="AJ9" i="7" s="1"/>
  <c r="AB9" i="7"/>
  <c r="AA9" i="7"/>
  <c r="Z9" i="7"/>
  <c r="AC9" i="7" s="1"/>
  <c r="Y9" i="7"/>
  <c r="AQ8" i="7"/>
  <c r="B54" i="7" s="1"/>
  <c r="AQ30" i="7" s="1"/>
  <c r="AB8" i="7"/>
  <c r="AA8" i="7"/>
  <c r="Z8" i="7"/>
  <c r="AC8" i="7" s="1"/>
  <c r="Y8" i="7"/>
  <c r="AQ7" i="7"/>
  <c r="AQ6" i="7"/>
  <c r="O35" i="7" l="1"/>
  <c r="E18" i="7" s="1"/>
  <c r="D39" i="7"/>
  <c r="E46" i="7"/>
  <c r="E45" i="7"/>
  <c r="AJ12" i="7"/>
  <c r="AJ15" i="7"/>
  <c r="AJ18" i="7"/>
  <c r="AC10" i="7"/>
  <c r="AD8" i="7" s="1"/>
  <c r="P24" i="7"/>
  <c r="G20" i="7" s="1"/>
  <c r="D38" i="7"/>
  <c r="I38" i="7" s="1"/>
  <c r="E39" i="7"/>
  <c r="E38" i="7"/>
  <c r="AC22" i="7"/>
  <c r="V49" i="7"/>
  <c r="AC23" i="7"/>
  <c r="AD22" i="7" s="1"/>
  <c r="AB39" i="7" s="1"/>
  <c r="AC32" i="7" s="1"/>
  <c r="AC11" i="7"/>
  <c r="D46" i="7"/>
  <c r="B48" i="7"/>
  <c r="AQ28" i="7" s="1"/>
  <c r="B72" i="7"/>
  <c r="AQ36" i="7" s="1"/>
  <c r="B51" i="7"/>
  <c r="AQ29" i="7" s="1"/>
  <c r="B63" i="7"/>
  <c r="AQ33" i="7" s="1"/>
  <c r="Q147" i="7" l="1"/>
  <c r="AC30" i="7"/>
  <c r="O96" i="7" s="1"/>
  <c r="I39" i="7"/>
  <c r="Q96" i="7"/>
  <c r="I46" i="7"/>
  <c r="I45" i="7" s="1"/>
  <c r="D45" i="7"/>
  <c r="AL18" i="7"/>
  <c r="AK18" i="7" s="1"/>
  <c r="AV26" i="7" s="1"/>
  <c r="Q111" i="7" s="1"/>
  <c r="AB36" i="7"/>
  <c r="AL15" i="7"/>
  <c r="AK15" i="7" s="1"/>
  <c r="AU26" i="7" s="1"/>
  <c r="P111" i="7" s="1"/>
  <c r="AL12" i="7"/>
  <c r="AK12" i="7" s="1"/>
  <c r="AL9" i="7"/>
  <c r="AK9" i="7" s="1"/>
  <c r="V47" i="7"/>
  <c r="V48" i="7" s="1"/>
  <c r="V51" i="7" s="1"/>
  <c r="J27" i="7" s="1"/>
  <c r="AC31" i="7" l="1"/>
  <c r="P96" i="7" s="1"/>
  <c r="AU5" i="7"/>
  <c r="AS5" i="7"/>
  <c r="J28" i="7"/>
  <c r="D28" i="7" s="1"/>
  <c r="AS26" i="7"/>
  <c r="N111" i="7" s="1"/>
  <c r="AT26" i="7"/>
  <c r="O111" i="7" s="1"/>
  <c r="E27" i="7"/>
  <c r="D27" i="7"/>
  <c r="AT5" i="7" l="1"/>
  <c r="AV6" i="7" s="1"/>
  <c r="AS6" i="7" s="1"/>
  <c r="I27" i="7"/>
  <c r="I28" i="7" s="1"/>
  <c r="E28" i="7"/>
  <c r="H99" i="6"/>
  <c r="H98" i="6"/>
  <c r="H97" i="6"/>
  <c r="H96" i="6"/>
  <c r="H95" i="6"/>
  <c r="H94" i="6"/>
  <c r="H93" i="6"/>
  <c r="H92" i="6"/>
  <c r="H91" i="6"/>
  <c r="H90" i="6"/>
  <c r="H89" i="6"/>
  <c r="H88" i="6"/>
  <c r="H87" i="6"/>
  <c r="AA66" i="48" l="1"/>
  <c r="V50" i="48" s="1"/>
  <c r="Z47" i="48" s="1"/>
  <c r="Z48" i="48" s="1"/>
  <c r="Z49" i="48" s="1"/>
  <c r="J30" i="48" s="1"/>
  <c r="AA66" i="49"/>
  <c r="V50" i="49" s="1"/>
  <c r="Z47" i="49" s="1"/>
  <c r="Z48" i="49" s="1"/>
  <c r="Z49" i="49" s="1"/>
  <c r="J30" i="49" s="1"/>
  <c r="AA66" i="47"/>
  <c r="V50" i="47" s="1"/>
  <c r="Z47" i="47" s="1"/>
  <c r="Z48" i="47" s="1"/>
  <c r="Z49" i="47" s="1"/>
  <c r="J30" i="47" s="1"/>
  <c r="AA66" i="52"/>
  <c r="V50" i="52" s="1"/>
  <c r="Z47" i="52" s="1"/>
  <c r="Z48" i="52" s="1"/>
  <c r="Z49" i="52" s="1"/>
  <c r="J30" i="52" s="1"/>
  <c r="AA66" i="51"/>
  <c r="V50" i="51" s="1"/>
  <c r="Z47" i="51" s="1"/>
  <c r="Z48" i="51" s="1"/>
  <c r="Z49" i="51" s="1"/>
  <c r="J30" i="51" s="1"/>
  <c r="AA66" i="53"/>
  <c r="V50" i="53" s="1"/>
  <c r="Z47" i="53" s="1"/>
  <c r="Z48" i="53" s="1"/>
  <c r="Z49" i="53" s="1"/>
  <c r="J30" i="53" s="1"/>
  <c r="AA66" i="50"/>
  <c r="V50" i="50" s="1"/>
  <c r="Z47" i="50" s="1"/>
  <c r="Z48" i="50" s="1"/>
  <c r="Z49" i="50" s="1"/>
  <c r="J30" i="50" s="1"/>
  <c r="AA66" i="45"/>
  <c r="V50" i="45" s="1"/>
  <c r="Z47" i="45" s="1"/>
  <c r="Z48" i="45" s="1"/>
  <c r="Z49" i="45" s="1"/>
  <c r="J30" i="45" s="1"/>
  <c r="AA66" i="44"/>
  <c r="V50" i="44" s="1"/>
  <c r="Z47" i="44" s="1"/>
  <c r="Z48" i="44" s="1"/>
  <c r="Z49" i="44" s="1"/>
  <c r="J30" i="44" s="1"/>
  <c r="AA66" i="43"/>
  <c r="V50" i="43" s="1"/>
  <c r="Z47" i="43" s="1"/>
  <c r="Z48" i="43" s="1"/>
  <c r="Z49" i="43" s="1"/>
  <c r="J30" i="43" s="1"/>
  <c r="AA66" i="42"/>
  <c r="V50" i="42" s="1"/>
  <c r="Z47" i="42" s="1"/>
  <c r="Z48" i="42" s="1"/>
  <c r="Z49" i="42" s="1"/>
  <c r="J30" i="42" s="1"/>
  <c r="AA66" i="39"/>
  <c r="V50" i="39" s="1"/>
  <c r="Z47" i="39" s="1"/>
  <c r="Z48" i="39" s="1"/>
  <c r="Z49" i="39" s="1"/>
  <c r="J30" i="39" s="1"/>
  <c r="AA66" i="40"/>
  <c r="V50" i="40" s="1"/>
  <c r="Z47" i="40" s="1"/>
  <c r="Z48" i="40" s="1"/>
  <c r="Z49" i="40" s="1"/>
  <c r="J30" i="40" s="1"/>
  <c r="AA66" i="38"/>
  <c r="V50" i="38" s="1"/>
  <c r="Z47" i="38" s="1"/>
  <c r="Z48" i="38" s="1"/>
  <c r="Z49" i="38" s="1"/>
  <c r="J30" i="38" s="1"/>
  <c r="AA66" i="37"/>
  <c r="V50" i="37" s="1"/>
  <c r="Z47" i="37" s="1"/>
  <c r="Z48" i="37" s="1"/>
  <c r="Z49" i="37" s="1"/>
  <c r="J30" i="37" s="1"/>
  <c r="AA67" i="48"/>
  <c r="AA67" i="49"/>
  <c r="AA67" i="47"/>
  <c r="AA67" i="52"/>
  <c r="AA67" i="51"/>
  <c r="AA67" i="53"/>
  <c r="AA67" i="50"/>
  <c r="AA67" i="45"/>
  <c r="AA67" i="44"/>
  <c r="AA67" i="43"/>
  <c r="AA67" i="42"/>
  <c r="AA67" i="39"/>
  <c r="AA67" i="40"/>
  <c r="AA67" i="38"/>
  <c r="AA67" i="37"/>
  <c r="AA58" i="50"/>
  <c r="AA58" i="48"/>
  <c r="AA58" i="49"/>
  <c r="AA58" i="47"/>
  <c r="AA58" i="52"/>
  <c r="AA58" i="51"/>
  <c r="AA58" i="53"/>
  <c r="AA58" i="45"/>
  <c r="AA58" i="44"/>
  <c r="AA58" i="43"/>
  <c r="AA58" i="42"/>
  <c r="AA58" i="38"/>
  <c r="AA58" i="40"/>
  <c r="AA58" i="39"/>
  <c r="AA58" i="37"/>
  <c r="AA61" i="50"/>
  <c r="AA61" i="48"/>
  <c r="AA61" i="49"/>
  <c r="AA61" i="47"/>
  <c r="AA61" i="52"/>
  <c r="AA61" i="51"/>
  <c r="AA61" i="53"/>
  <c r="AA61" i="45"/>
  <c r="AA61" i="44"/>
  <c r="AA61" i="43"/>
  <c r="AA61" i="42"/>
  <c r="AA61" i="40"/>
  <c r="AA61" i="39"/>
  <c r="AA61" i="38"/>
  <c r="AA61" i="37"/>
  <c r="AA56" i="50"/>
  <c r="AA56" i="48"/>
  <c r="AA56" i="49"/>
  <c r="AA56" i="47"/>
  <c r="AA56" i="52"/>
  <c r="AA56" i="51"/>
  <c r="AA56" i="53"/>
  <c r="AA56" i="45"/>
  <c r="AA56" i="44"/>
  <c r="AA56" i="43"/>
  <c r="AA56" i="42"/>
  <c r="AA56" i="38"/>
  <c r="AA56" i="37"/>
  <c r="AA56" i="40"/>
  <c r="AA56" i="39"/>
  <c r="AA62" i="50"/>
  <c r="AA62" i="48"/>
  <c r="AA62" i="49"/>
  <c r="AA62" i="47"/>
  <c r="AA62" i="52"/>
  <c r="AA62" i="51"/>
  <c r="AA62" i="53"/>
  <c r="AA62" i="45"/>
  <c r="AA62" i="44"/>
  <c r="AA62" i="43"/>
  <c r="AA62" i="42"/>
  <c r="AA62" i="40"/>
  <c r="AA62" i="39"/>
  <c r="AA62" i="37"/>
  <c r="AA62" i="38"/>
  <c r="AA68" i="48"/>
  <c r="AA68" i="49"/>
  <c r="AA68" i="47"/>
  <c r="AA68" i="52"/>
  <c r="AA68" i="51"/>
  <c r="AA68" i="53"/>
  <c r="AA68" i="50"/>
  <c r="AA68" i="45"/>
  <c r="AA68" i="44"/>
  <c r="AA68" i="43"/>
  <c r="AA68" i="42"/>
  <c r="AA68" i="39"/>
  <c r="AA68" i="40"/>
  <c r="AA68" i="38"/>
  <c r="AA68" i="37"/>
  <c r="AA60" i="50"/>
  <c r="AA60" i="48"/>
  <c r="AA60" i="49"/>
  <c r="AA60" i="47"/>
  <c r="AA60" i="52"/>
  <c r="AA60" i="51"/>
  <c r="AA60" i="53"/>
  <c r="AA60" i="45"/>
  <c r="AA60" i="44"/>
  <c r="AA60" i="43"/>
  <c r="AA60" i="42"/>
  <c r="AA60" i="40"/>
  <c r="AA60" i="39"/>
  <c r="AA60" i="38"/>
  <c r="AA60" i="37"/>
  <c r="AA57" i="50"/>
  <c r="AA57" i="48"/>
  <c r="AA57" i="49"/>
  <c r="AA57" i="47"/>
  <c r="AA57" i="52"/>
  <c r="AA57" i="51"/>
  <c r="AA57" i="53"/>
  <c r="AA57" i="45"/>
  <c r="AA57" i="44"/>
  <c r="AA57" i="43"/>
  <c r="AA57" i="42"/>
  <c r="AA57" i="40"/>
  <c r="AA57" i="39"/>
  <c r="AA57" i="38"/>
  <c r="AA57" i="37"/>
  <c r="AA63" i="48"/>
  <c r="AA63" i="49"/>
  <c r="AA63" i="47"/>
  <c r="AA63" i="52"/>
  <c r="AA63" i="51"/>
  <c r="AA63" i="53"/>
  <c r="AA63" i="50"/>
  <c r="AA63" i="45"/>
  <c r="AA63" i="44"/>
  <c r="AA63" i="43"/>
  <c r="AA63" i="42"/>
  <c r="AA63" i="39"/>
  <c r="AA63" i="40"/>
  <c r="AA63" i="38"/>
  <c r="AA63" i="37"/>
  <c r="AA64" i="48"/>
  <c r="AA64" i="49"/>
  <c r="AA64" i="47"/>
  <c r="AA64" i="52"/>
  <c r="AA64" i="51"/>
  <c r="AA64" i="53"/>
  <c r="AA64" i="50"/>
  <c r="AA64" i="45"/>
  <c r="AA64" i="44"/>
  <c r="AA64" i="43"/>
  <c r="AA64" i="42"/>
  <c r="AA64" i="39"/>
  <c r="AA64" i="40"/>
  <c r="AA64" i="38"/>
  <c r="AA64" i="37"/>
  <c r="AA59" i="50"/>
  <c r="AA59" i="48"/>
  <c r="AA59" i="49"/>
  <c r="AA59" i="47"/>
  <c r="AA59" i="52"/>
  <c r="AA59" i="51"/>
  <c r="AA59" i="53"/>
  <c r="AA59" i="45"/>
  <c r="AA59" i="44"/>
  <c r="AA59" i="43"/>
  <c r="AA59" i="42"/>
  <c r="AA59" i="40"/>
  <c r="AA59" i="39"/>
  <c r="AA59" i="38"/>
  <c r="AA59" i="37"/>
  <c r="AA65" i="48"/>
  <c r="AA65" i="49"/>
  <c r="AA65" i="47"/>
  <c r="AA65" i="52"/>
  <c r="AA65" i="51"/>
  <c r="AA65" i="53"/>
  <c r="AA65" i="50"/>
  <c r="AA65" i="45"/>
  <c r="AA65" i="44"/>
  <c r="AA65" i="43"/>
  <c r="AA65" i="42"/>
  <c r="AA65" i="39"/>
  <c r="AA65" i="40"/>
  <c r="AA65" i="38"/>
  <c r="AA65" i="37"/>
  <c r="AA56" i="36"/>
  <c r="AA56" i="35"/>
  <c r="AA57" i="36"/>
  <c r="AA57" i="35"/>
  <c r="AA63" i="36"/>
  <c r="AA63" i="35"/>
  <c r="AA64" i="36"/>
  <c r="AA64" i="35"/>
  <c r="AA62" i="36"/>
  <c r="AA62" i="35"/>
  <c r="AA58" i="36"/>
  <c r="AA58" i="35"/>
  <c r="V50" i="35" s="1"/>
  <c r="Z47" i="35" s="1"/>
  <c r="Z48" i="35" s="1"/>
  <c r="Z49" i="35" s="1"/>
  <c r="J30" i="35" s="1"/>
  <c r="AA59" i="36"/>
  <c r="AA59" i="35"/>
  <c r="AA65" i="36"/>
  <c r="AA65" i="35"/>
  <c r="AA68" i="36"/>
  <c r="AA68" i="35"/>
  <c r="AA60" i="36"/>
  <c r="AA60" i="35"/>
  <c r="AA66" i="36"/>
  <c r="V50" i="36" s="1"/>
  <c r="Z47" i="36" s="1"/>
  <c r="Z48" i="36" s="1"/>
  <c r="Z49" i="36" s="1"/>
  <c r="J30" i="36" s="1"/>
  <c r="AA66" i="35"/>
  <c r="AA61" i="36"/>
  <c r="AA61" i="35"/>
  <c r="AA67" i="36"/>
  <c r="AA67" i="35"/>
  <c r="AA67" i="7"/>
  <c r="AA68" i="7"/>
  <c r="AA57" i="7"/>
  <c r="AA61" i="7"/>
  <c r="AA65" i="7"/>
  <c r="AA59" i="7"/>
  <c r="AA63" i="7"/>
  <c r="AA60" i="7"/>
  <c r="AA64" i="7"/>
  <c r="AA58" i="7"/>
  <c r="AA62" i="7"/>
  <c r="AA66" i="7"/>
  <c r="AA56" i="7"/>
  <c r="AU6" i="7"/>
  <c r="J44" i="7"/>
  <c r="E48" i="7" s="1"/>
  <c r="AT6" i="7"/>
  <c r="AV7" i="7"/>
  <c r="AV8" i="7"/>
  <c r="AU27" i="39" l="1"/>
  <c r="AU24" i="39" s="1"/>
  <c r="AU37" i="39" s="1"/>
  <c r="AS27" i="39"/>
  <c r="AS24" i="39" s="1"/>
  <c r="AS37" i="39" s="1"/>
  <c r="J31" i="39"/>
  <c r="AV27" i="39"/>
  <c r="AV24" i="39" s="1"/>
  <c r="AV37" i="39" s="1"/>
  <c r="D30" i="39"/>
  <c r="I30" i="39" s="1"/>
  <c r="E30" i="39"/>
  <c r="AT27" i="39"/>
  <c r="AT24" i="39" s="1"/>
  <c r="AT37" i="39" s="1"/>
  <c r="AT27" i="53"/>
  <c r="AT24" i="53" s="1"/>
  <c r="AT37" i="53" s="1"/>
  <c r="AU27" i="53"/>
  <c r="AU24" i="53" s="1"/>
  <c r="AU37" i="53" s="1"/>
  <c r="AS27" i="53"/>
  <c r="AS24" i="53" s="1"/>
  <c r="AS37" i="53" s="1"/>
  <c r="E30" i="53"/>
  <c r="AV27" i="53"/>
  <c r="AV24" i="53" s="1"/>
  <c r="AV37" i="53" s="1"/>
  <c r="D30" i="53"/>
  <c r="I30" i="53" s="1"/>
  <c r="J31" i="53"/>
  <c r="AS27" i="45"/>
  <c r="AS24" i="45" s="1"/>
  <c r="AS37" i="45" s="1"/>
  <c r="J31" i="45"/>
  <c r="AV27" i="45"/>
  <c r="AV24" i="45" s="1"/>
  <c r="AV37" i="45" s="1"/>
  <c r="AT27" i="45"/>
  <c r="AT24" i="45" s="1"/>
  <c r="AT37" i="45" s="1"/>
  <c r="AU27" i="45"/>
  <c r="AU24" i="45" s="1"/>
  <c r="AU37" i="45" s="1"/>
  <c r="E30" i="45"/>
  <c r="D30" i="45"/>
  <c r="I30" i="45" s="1"/>
  <c r="D30" i="42"/>
  <c r="I30" i="42" s="1"/>
  <c r="AV27" i="42"/>
  <c r="AV24" i="42" s="1"/>
  <c r="AV37" i="42" s="1"/>
  <c r="AS27" i="42"/>
  <c r="AS24" i="42" s="1"/>
  <c r="AS37" i="42" s="1"/>
  <c r="AT27" i="42"/>
  <c r="AT24" i="42" s="1"/>
  <c r="AT37" i="42" s="1"/>
  <c r="E30" i="42"/>
  <c r="AU27" i="42"/>
  <c r="AU24" i="42" s="1"/>
  <c r="AU37" i="42" s="1"/>
  <c r="J31" i="42"/>
  <c r="AS27" i="51"/>
  <c r="AS24" i="51" s="1"/>
  <c r="AS37" i="51" s="1"/>
  <c r="J31" i="51"/>
  <c r="D30" i="51"/>
  <c r="I30" i="51" s="1"/>
  <c r="AV27" i="51"/>
  <c r="AV24" i="51" s="1"/>
  <c r="AV37" i="51" s="1"/>
  <c r="AT27" i="51"/>
  <c r="AT24" i="51" s="1"/>
  <c r="AT37" i="51" s="1"/>
  <c r="E30" i="51"/>
  <c r="AU27" i="51"/>
  <c r="AU24" i="51" s="1"/>
  <c r="AU37" i="51" s="1"/>
  <c r="AU27" i="43"/>
  <c r="AU24" i="43" s="1"/>
  <c r="AU37" i="43" s="1"/>
  <c r="AT27" i="43"/>
  <c r="AT24" i="43" s="1"/>
  <c r="AT37" i="43" s="1"/>
  <c r="J31" i="43"/>
  <c r="AS27" i="43"/>
  <c r="AS24" i="43" s="1"/>
  <c r="AS37" i="43" s="1"/>
  <c r="E30" i="43"/>
  <c r="AV27" i="43"/>
  <c r="AV24" i="43" s="1"/>
  <c r="AV37" i="43" s="1"/>
  <c r="D30" i="43"/>
  <c r="I30" i="43" s="1"/>
  <c r="AT27" i="52"/>
  <c r="AT24" i="52" s="1"/>
  <c r="AT37" i="52" s="1"/>
  <c r="AU27" i="52"/>
  <c r="AU24" i="52" s="1"/>
  <c r="AU37" i="52" s="1"/>
  <c r="D30" i="52"/>
  <c r="I30" i="52" s="1"/>
  <c r="AS27" i="52"/>
  <c r="AS24" i="52" s="1"/>
  <c r="AS37" i="52" s="1"/>
  <c r="J31" i="52"/>
  <c r="AV27" i="52"/>
  <c r="AV24" i="52" s="1"/>
  <c r="AV37" i="52" s="1"/>
  <c r="E30" i="52"/>
  <c r="J31" i="38"/>
  <c r="AS27" i="38"/>
  <c r="AS24" i="38" s="1"/>
  <c r="AS37" i="38" s="1"/>
  <c r="AU27" i="38"/>
  <c r="AU24" i="38" s="1"/>
  <c r="AU37" i="38" s="1"/>
  <c r="AT27" i="38"/>
  <c r="AT24" i="38" s="1"/>
  <c r="AT37" i="38" s="1"/>
  <c r="AV27" i="38"/>
  <c r="AV24" i="38" s="1"/>
  <c r="AV37" i="38" s="1"/>
  <c r="D30" i="38"/>
  <c r="I30" i="38" s="1"/>
  <c r="E30" i="38"/>
  <c r="E30" i="37"/>
  <c r="D30" i="37"/>
  <c r="I30" i="37" s="1"/>
  <c r="J31" i="37"/>
  <c r="AT27" i="37"/>
  <c r="AT24" i="37" s="1"/>
  <c r="AT37" i="37" s="1"/>
  <c r="AS27" i="37"/>
  <c r="AS24" i="37" s="1"/>
  <c r="AS37" i="37" s="1"/>
  <c r="AU27" i="37"/>
  <c r="AU24" i="37" s="1"/>
  <c r="AU37" i="37" s="1"/>
  <c r="AV27" i="37"/>
  <c r="AV24" i="37" s="1"/>
  <c r="AV37" i="37" s="1"/>
  <c r="AS27" i="44"/>
  <c r="AS24" i="44" s="1"/>
  <c r="AS37" i="44" s="1"/>
  <c r="AT27" i="44"/>
  <c r="AT24" i="44" s="1"/>
  <c r="AT37" i="44" s="1"/>
  <c r="D30" i="44"/>
  <c r="I30" i="44" s="1"/>
  <c r="J31" i="44"/>
  <c r="AV27" i="44"/>
  <c r="AV24" i="44" s="1"/>
  <c r="AV37" i="44" s="1"/>
  <c r="E30" i="44"/>
  <c r="AU27" i="44"/>
  <c r="AU24" i="44" s="1"/>
  <c r="AU37" i="44" s="1"/>
  <c r="D30" i="47"/>
  <c r="I30" i="47" s="1"/>
  <c r="E30" i="47"/>
  <c r="AV27" i="47"/>
  <c r="AV24" i="47" s="1"/>
  <c r="AV37" i="47" s="1"/>
  <c r="AT27" i="47"/>
  <c r="AT24" i="47" s="1"/>
  <c r="AT37" i="47" s="1"/>
  <c r="J31" i="47"/>
  <c r="AU27" i="47"/>
  <c r="AU24" i="47" s="1"/>
  <c r="AU37" i="47" s="1"/>
  <c r="AS27" i="47"/>
  <c r="AS24" i="47" s="1"/>
  <c r="AS37" i="47" s="1"/>
  <c r="J31" i="49"/>
  <c r="E30" i="49"/>
  <c r="AS27" i="49"/>
  <c r="AS24" i="49" s="1"/>
  <c r="AS37" i="49" s="1"/>
  <c r="AU27" i="49"/>
  <c r="AU24" i="49" s="1"/>
  <c r="AU37" i="49" s="1"/>
  <c r="AV27" i="49"/>
  <c r="AV24" i="49" s="1"/>
  <c r="AV37" i="49" s="1"/>
  <c r="D30" i="49"/>
  <c r="I30" i="49" s="1"/>
  <c r="AT27" i="49"/>
  <c r="AT24" i="49" s="1"/>
  <c r="AT37" i="49" s="1"/>
  <c r="AV27" i="40"/>
  <c r="AV24" i="40" s="1"/>
  <c r="AV37" i="40" s="1"/>
  <c r="AT27" i="40"/>
  <c r="AT24" i="40" s="1"/>
  <c r="AT37" i="40" s="1"/>
  <c r="J31" i="40"/>
  <c r="AU27" i="40"/>
  <c r="AU24" i="40" s="1"/>
  <c r="AU37" i="40" s="1"/>
  <c r="E30" i="40"/>
  <c r="AS27" i="40"/>
  <c r="AS24" i="40" s="1"/>
  <c r="AS37" i="40" s="1"/>
  <c r="D30" i="40"/>
  <c r="I30" i="40" s="1"/>
  <c r="AV27" i="50"/>
  <c r="AV24" i="50" s="1"/>
  <c r="AV37" i="50" s="1"/>
  <c r="AT27" i="50"/>
  <c r="AT24" i="50" s="1"/>
  <c r="AT37" i="50" s="1"/>
  <c r="AU27" i="50"/>
  <c r="AU24" i="50" s="1"/>
  <c r="AU37" i="50" s="1"/>
  <c r="J31" i="50"/>
  <c r="AS27" i="50"/>
  <c r="AS24" i="50" s="1"/>
  <c r="AS37" i="50" s="1"/>
  <c r="E30" i="50"/>
  <c r="D30" i="50"/>
  <c r="I30" i="50" s="1"/>
  <c r="AS27" i="48"/>
  <c r="AS24" i="48" s="1"/>
  <c r="AS37" i="48" s="1"/>
  <c r="AV27" i="48"/>
  <c r="AV24" i="48" s="1"/>
  <c r="AV37" i="48" s="1"/>
  <c r="D30" i="48"/>
  <c r="I30" i="48" s="1"/>
  <c r="J31" i="48"/>
  <c r="AU27" i="48"/>
  <c r="AU24" i="48" s="1"/>
  <c r="AU37" i="48" s="1"/>
  <c r="AT27" i="48"/>
  <c r="AT24" i="48" s="1"/>
  <c r="AT37" i="48" s="1"/>
  <c r="E30" i="48"/>
  <c r="E30" i="36"/>
  <c r="AU27" i="36"/>
  <c r="AS27" i="36"/>
  <c r="D30" i="36"/>
  <c r="I30" i="36" s="1"/>
  <c r="AT27" i="36"/>
  <c r="J31" i="36"/>
  <c r="AV27" i="36"/>
  <c r="AU30" i="36"/>
  <c r="AU33" i="36"/>
  <c r="AV30" i="36"/>
  <c r="AS32" i="36"/>
  <c r="AS36" i="36"/>
  <c r="AV35" i="36"/>
  <c r="AT36" i="36"/>
  <c r="AS35" i="36"/>
  <c r="AV32" i="36"/>
  <c r="AU32" i="36"/>
  <c r="AV33" i="36"/>
  <c r="AS30" i="36"/>
  <c r="AS33" i="36"/>
  <c r="AT33" i="36"/>
  <c r="AU35" i="36"/>
  <c r="AU36" i="36"/>
  <c r="AT35" i="36"/>
  <c r="AV36" i="36"/>
  <c r="AT30" i="36"/>
  <c r="AT32" i="36"/>
  <c r="D30" i="35"/>
  <c r="I30" i="35" s="1"/>
  <c r="AT27" i="35"/>
  <c r="AT24" i="35" s="1"/>
  <c r="AT37" i="35" s="1"/>
  <c r="AV27" i="35"/>
  <c r="AV24" i="35" s="1"/>
  <c r="AV37" i="35" s="1"/>
  <c r="AS27" i="35"/>
  <c r="AS24" i="35" s="1"/>
  <c r="AS37" i="35" s="1"/>
  <c r="J31" i="35"/>
  <c r="AU27" i="35"/>
  <c r="AU24" i="35" s="1"/>
  <c r="AU37" i="35" s="1"/>
  <c r="E30" i="35"/>
  <c r="E49" i="7"/>
  <c r="V50" i="7"/>
  <c r="Z46" i="7"/>
  <c r="AU8" i="7"/>
  <c r="AS8" i="7"/>
  <c r="AT8" i="7"/>
  <c r="J46" i="7"/>
  <c r="J45" i="7"/>
  <c r="E51" i="7" s="1"/>
  <c r="AU7" i="7"/>
  <c r="AT7" i="7"/>
  <c r="AS7" i="7"/>
  <c r="D49" i="7"/>
  <c r="AU43" i="40" l="1"/>
  <c r="AU42" i="40"/>
  <c r="AU44" i="40"/>
  <c r="AU41" i="40"/>
  <c r="AU40" i="40"/>
  <c r="AS40" i="43"/>
  <c r="AS42" i="43"/>
  <c r="AS43" i="43"/>
  <c r="AS41" i="43"/>
  <c r="AS44" i="43"/>
  <c r="AS43" i="39"/>
  <c r="AS40" i="39"/>
  <c r="AS42" i="39"/>
  <c r="AS41" i="39"/>
  <c r="AS44" i="39"/>
  <c r="D31" i="48"/>
  <c r="E31" i="48"/>
  <c r="AR43" i="50"/>
  <c r="AR42" i="50"/>
  <c r="AR41" i="50"/>
  <c r="AR44" i="50"/>
  <c r="AR40" i="50"/>
  <c r="AR43" i="40"/>
  <c r="AR41" i="40"/>
  <c r="AR40" i="40"/>
  <c r="AR44" i="40"/>
  <c r="AR42" i="40"/>
  <c r="AS44" i="49"/>
  <c r="AS43" i="49"/>
  <c r="AS40" i="49"/>
  <c r="AS41" i="49"/>
  <c r="AS42" i="49"/>
  <c r="E31" i="49"/>
  <c r="D31" i="49"/>
  <c r="I31" i="44"/>
  <c r="AS41" i="37"/>
  <c r="AS42" i="37"/>
  <c r="AS44" i="37"/>
  <c r="AS43" i="37"/>
  <c r="AS40" i="37"/>
  <c r="AU40" i="38"/>
  <c r="AU41" i="38"/>
  <c r="AU43" i="38"/>
  <c r="AU42" i="38"/>
  <c r="AU44" i="38"/>
  <c r="AU40" i="52"/>
  <c r="AU42" i="52"/>
  <c r="AU44" i="52"/>
  <c r="AU43" i="52"/>
  <c r="AU41" i="52"/>
  <c r="I31" i="43"/>
  <c r="AT42" i="43"/>
  <c r="AT44" i="43"/>
  <c r="AT43" i="43"/>
  <c r="AT41" i="43"/>
  <c r="AT40" i="43"/>
  <c r="D31" i="51"/>
  <c r="E31" i="51"/>
  <c r="AR43" i="42"/>
  <c r="AR44" i="42"/>
  <c r="AR40" i="42"/>
  <c r="AR41" i="42"/>
  <c r="AR42" i="42"/>
  <c r="AS41" i="45"/>
  <c r="AS43" i="45"/>
  <c r="AS42" i="45"/>
  <c r="AS44" i="45"/>
  <c r="AS40" i="45"/>
  <c r="AU41" i="53"/>
  <c r="AU40" i="53"/>
  <c r="AU44" i="53"/>
  <c r="AU43" i="53"/>
  <c r="AU42" i="53"/>
  <c r="I31" i="40"/>
  <c r="AS43" i="52"/>
  <c r="AS42" i="52"/>
  <c r="AS41" i="52"/>
  <c r="AS44" i="52"/>
  <c r="AS40" i="52"/>
  <c r="I31" i="51"/>
  <c r="I31" i="53"/>
  <c r="I31" i="48"/>
  <c r="E31" i="50"/>
  <c r="D31" i="50"/>
  <c r="I31" i="49"/>
  <c r="AR42" i="47"/>
  <c r="AR40" i="47"/>
  <c r="AR43" i="47"/>
  <c r="AR44" i="47"/>
  <c r="AR41" i="47"/>
  <c r="I31" i="47"/>
  <c r="AS43" i="44"/>
  <c r="AS44" i="44"/>
  <c r="AS41" i="44"/>
  <c r="AS40" i="44"/>
  <c r="AS42" i="44"/>
  <c r="D31" i="37"/>
  <c r="E31" i="37"/>
  <c r="AS43" i="38"/>
  <c r="AS41" i="38"/>
  <c r="AS40" i="38"/>
  <c r="AS42" i="38"/>
  <c r="AS44" i="38"/>
  <c r="D31" i="52"/>
  <c r="E31" i="52"/>
  <c r="AU41" i="43"/>
  <c r="AU40" i="43"/>
  <c r="AU43" i="43"/>
  <c r="AU42" i="43"/>
  <c r="AU44" i="43"/>
  <c r="AT40" i="51"/>
  <c r="AT44" i="51"/>
  <c r="AT41" i="51"/>
  <c r="AT42" i="51"/>
  <c r="AT43" i="51"/>
  <c r="AR44" i="51"/>
  <c r="AR43" i="51"/>
  <c r="AR40" i="51"/>
  <c r="AR41" i="51"/>
  <c r="AR42" i="51"/>
  <c r="AU40" i="42"/>
  <c r="AU42" i="42"/>
  <c r="AU43" i="42"/>
  <c r="AU44" i="42"/>
  <c r="AU41" i="42"/>
  <c r="AU44" i="45"/>
  <c r="AU41" i="45"/>
  <c r="AU40" i="45"/>
  <c r="AU43" i="45"/>
  <c r="AU42" i="45"/>
  <c r="I31" i="39"/>
  <c r="AU42" i="47"/>
  <c r="AU44" i="47"/>
  <c r="AU43" i="47"/>
  <c r="AU41" i="47"/>
  <c r="AU40" i="47"/>
  <c r="D31" i="44"/>
  <c r="E31" i="44"/>
  <c r="AS41" i="42"/>
  <c r="AS43" i="42"/>
  <c r="AS42" i="42"/>
  <c r="AS44" i="42"/>
  <c r="AS40" i="42"/>
  <c r="AU44" i="48"/>
  <c r="AU40" i="48"/>
  <c r="AU43" i="48"/>
  <c r="AU42" i="48"/>
  <c r="AU41" i="48"/>
  <c r="AT44" i="50"/>
  <c r="AT43" i="50"/>
  <c r="AT42" i="50"/>
  <c r="AT41" i="50"/>
  <c r="AT40" i="50"/>
  <c r="AT41" i="40"/>
  <c r="AT43" i="40"/>
  <c r="AT42" i="40"/>
  <c r="AT44" i="40"/>
  <c r="AT40" i="40"/>
  <c r="AU43" i="49"/>
  <c r="AU40" i="49"/>
  <c r="AU41" i="49"/>
  <c r="AU42" i="49"/>
  <c r="AU44" i="49"/>
  <c r="AT40" i="47"/>
  <c r="AT43" i="47"/>
  <c r="AT44" i="47"/>
  <c r="AT41" i="47"/>
  <c r="AT42" i="47"/>
  <c r="AT41" i="44"/>
  <c r="AT42" i="44"/>
  <c r="AT40" i="44"/>
  <c r="AT43" i="44"/>
  <c r="AT44" i="44"/>
  <c r="AR42" i="44"/>
  <c r="AR40" i="44"/>
  <c r="AR43" i="44"/>
  <c r="AR44" i="44"/>
  <c r="AR41" i="44"/>
  <c r="I31" i="37"/>
  <c r="AT40" i="38"/>
  <c r="AT43" i="38"/>
  <c r="AT41" i="38"/>
  <c r="AT44" i="38"/>
  <c r="AT42" i="38"/>
  <c r="AR44" i="52"/>
  <c r="AR42" i="52"/>
  <c r="AR40" i="52"/>
  <c r="AR43" i="52"/>
  <c r="AR41" i="52"/>
  <c r="E31" i="42"/>
  <c r="D31" i="42"/>
  <c r="I31" i="42"/>
  <c r="D31" i="45"/>
  <c r="E31" i="45"/>
  <c r="AR40" i="53"/>
  <c r="AR42" i="53"/>
  <c r="AR44" i="53"/>
  <c r="AR43" i="53"/>
  <c r="AR41" i="53"/>
  <c r="AU40" i="39"/>
  <c r="AU43" i="39"/>
  <c r="AU42" i="39"/>
  <c r="AU44" i="39"/>
  <c r="AU41" i="39"/>
  <c r="AT44" i="48"/>
  <c r="AT40" i="48"/>
  <c r="AT43" i="48"/>
  <c r="AT41" i="48"/>
  <c r="AT42" i="48"/>
  <c r="AR42" i="37"/>
  <c r="AR43" i="37"/>
  <c r="AR40" i="37"/>
  <c r="AR41" i="37"/>
  <c r="AR44" i="37"/>
  <c r="AT41" i="45"/>
  <c r="AT43" i="45"/>
  <c r="AT42" i="45"/>
  <c r="AT44" i="45"/>
  <c r="AT40" i="45"/>
  <c r="AR42" i="48"/>
  <c r="AR41" i="48"/>
  <c r="AR43" i="48"/>
  <c r="AR44" i="48"/>
  <c r="AR40" i="48"/>
  <c r="AS41" i="50"/>
  <c r="AS40" i="50"/>
  <c r="AS43" i="50"/>
  <c r="AS42" i="50"/>
  <c r="AS44" i="50"/>
  <c r="D31" i="40"/>
  <c r="E31" i="40"/>
  <c r="AT42" i="49"/>
  <c r="AT43" i="49"/>
  <c r="AT44" i="49"/>
  <c r="AT40" i="49"/>
  <c r="AT41" i="49"/>
  <c r="E31" i="47"/>
  <c r="D31" i="47"/>
  <c r="AU42" i="37"/>
  <c r="AU44" i="37"/>
  <c r="AU40" i="37"/>
  <c r="AU43" i="37"/>
  <c r="AU41" i="37"/>
  <c r="AR43" i="38"/>
  <c r="AV43" i="38" s="1"/>
  <c r="AR40" i="38"/>
  <c r="AR41" i="38"/>
  <c r="AV41" i="38" s="1"/>
  <c r="AR44" i="38"/>
  <c r="AV44" i="38" s="1"/>
  <c r="AR42" i="38"/>
  <c r="I31" i="52"/>
  <c r="AR44" i="43"/>
  <c r="AV44" i="43" s="1"/>
  <c r="AR42" i="43"/>
  <c r="AV42" i="43" s="1"/>
  <c r="AR43" i="43"/>
  <c r="AV43" i="43" s="1"/>
  <c r="AR41" i="43"/>
  <c r="AV41" i="43" s="1"/>
  <c r="AR40" i="43"/>
  <c r="AS42" i="51"/>
  <c r="AS40" i="51"/>
  <c r="AS43" i="51"/>
  <c r="AS44" i="51"/>
  <c r="AS41" i="51"/>
  <c r="AT42" i="42"/>
  <c r="AT44" i="42"/>
  <c r="AT40" i="42"/>
  <c r="AT43" i="42"/>
  <c r="AT41" i="42"/>
  <c r="I31" i="45"/>
  <c r="AR44" i="45"/>
  <c r="AR42" i="45"/>
  <c r="AR43" i="45"/>
  <c r="AR41" i="45"/>
  <c r="AR40" i="45"/>
  <c r="AT42" i="53"/>
  <c r="AT43" i="53"/>
  <c r="AT41" i="53"/>
  <c r="AT44" i="53"/>
  <c r="AT40" i="53"/>
  <c r="E31" i="39"/>
  <c r="D31" i="39"/>
  <c r="I31" i="38"/>
  <c r="AS42" i="48"/>
  <c r="AS40" i="48"/>
  <c r="AS41" i="48"/>
  <c r="AS44" i="48"/>
  <c r="AS43" i="48"/>
  <c r="I31" i="50"/>
  <c r="AU43" i="50"/>
  <c r="AU42" i="50"/>
  <c r="AU41" i="50"/>
  <c r="AU44" i="50"/>
  <c r="AU40" i="50"/>
  <c r="AS43" i="40"/>
  <c r="AS44" i="40"/>
  <c r="AS40" i="40"/>
  <c r="AS42" i="40"/>
  <c r="AS41" i="40"/>
  <c r="AR44" i="49"/>
  <c r="AR41" i="49"/>
  <c r="AR42" i="49"/>
  <c r="AR43" i="49"/>
  <c r="AV43" i="49" s="1"/>
  <c r="AR40" i="49"/>
  <c r="AS42" i="47"/>
  <c r="AS43" i="47"/>
  <c r="AS44" i="47"/>
  <c r="AS41" i="47"/>
  <c r="AS40" i="47"/>
  <c r="AU44" i="44"/>
  <c r="AU43" i="44"/>
  <c r="AU42" i="44"/>
  <c r="AU41" i="44"/>
  <c r="AU40" i="44"/>
  <c r="AT43" i="37"/>
  <c r="AT44" i="37"/>
  <c r="AT42" i="37"/>
  <c r="AT40" i="37"/>
  <c r="AT41" i="37"/>
  <c r="D31" i="38"/>
  <c r="E31" i="38"/>
  <c r="AT43" i="52"/>
  <c r="AT42" i="52"/>
  <c r="AT44" i="52"/>
  <c r="AT41" i="52"/>
  <c r="AT40" i="52"/>
  <c r="D31" i="43"/>
  <c r="E31" i="43"/>
  <c r="AU40" i="51"/>
  <c r="AU41" i="51"/>
  <c r="AU42" i="51"/>
  <c r="AU44" i="51"/>
  <c r="AU43" i="51"/>
  <c r="D31" i="53"/>
  <c r="E31" i="53"/>
  <c r="AS42" i="53"/>
  <c r="AS44" i="53"/>
  <c r="AS41" i="53"/>
  <c r="AS43" i="53"/>
  <c r="AS40" i="53"/>
  <c r="AR44" i="39"/>
  <c r="AR42" i="39"/>
  <c r="AR41" i="39"/>
  <c r="AR40" i="39"/>
  <c r="AR43" i="39"/>
  <c r="AT41" i="39"/>
  <c r="AT43" i="39"/>
  <c r="AT44" i="39"/>
  <c r="AT40" i="39"/>
  <c r="AT42" i="39"/>
  <c r="AT44" i="35"/>
  <c r="AT43" i="35"/>
  <c r="AT40" i="35"/>
  <c r="AT42" i="35"/>
  <c r="AT41" i="35"/>
  <c r="AS24" i="36"/>
  <c r="AS37" i="36" s="1"/>
  <c r="I31" i="35"/>
  <c r="E31" i="35"/>
  <c r="D31" i="35"/>
  <c r="AU24" i="36"/>
  <c r="AU37" i="36" s="1"/>
  <c r="I31" i="36"/>
  <c r="AR44" i="35"/>
  <c r="AR41" i="35"/>
  <c r="AR40" i="35"/>
  <c r="AR42" i="35"/>
  <c r="AR43" i="35"/>
  <c r="AV24" i="36"/>
  <c r="AV37" i="36" s="1"/>
  <c r="AU43" i="35"/>
  <c r="AU40" i="35"/>
  <c r="AU44" i="35"/>
  <c r="AU41" i="35"/>
  <c r="AU42" i="35"/>
  <c r="D31" i="36"/>
  <c r="E31" i="36"/>
  <c r="AS43" i="35"/>
  <c r="AS41" i="35"/>
  <c r="AS40" i="35"/>
  <c r="AS44" i="35"/>
  <c r="AS42" i="35"/>
  <c r="AT24" i="36"/>
  <c r="AT37" i="36" s="1"/>
  <c r="I49" i="7"/>
  <c r="I48" i="7" s="1"/>
  <c r="D48" i="7"/>
  <c r="E55" i="7"/>
  <c r="E54" i="7"/>
  <c r="E52" i="7"/>
  <c r="Z47" i="7"/>
  <c r="Z48" i="7" s="1"/>
  <c r="Z49" i="7" s="1"/>
  <c r="J30" i="7" s="1"/>
  <c r="AS9" i="7"/>
  <c r="AS11" i="7" s="1"/>
  <c r="AT9" i="7"/>
  <c r="AT11" i="7" s="1"/>
  <c r="AU9" i="7"/>
  <c r="D52" i="7"/>
  <c r="D55" i="7"/>
  <c r="AV44" i="39" l="1"/>
  <c r="AV43" i="48"/>
  <c r="AV40" i="49"/>
  <c r="AV40" i="38"/>
  <c r="AV43" i="39"/>
  <c r="AV43" i="45"/>
  <c r="AV42" i="49"/>
  <c r="AV42" i="45"/>
  <c r="AX42" i="45" s="1"/>
  <c r="AV44" i="45"/>
  <c r="AV40" i="43"/>
  <c r="AV42" i="38"/>
  <c r="AZ42" i="38" s="1"/>
  <c r="AV44" i="49"/>
  <c r="AV40" i="39"/>
  <c r="E91" i="49"/>
  <c r="E92" i="49"/>
  <c r="AW43" i="49"/>
  <c r="D92" i="49"/>
  <c r="AZ43" i="49"/>
  <c r="AY43" i="49"/>
  <c r="AX43" i="49"/>
  <c r="AV43" i="51"/>
  <c r="D92" i="43"/>
  <c r="E92" i="43"/>
  <c r="AX43" i="43"/>
  <c r="AY43" i="43"/>
  <c r="AZ43" i="43"/>
  <c r="AW43" i="43"/>
  <c r="E91" i="43"/>
  <c r="AV44" i="48"/>
  <c r="AV43" i="53"/>
  <c r="AV41" i="52"/>
  <c r="AV40" i="44"/>
  <c r="AV44" i="51"/>
  <c r="AV42" i="47"/>
  <c r="AV44" i="40"/>
  <c r="AV44" i="50"/>
  <c r="AV40" i="51"/>
  <c r="AX42" i="43"/>
  <c r="AZ42" i="43"/>
  <c r="AY42" i="43"/>
  <c r="E89" i="43"/>
  <c r="D89" i="43"/>
  <c r="AW42" i="43"/>
  <c r="E88" i="43"/>
  <c r="AY42" i="38"/>
  <c r="AX42" i="38"/>
  <c r="AV41" i="37"/>
  <c r="AW43" i="48"/>
  <c r="AY43" i="48"/>
  <c r="E92" i="48"/>
  <c r="AX43" i="48"/>
  <c r="D92" i="48"/>
  <c r="AZ43" i="48"/>
  <c r="E91" i="48"/>
  <c r="AV44" i="53"/>
  <c r="AV43" i="52"/>
  <c r="AV42" i="44"/>
  <c r="AV40" i="45"/>
  <c r="AV42" i="42"/>
  <c r="AV40" i="40"/>
  <c r="AV41" i="50"/>
  <c r="AV41" i="39"/>
  <c r="AW42" i="49"/>
  <c r="D89" i="49"/>
  <c r="E89" i="49"/>
  <c r="E88" i="49"/>
  <c r="AZ42" i="49"/>
  <c r="AY42" i="49"/>
  <c r="AX42" i="49"/>
  <c r="AV42" i="39"/>
  <c r="AV41" i="49"/>
  <c r="AV41" i="45"/>
  <c r="AX44" i="43"/>
  <c r="AW44" i="43"/>
  <c r="AZ44" i="43"/>
  <c r="AY44" i="43"/>
  <c r="E95" i="43"/>
  <c r="E94" i="43"/>
  <c r="D95" i="43"/>
  <c r="E94" i="38"/>
  <c r="AZ44" i="38"/>
  <c r="AW44" i="38"/>
  <c r="AY44" i="38"/>
  <c r="E95" i="38"/>
  <c r="AX44" i="38"/>
  <c r="D95" i="38"/>
  <c r="AV43" i="37"/>
  <c r="AV41" i="48"/>
  <c r="AV42" i="53"/>
  <c r="AV40" i="52"/>
  <c r="AV42" i="51"/>
  <c r="AV41" i="47"/>
  <c r="AV41" i="42"/>
  <c r="AV41" i="40"/>
  <c r="AV42" i="50"/>
  <c r="D95" i="39"/>
  <c r="AX44" i="39"/>
  <c r="AY44" i="39"/>
  <c r="E95" i="39"/>
  <c r="AW44" i="39"/>
  <c r="E94" i="39"/>
  <c r="AZ44" i="39"/>
  <c r="AX44" i="49"/>
  <c r="AZ44" i="49"/>
  <c r="AW44" i="49"/>
  <c r="AY44" i="49"/>
  <c r="E94" i="49"/>
  <c r="E95" i="49"/>
  <c r="D95" i="49"/>
  <c r="E92" i="45"/>
  <c r="AW43" i="45"/>
  <c r="D92" i="45"/>
  <c r="AX43" i="45"/>
  <c r="E91" i="45"/>
  <c r="AZ43" i="45"/>
  <c r="AY43" i="45"/>
  <c r="AX41" i="38"/>
  <c r="AZ41" i="38"/>
  <c r="E85" i="38"/>
  <c r="AY41" i="38"/>
  <c r="D86" i="38"/>
  <c r="AW41" i="38"/>
  <c r="E86" i="38"/>
  <c r="AV40" i="37"/>
  <c r="AV42" i="48"/>
  <c r="AV40" i="53"/>
  <c r="AV42" i="52"/>
  <c r="AV41" i="44"/>
  <c r="AV41" i="51"/>
  <c r="AV44" i="47"/>
  <c r="AV40" i="42"/>
  <c r="AV43" i="40"/>
  <c r="AV43" i="50"/>
  <c r="AZ42" i="45"/>
  <c r="AY40" i="43"/>
  <c r="AX40" i="43"/>
  <c r="D83" i="43"/>
  <c r="E83" i="43"/>
  <c r="E82" i="43"/>
  <c r="AW40" i="43"/>
  <c r="AZ40" i="43"/>
  <c r="AY40" i="38"/>
  <c r="AX40" i="38"/>
  <c r="AZ40" i="38"/>
  <c r="E82" i="38"/>
  <c r="AW40" i="38"/>
  <c r="E83" i="38"/>
  <c r="D83" i="38"/>
  <c r="AV44" i="52"/>
  <c r="AV44" i="44"/>
  <c r="AV43" i="47"/>
  <c r="AV44" i="42"/>
  <c r="AZ43" i="39"/>
  <c r="E91" i="39"/>
  <c r="AY43" i="39"/>
  <c r="AX43" i="39"/>
  <c r="E92" i="39"/>
  <c r="AW43" i="39"/>
  <c r="D92" i="39"/>
  <c r="AX40" i="49"/>
  <c r="AW40" i="49"/>
  <c r="E82" i="49"/>
  <c r="E83" i="49"/>
  <c r="AZ40" i="49"/>
  <c r="AY40" i="49"/>
  <c r="D83" i="49"/>
  <c r="E94" i="45"/>
  <c r="AZ44" i="45"/>
  <c r="E95" i="45"/>
  <c r="AY44" i="45"/>
  <c r="AW44" i="45"/>
  <c r="AX44" i="45"/>
  <c r="D95" i="45"/>
  <c r="AX41" i="43"/>
  <c r="AW41" i="43"/>
  <c r="D86" i="43"/>
  <c r="AY41" i="43"/>
  <c r="AZ41" i="43"/>
  <c r="E86" i="43"/>
  <c r="E85" i="43"/>
  <c r="D92" i="38"/>
  <c r="AW43" i="38"/>
  <c r="E91" i="38"/>
  <c r="AZ43" i="38"/>
  <c r="E92" i="38"/>
  <c r="AY43" i="38"/>
  <c r="AX43" i="38"/>
  <c r="AV42" i="37"/>
  <c r="AV40" i="48"/>
  <c r="AV44" i="37"/>
  <c r="AV41" i="53"/>
  <c r="AV43" i="44"/>
  <c r="AV40" i="47"/>
  <c r="AV43" i="42"/>
  <c r="AV42" i="40"/>
  <c r="AV40" i="50"/>
  <c r="AV40" i="35"/>
  <c r="E82" i="35" s="1"/>
  <c r="AV44" i="35"/>
  <c r="AS43" i="36"/>
  <c r="AS40" i="36"/>
  <c r="AS44" i="36"/>
  <c r="AS42" i="36"/>
  <c r="AS41" i="36"/>
  <c r="AU41" i="36"/>
  <c r="AU42" i="36"/>
  <c r="AU43" i="36"/>
  <c r="AU44" i="36"/>
  <c r="AU40" i="36"/>
  <c r="AV43" i="35"/>
  <c r="AV42" i="35"/>
  <c r="AX40" i="35"/>
  <c r="AY40" i="35"/>
  <c r="E83" i="35"/>
  <c r="AW40" i="35"/>
  <c r="AT40" i="36"/>
  <c r="AT43" i="36"/>
  <c r="AT44" i="36"/>
  <c r="AT42" i="36"/>
  <c r="AT41" i="36"/>
  <c r="AR43" i="36"/>
  <c r="AR40" i="36"/>
  <c r="AR41" i="36"/>
  <c r="AR44" i="36"/>
  <c r="AR42" i="36"/>
  <c r="AV41" i="35"/>
  <c r="I55" i="7"/>
  <c r="I54" i="7" s="1"/>
  <c r="D54" i="7"/>
  <c r="I52" i="7"/>
  <c r="D51" i="7"/>
  <c r="J31" i="7"/>
  <c r="D31" i="7" s="1"/>
  <c r="AT27" i="7"/>
  <c r="AV27" i="7"/>
  <c r="AU27" i="7"/>
  <c r="D30" i="7"/>
  <c r="AS27" i="7"/>
  <c r="E30" i="7"/>
  <c r="AU11" i="7"/>
  <c r="AV12" i="7" s="1"/>
  <c r="AZ45" i="43" l="1"/>
  <c r="Q112" i="43" s="1"/>
  <c r="AY45" i="43"/>
  <c r="P112" i="43" s="1"/>
  <c r="D83" i="35"/>
  <c r="AW42" i="45"/>
  <c r="D89" i="45"/>
  <c r="E88" i="38"/>
  <c r="AZ40" i="35"/>
  <c r="E89" i="45"/>
  <c r="D89" i="38"/>
  <c r="D88" i="38" s="1"/>
  <c r="E88" i="45"/>
  <c r="AY42" i="45"/>
  <c r="E89" i="38"/>
  <c r="AW42" i="38"/>
  <c r="AY41" i="53"/>
  <c r="E86" i="53"/>
  <c r="D86" i="53"/>
  <c r="AW41" i="53"/>
  <c r="AX41" i="53"/>
  <c r="E85" i="53"/>
  <c r="AZ41" i="53"/>
  <c r="E89" i="48"/>
  <c r="AW42" i="48"/>
  <c r="D89" i="48"/>
  <c r="E88" i="48"/>
  <c r="AZ42" i="48"/>
  <c r="AY42" i="48"/>
  <c r="AX42" i="48"/>
  <c r="I95" i="49"/>
  <c r="I94" i="49" s="1"/>
  <c r="D94" i="49"/>
  <c r="D94" i="43"/>
  <c r="I95" i="43"/>
  <c r="I94" i="43" s="1"/>
  <c r="E89" i="42"/>
  <c r="AX42" i="42"/>
  <c r="AY42" i="42"/>
  <c r="E88" i="42"/>
  <c r="AW42" i="42"/>
  <c r="D89" i="42"/>
  <c r="AZ42" i="42"/>
  <c r="I89" i="38"/>
  <c r="I88" i="38" s="1"/>
  <c r="AW44" i="50"/>
  <c r="E94" i="50"/>
  <c r="AX44" i="50"/>
  <c r="E95" i="50"/>
  <c r="AY44" i="50"/>
  <c r="D95" i="50"/>
  <c r="AZ44" i="50"/>
  <c r="D91" i="43"/>
  <c r="I92" i="43"/>
  <c r="I91" i="43" s="1"/>
  <c r="AW44" i="37"/>
  <c r="E95" i="37"/>
  <c r="AZ44" i="37"/>
  <c r="E94" i="37"/>
  <c r="AY44" i="37"/>
  <c r="AX44" i="37"/>
  <c r="D95" i="37"/>
  <c r="E95" i="42"/>
  <c r="AZ44" i="42"/>
  <c r="E94" i="42"/>
  <c r="D95" i="42"/>
  <c r="AX44" i="42"/>
  <c r="AY44" i="42"/>
  <c r="AW44" i="42"/>
  <c r="AW45" i="38"/>
  <c r="N112" i="38" s="1"/>
  <c r="AW45" i="43"/>
  <c r="N112" i="43" s="1"/>
  <c r="D88" i="45"/>
  <c r="I89" i="45"/>
  <c r="I88" i="45" s="1"/>
  <c r="AY44" i="47"/>
  <c r="E94" i="47"/>
  <c r="AX44" i="47"/>
  <c r="E95" i="47"/>
  <c r="AZ44" i="47"/>
  <c r="AW44" i="47"/>
  <c r="D95" i="47"/>
  <c r="AY40" i="37"/>
  <c r="AZ40" i="37"/>
  <c r="E83" i="37"/>
  <c r="AX40" i="37"/>
  <c r="D83" i="37"/>
  <c r="E82" i="37"/>
  <c r="AW40" i="37"/>
  <c r="D91" i="45"/>
  <c r="I92" i="45"/>
  <c r="I91" i="45" s="1"/>
  <c r="D94" i="39"/>
  <c r="I95" i="39"/>
  <c r="I94" i="39" s="1"/>
  <c r="AZ41" i="39"/>
  <c r="E85" i="39"/>
  <c r="AX41" i="39"/>
  <c r="D86" i="39"/>
  <c r="AY41" i="39"/>
  <c r="E86" i="39"/>
  <c r="AW41" i="39"/>
  <c r="E82" i="45"/>
  <c r="D83" i="45"/>
  <c r="AY40" i="45"/>
  <c r="AW40" i="45"/>
  <c r="E83" i="45"/>
  <c r="AZ40" i="45"/>
  <c r="AX40" i="45"/>
  <c r="E94" i="40"/>
  <c r="AX44" i="40"/>
  <c r="AZ44" i="40"/>
  <c r="E95" i="40"/>
  <c r="AW44" i="40"/>
  <c r="AY44" i="40"/>
  <c r="D95" i="40"/>
  <c r="AY43" i="51"/>
  <c r="D92" i="51"/>
  <c r="E92" i="51"/>
  <c r="E91" i="51"/>
  <c r="AX43" i="51"/>
  <c r="AW43" i="51"/>
  <c r="AZ43" i="51"/>
  <c r="D91" i="49"/>
  <c r="I92" i="49"/>
  <c r="I91" i="49" s="1"/>
  <c r="D85" i="43"/>
  <c r="I86" i="43"/>
  <c r="I85" i="43" s="1"/>
  <c r="D88" i="43"/>
  <c r="I89" i="43"/>
  <c r="I88" i="43" s="1"/>
  <c r="AW40" i="48"/>
  <c r="AY40" i="48"/>
  <c r="E82" i="48"/>
  <c r="AZ40" i="48"/>
  <c r="AX40" i="48"/>
  <c r="E83" i="48"/>
  <c r="D83" i="48"/>
  <c r="I95" i="45"/>
  <c r="I94" i="45" s="1"/>
  <c r="D94" i="45"/>
  <c r="E92" i="47"/>
  <c r="E91" i="47"/>
  <c r="AZ43" i="47"/>
  <c r="AW43" i="47"/>
  <c r="AX43" i="47"/>
  <c r="D92" i="47"/>
  <c r="AY43" i="47"/>
  <c r="D92" i="50"/>
  <c r="E92" i="50"/>
  <c r="E91" i="50"/>
  <c r="AX43" i="50"/>
  <c r="AZ43" i="50"/>
  <c r="AW43" i="50"/>
  <c r="AY43" i="50"/>
  <c r="AX41" i="51"/>
  <c r="E85" i="51"/>
  <c r="AZ41" i="51"/>
  <c r="D86" i="51"/>
  <c r="AY41" i="51"/>
  <c r="AW41" i="51"/>
  <c r="E86" i="51"/>
  <c r="AZ42" i="50"/>
  <c r="E89" i="50"/>
  <c r="E88" i="50"/>
  <c r="D89" i="50"/>
  <c r="AY42" i="50"/>
  <c r="AX42" i="50"/>
  <c r="AW42" i="50"/>
  <c r="E88" i="53"/>
  <c r="AZ42" i="53"/>
  <c r="AX42" i="53"/>
  <c r="AY42" i="53"/>
  <c r="E89" i="53"/>
  <c r="AW42" i="53"/>
  <c r="D89" i="53"/>
  <c r="AW41" i="50"/>
  <c r="AZ41" i="50"/>
  <c r="AY41" i="50"/>
  <c r="E86" i="50"/>
  <c r="E85" i="50"/>
  <c r="AX41" i="50"/>
  <c r="D86" i="50"/>
  <c r="D89" i="44"/>
  <c r="AW42" i="44"/>
  <c r="E88" i="44"/>
  <c r="AX42" i="44"/>
  <c r="AY42" i="44"/>
  <c r="AZ42" i="44"/>
  <c r="E89" i="44"/>
  <c r="AZ41" i="37"/>
  <c r="AY41" i="37"/>
  <c r="E86" i="37"/>
  <c r="AX41" i="37"/>
  <c r="D86" i="37"/>
  <c r="AW41" i="37"/>
  <c r="E85" i="37"/>
  <c r="D89" i="47"/>
  <c r="E88" i="47"/>
  <c r="AY42" i="47"/>
  <c r="AX42" i="47"/>
  <c r="AZ42" i="47"/>
  <c r="E89" i="47"/>
  <c r="AW42" i="47"/>
  <c r="AZ40" i="44"/>
  <c r="AY40" i="44"/>
  <c r="AW40" i="44"/>
  <c r="D83" i="44"/>
  <c r="E82" i="44"/>
  <c r="AX40" i="44"/>
  <c r="E83" i="44"/>
  <c r="AX44" i="53"/>
  <c r="D95" i="53"/>
  <c r="AZ44" i="53"/>
  <c r="AW44" i="53"/>
  <c r="E94" i="53"/>
  <c r="E95" i="53"/>
  <c r="AY44" i="53"/>
  <c r="AW40" i="50"/>
  <c r="D83" i="50"/>
  <c r="E82" i="50"/>
  <c r="AY40" i="50"/>
  <c r="AZ40" i="50"/>
  <c r="AX40" i="50"/>
  <c r="AX45" i="50" s="1"/>
  <c r="O112" i="50" s="1"/>
  <c r="E83" i="50"/>
  <c r="E88" i="37"/>
  <c r="AX42" i="37"/>
  <c r="AW42" i="37"/>
  <c r="AY42" i="37"/>
  <c r="E89" i="37"/>
  <c r="AZ42" i="37"/>
  <c r="D89" i="37"/>
  <c r="I83" i="49"/>
  <c r="D82" i="49"/>
  <c r="E95" i="44"/>
  <c r="AZ44" i="44"/>
  <c r="D95" i="44"/>
  <c r="AX44" i="44"/>
  <c r="E94" i="44"/>
  <c r="AY44" i="44"/>
  <c r="AW44" i="44"/>
  <c r="AZ45" i="38"/>
  <c r="Q112" i="38" s="1"/>
  <c r="AX43" i="40"/>
  <c r="AY43" i="40"/>
  <c r="AZ43" i="40"/>
  <c r="E91" i="40"/>
  <c r="E92" i="40"/>
  <c r="D92" i="40"/>
  <c r="AW43" i="40"/>
  <c r="AX41" i="44"/>
  <c r="AY41" i="44"/>
  <c r="E86" i="44"/>
  <c r="AZ41" i="44"/>
  <c r="E85" i="44"/>
  <c r="AW41" i="44"/>
  <c r="D86" i="44"/>
  <c r="E85" i="40"/>
  <c r="AY41" i="40"/>
  <c r="AW41" i="40"/>
  <c r="AX41" i="40"/>
  <c r="D86" i="40"/>
  <c r="E86" i="40"/>
  <c r="AZ41" i="40"/>
  <c r="AX41" i="47"/>
  <c r="D86" i="47"/>
  <c r="AW41" i="47"/>
  <c r="E85" i="47"/>
  <c r="AY41" i="47"/>
  <c r="AZ41" i="47"/>
  <c r="E86" i="47"/>
  <c r="D86" i="48"/>
  <c r="AX41" i="48"/>
  <c r="AW41" i="48"/>
  <c r="AZ41" i="48"/>
  <c r="E85" i="48"/>
  <c r="AY41" i="48"/>
  <c r="E86" i="48"/>
  <c r="AZ41" i="45"/>
  <c r="D86" i="45"/>
  <c r="E85" i="45"/>
  <c r="AW41" i="45"/>
  <c r="AX41" i="45"/>
  <c r="AY41" i="45"/>
  <c r="E86" i="45"/>
  <c r="AX40" i="40"/>
  <c r="E83" i="40"/>
  <c r="AY40" i="40"/>
  <c r="D83" i="40"/>
  <c r="AW40" i="40"/>
  <c r="E82" i="40"/>
  <c r="AZ40" i="40"/>
  <c r="D91" i="48"/>
  <c r="I92" i="48"/>
  <c r="I91" i="48" s="1"/>
  <c r="AW41" i="52"/>
  <c r="AX41" i="52"/>
  <c r="E85" i="52"/>
  <c r="AY41" i="52"/>
  <c r="AZ41" i="52"/>
  <c r="E86" i="52"/>
  <c r="D86" i="52"/>
  <c r="AZ43" i="42"/>
  <c r="E92" i="42"/>
  <c r="AY43" i="42"/>
  <c r="E91" i="42"/>
  <c r="D92" i="42"/>
  <c r="AW43" i="42"/>
  <c r="AX43" i="42"/>
  <c r="E89" i="40"/>
  <c r="AW42" i="40"/>
  <c r="D89" i="40"/>
  <c r="E88" i="40"/>
  <c r="AX42" i="40"/>
  <c r="AZ42" i="40"/>
  <c r="AY42" i="40"/>
  <c r="AX40" i="47"/>
  <c r="AX45" i="47" s="1"/>
  <c r="O112" i="47" s="1"/>
  <c r="E82" i="47"/>
  <c r="D83" i="47"/>
  <c r="AY40" i="47"/>
  <c r="AW40" i="47"/>
  <c r="AW45" i="47" s="1"/>
  <c r="N112" i="47" s="1"/>
  <c r="E83" i="47"/>
  <c r="AZ40" i="47"/>
  <c r="D91" i="38"/>
  <c r="I92" i="38"/>
  <c r="I91" i="38" s="1"/>
  <c r="I92" i="39"/>
  <c r="I91" i="39" s="1"/>
  <c r="D91" i="39"/>
  <c r="AW44" i="52"/>
  <c r="E95" i="52"/>
  <c r="AX44" i="52"/>
  <c r="D95" i="52"/>
  <c r="AZ44" i="52"/>
  <c r="AY44" i="52"/>
  <c r="E94" i="52"/>
  <c r="AX45" i="38"/>
  <c r="O112" i="38" s="1"/>
  <c r="D82" i="43"/>
  <c r="I83" i="43"/>
  <c r="AX40" i="42"/>
  <c r="E82" i="42"/>
  <c r="E83" i="42"/>
  <c r="AW40" i="42"/>
  <c r="AZ40" i="42"/>
  <c r="AY40" i="42"/>
  <c r="D83" i="42"/>
  <c r="E89" i="52"/>
  <c r="AW42" i="52"/>
  <c r="AZ42" i="52"/>
  <c r="D89" i="52"/>
  <c r="AY42" i="52"/>
  <c r="E88" i="52"/>
  <c r="AX42" i="52"/>
  <c r="D85" i="38"/>
  <c r="I86" i="38"/>
  <c r="I85" i="38" s="1"/>
  <c r="E86" i="42"/>
  <c r="AX41" i="42"/>
  <c r="E85" i="42"/>
  <c r="AY41" i="42"/>
  <c r="AW41" i="42"/>
  <c r="AZ41" i="42"/>
  <c r="D86" i="42"/>
  <c r="AY42" i="51"/>
  <c r="AZ42" i="51"/>
  <c r="E88" i="51"/>
  <c r="D89" i="51"/>
  <c r="AW42" i="51"/>
  <c r="E89" i="51"/>
  <c r="AX42" i="51"/>
  <c r="AY43" i="37"/>
  <c r="AZ43" i="37"/>
  <c r="D92" i="37"/>
  <c r="AX43" i="37"/>
  <c r="E92" i="37"/>
  <c r="E91" i="37"/>
  <c r="AW43" i="37"/>
  <c r="D86" i="49"/>
  <c r="E85" i="49"/>
  <c r="AW41" i="49"/>
  <c r="AW45" i="49" s="1"/>
  <c r="N112" i="49" s="1"/>
  <c r="AY41" i="49"/>
  <c r="AY45" i="49" s="1"/>
  <c r="P112" i="49" s="1"/>
  <c r="AZ41" i="49"/>
  <c r="AZ45" i="49" s="1"/>
  <c r="Q112" i="49" s="1"/>
  <c r="E86" i="49"/>
  <c r="AX41" i="49"/>
  <c r="AX45" i="49" s="1"/>
  <c r="O112" i="49" s="1"/>
  <c r="AX43" i="53"/>
  <c r="D92" i="53"/>
  <c r="AW43" i="53"/>
  <c r="E91" i="53"/>
  <c r="AZ43" i="53"/>
  <c r="E92" i="53"/>
  <c r="AY43" i="53"/>
  <c r="AZ43" i="44"/>
  <c r="E92" i="44"/>
  <c r="AW43" i="44"/>
  <c r="AY43" i="44"/>
  <c r="AX43" i="44"/>
  <c r="D92" i="44"/>
  <c r="E91" i="44"/>
  <c r="D82" i="38"/>
  <c r="I83" i="38"/>
  <c r="AY45" i="38"/>
  <c r="P112" i="38" s="1"/>
  <c r="AX45" i="43"/>
  <c r="O112" i="43" s="1"/>
  <c r="AZ40" i="53"/>
  <c r="AY40" i="53"/>
  <c r="AY45" i="53" s="1"/>
  <c r="P112" i="53" s="1"/>
  <c r="E82" i="53"/>
  <c r="AW40" i="53"/>
  <c r="AX40" i="53"/>
  <c r="E83" i="53"/>
  <c r="D83" i="53"/>
  <c r="AY40" i="52"/>
  <c r="E82" i="52"/>
  <c r="E83" i="52"/>
  <c r="AZ40" i="52"/>
  <c r="AX40" i="52"/>
  <c r="AW40" i="52"/>
  <c r="D83" i="52"/>
  <c r="D94" i="38"/>
  <c r="I95" i="38"/>
  <c r="I94" i="38" s="1"/>
  <c r="AZ42" i="39"/>
  <c r="AX42" i="39"/>
  <c r="D89" i="39"/>
  <c r="E89" i="39"/>
  <c r="AW42" i="39"/>
  <c r="AY42" i="39"/>
  <c r="E88" i="39"/>
  <c r="I89" i="49"/>
  <c r="I88" i="49" s="1"/>
  <c r="D88" i="49"/>
  <c r="E92" i="52"/>
  <c r="E91" i="52"/>
  <c r="AW43" i="52"/>
  <c r="D92" i="52"/>
  <c r="AZ43" i="52"/>
  <c r="AY43" i="52"/>
  <c r="AX43" i="52"/>
  <c r="E82" i="51"/>
  <c r="AZ40" i="51"/>
  <c r="AZ45" i="51" s="1"/>
  <c r="Q112" i="51" s="1"/>
  <c r="AY40" i="51"/>
  <c r="AX40" i="51"/>
  <c r="AW40" i="51"/>
  <c r="E83" i="51"/>
  <c r="D83" i="51"/>
  <c r="E94" i="51"/>
  <c r="D95" i="51"/>
  <c r="AX44" i="51"/>
  <c r="AZ44" i="51"/>
  <c r="AY44" i="51"/>
  <c r="E95" i="51"/>
  <c r="AW44" i="51"/>
  <c r="AW44" i="48"/>
  <c r="E95" i="48"/>
  <c r="AZ44" i="48"/>
  <c r="E94" i="48"/>
  <c r="AY44" i="48"/>
  <c r="AX44" i="48"/>
  <c r="D95" i="48"/>
  <c r="AY40" i="39"/>
  <c r="AX40" i="39"/>
  <c r="AX45" i="39" s="1"/>
  <c r="O112" i="39" s="1"/>
  <c r="AZ40" i="39"/>
  <c r="AZ45" i="39" s="1"/>
  <c r="Q112" i="39" s="1"/>
  <c r="E83" i="39"/>
  <c r="E82" i="39"/>
  <c r="D83" i="39"/>
  <c r="AW40" i="39"/>
  <c r="AV40" i="36"/>
  <c r="D83" i="36" s="1"/>
  <c r="AV43" i="36"/>
  <c r="AX43" i="36" s="1"/>
  <c r="E82" i="36"/>
  <c r="D89" i="35"/>
  <c r="AY42" i="35"/>
  <c r="E88" i="35"/>
  <c r="E89" i="35"/>
  <c r="AX42" i="35"/>
  <c r="AZ42" i="35"/>
  <c r="AW42" i="35"/>
  <c r="AY41" i="35"/>
  <c r="D86" i="35"/>
  <c r="E85" i="35"/>
  <c r="E86" i="35"/>
  <c r="AX41" i="35"/>
  <c r="AZ41" i="35"/>
  <c r="AW41" i="35"/>
  <c r="D92" i="35"/>
  <c r="AY43" i="35"/>
  <c r="E91" i="35"/>
  <c r="E92" i="35"/>
  <c r="AX43" i="35"/>
  <c r="AW43" i="35"/>
  <c r="AZ43" i="35"/>
  <c r="AV42" i="36"/>
  <c r="AV44" i="36"/>
  <c r="D82" i="35"/>
  <c r="I83" i="35"/>
  <c r="AV41" i="36"/>
  <c r="D95" i="35"/>
  <c r="E95" i="35"/>
  <c r="AW44" i="35"/>
  <c r="AZ44" i="35"/>
  <c r="AY44" i="35"/>
  <c r="AX44" i="35"/>
  <c r="E94" i="35"/>
  <c r="I30" i="7"/>
  <c r="I31" i="7" s="1"/>
  <c r="I51" i="7"/>
  <c r="E31" i="7"/>
  <c r="AV14" i="7"/>
  <c r="J49" i="7" s="1"/>
  <c r="E63" i="7" s="1"/>
  <c r="AV13" i="7"/>
  <c r="AU13" i="7" s="1"/>
  <c r="AU12" i="7"/>
  <c r="AS12" i="7"/>
  <c r="AT12" i="7"/>
  <c r="J47" i="7"/>
  <c r="E57" i="7" s="1"/>
  <c r="AZ43" i="36" l="1"/>
  <c r="E92" i="36"/>
  <c r="AZ40" i="36"/>
  <c r="AY45" i="42"/>
  <c r="P112" i="42" s="1"/>
  <c r="E91" i="36"/>
  <c r="E83" i="36"/>
  <c r="AZ45" i="47"/>
  <c r="Q112" i="47" s="1"/>
  <c r="AW45" i="50"/>
  <c r="N112" i="50" s="1"/>
  <c r="D92" i="36"/>
  <c r="AZ45" i="35"/>
  <c r="Q112" i="35" s="1"/>
  <c r="AW43" i="36"/>
  <c r="AY45" i="39"/>
  <c r="P112" i="39" s="1"/>
  <c r="AW45" i="40"/>
  <c r="N112" i="40" s="1"/>
  <c r="AZ45" i="50"/>
  <c r="Q112" i="50" s="1"/>
  <c r="AW45" i="39"/>
  <c r="N112" i="39" s="1"/>
  <c r="AY43" i="36"/>
  <c r="AX40" i="36"/>
  <c r="AX45" i="53"/>
  <c r="O112" i="53" s="1"/>
  <c r="AX45" i="42"/>
  <c r="O112" i="42" s="1"/>
  <c r="AY45" i="47"/>
  <c r="P112" i="47" s="1"/>
  <c r="AY45" i="50"/>
  <c r="P112" i="50" s="1"/>
  <c r="AW45" i="53"/>
  <c r="N112" i="53" s="1"/>
  <c r="AY45" i="40"/>
  <c r="P112" i="40" s="1"/>
  <c r="AW40" i="36"/>
  <c r="D82" i="52"/>
  <c r="I83" i="52"/>
  <c r="AY45" i="52"/>
  <c r="P112" i="52" s="1"/>
  <c r="I86" i="42"/>
  <c r="I85" i="42" s="1"/>
  <c r="D85" i="42"/>
  <c r="I89" i="52"/>
  <c r="I88" i="52" s="1"/>
  <c r="D88" i="52"/>
  <c r="AZ45" i="42"/>
  <c r="Q112" i="42" s="1"/>
  <c r="I83" i="47"/>
  <c r="D82" i="47"/>
  <c r="I92" i="42"/>
  <c r="I91" i="42" s="1"/>
  <c r="D91" i="42"/>
  <c r="AX45" i="44"/>
  <c r="O112" i="44" s="1"/>
  <c r="D88" i="47"/>
  <c r="I89" i="47"/>
  <c r="I88" i="47" s="1"/>
  <c r="AY45" i="48"/>
  <c r="P112" i="48" s="1"/>
  <c r="D82" i="37"/>
  <c r="I83" i="37"/>
  <c r="D88" i="42"/>
  <c r="I89" i="42"/>
  <c r="I88" i="42" s="1"/>
  <c r="AW45" i="51"/>
  <c r="N112" i="51" s="1"/>
  <c r="I89" i="39"/>
  <c r="I88" i="39" s="1"/>
  <c r="D88" i="39"/>
  <c r="AW45" i="52"/>
  <c r="N112" i="52" s="1"/>
  <c r="I83" i="53"/>
  <c r="D82" i="53"/>
  <c r="AZ45" i="53"/>
  <c r="Q112" i="53" s="1"/>
  <c r="D91" i="53"/>
  <c r="I92" i="53"/>
  <c r="I91" i="53" s="1"/>
  <c r="AW45" i="42"/>
  <c r="N112" i="42" s="1"/>
  <c r="D88" i="40"/>
  <c r="I89" i="40"/>
  <c r="I88" i="40" s="1"/>
  <c r="I86" i="44"/>
  <c r="I85" i="44" s="1"/>
  <c r="D85" i="44"/>
  <c r="I82" i="49"/>
  <c r="D91" i="50"/>
  <c r="I92" i="50"/>
  <c r="I91" i="50" s="1"/>
  <c r="D82" i="48"/>
  <c r="I83" i="48"/>
  <c r="AW45" i="48"/>
  <c r="N112" i="48" s="1"/>
  <c r="I92" i="51"/>
  <c r="I91" i="51" s="1"/>
  <c r="D91" i="51"/>
  <c r="AW45" i="45"/>
  <c r="N112" i="45" s="1"/>
  <c r="AX45" i="37"/>
  <c r="O112" i="37" s="1"/>
  <c r="I95" i="42"/>
  <c r="I94" i="42" s="1"/>
  <c r="D94" i="42"/>
  <c r="AX45" i="51"/>
  <c r="O112" i="51" s="1"/>
  <c r="AX45" i="52"/>
  <c r="O112" i="52" s="1"/>
  <c r="I92" i="44"/>
  <c r="I91" i="44" s="1"/>
  <c r="D91" i="44"/>
  <c r="D91" i="37"/>
  <c r="I92" i="37"/>
  <c r="I91" i="37" s="1"/>
  <c r="I89" i="51"/>
  <c r="I88" i="51" s="1"/>
  <c r="D88" i="51"/>
  <c r="AZ45" i="40"/>
  <c r="Q112" i="40" s="1"/>
  <c r="AX45" i="40"/>
  <c r="O112" i="40" s="1"/>
  <c r="I86" i="45"/>
  <c r="I85" i="45" s="1"/>
  <c r="D85" i="45"/>
  <c r="D85" i="40"/>
  <c r="I86" i="40"/>
  <c r="I85" i="40" s="1"/>
  <c r="I95" i="44"/>
  <c r="I94" i="44" s="1"/>
  <c r="D94" i="44"/>
  <c r="I89" i="37"/>
  <c r="I88" i="37" s="1"/>
  <c r="D88" i="37"/>
  <c r="I83" i="50"/>
  <c r="D82" i="50"/>
  <c r="I83" i="44"/>
  <c r="D82" i="44"/>
  <c r="I89" i="44"/>
  <c r="I88" i="44" s="1"/>
  <c r="D88" i="44"/>
  <c r="I89" i="50"/>
  <c r="I88" i="50" s="1"/>
  <c r="D88" i="50"/>
  <c r="AY45" i="51"/>
  <c r="P112" i="51" s="1"/>
  <c r="AY45" i="45"/>
  <c r="P112" i="45" s="1"/>
  <c r="D85" i="39"/>
  <c r="I86" i="39"/>
  <c r="I85" i="39" s="1"/>
  <c r="I89" i="48"/>
  <c r="I88" i="48" s="1"/>
  <c r="D88" i="48"/>
  <c r="AY40" i="36"/>
  <c r="I83" i="39"/>
  <c r="D82" i="39"/>
  <c r="D94" i="48"/>
  <c r="I95" i="48"/>
  <c r="I94" i="48" s="1"/>
  <c r="D94" i="51"/>
  <c r="I95" i="51"/>
  <c r="I94" i="51" s="1"/>
  <c r="D91" i="52"/>
  <c r="I92" i="52"/>
  <c r="I91" i="52" s="1"/>
  <c r="AZ45" i="52"/>
  <c r="Q112" i="52" s="1"/>
  <c r="D85" i="49"/>
  <c r="I86" i="49"/>
  <c r="I85" i="49" s="1"/>
  <c r="D91" i="40"/>
  <c r="I92" i="40"/>
  <c r="I91" i="40" s="1"/>
  <c r="D94" i="53"/>
  <c r="I95" i="53"/>
  <c r="I94" i="53" s="1"/>
  <c r="AW45" i="44"/>
  <c r="N112" i="44" s="1"/>
  <c r="D85" i="37"/>
  <c r="I86" i="37"/>
  <c r="I85" i="37" s="1"/>
  <c r="D85" i="50"/>
  <c r="I86" i="50"/>
  <c r="I85" i="50" s="1"/>
  <c r="I86" i="51"/>
  <c r="I85" i="51" s="1"/>
  <c r="D85" i="51"/>
  <c r="I92" i="47"/>
  <c r="I91" i="47" s="1"/>
  <c r="D91" i="47"/>
  <c r="AX45" i="48"/>
  <c r="O112" i="48" s="1"/>
  <c r="D94" i="40"/>
  <c r="I95" i="40"/>
  <c r="I94" i="40" s="1"/>
  <c r="I83" i="45"/>
  <c r="D82" i="45"/>
  <c r="AZ45" i="37"/>
  <c r="Q112" i="37" s="1"/>
  <c r="D94" i="50"/>
  <c r="I95" i="50"/>
  <c r="I94" i="50" s="1"/>
  <c r="I86" i="53"/>
  <c r="I85" i="53" s="1"/>
  <c r="D85" i="53"/>
  <c r="I82" i="38"/>
  <c r="G110" i="38"/>
  <c r="G108" i="38"/>
  <c r="D82" i="42"/>
  <c r="I83" i="42"/>
  <c r="D85" i="48"/>
  <c r="I86" i="48"/>
  <c r="I85" i="48" s="1"/>
  <c r="I86" i="47"/>
  <c r="I85" i="47" s="1"/>
  <c r="D85" i="47"/>
  <c r="AY45" i="44"/>
  <c r="P112" i="44" s="1"/>
  <c r="D88" i="53"/>
  <c r="I89" i="53"/>
  <c r="I88" i="53" s="1"/>
  <c r="AZ45" i="48"/>
  <c r="Q112" i="48" s="1"/>
  <c r="AX45" i="45"/>
  <c r="O112" i="45" s="1"/>
  <c r="AW45" i="37"/>
  <c r="N112" i="37" s="1"/>
  <c r="AY45" i="37"/>
  <c r="P112" i="37" s="1"/>
  <c r="D82" i="51"/>
  <c r="I83" i="51"/>
  <c r="I82" i="43"/>
  <c r="G110" i="43"/>
  <c r="G108" i="43"/>
  <c r="I95" i="52"/>
  <c r="I94" i="52" s="1"/>
  <c r="D94" i="52"/>
  <c r="D85" i="52"/>
  <c r="I86" i="52"/>
  <c r="I85" i="52" s="1"/>
  <c r="I83" i="40"/>
  <c r="D82" i="40"/>
  <c r="AZ45" i="44"/>
  <c r="Q112" i="44" s="1"/>
  <c r="AZ45" i="45"/>
  <c r="Q112" i="45" s="1"/>
  <c r="D94" i="47"/>
  <c r="I95" i="47"/>
  <c r="I94" i="47" s="1"/>
  <c r="D94" i="37"/>
  <c r="I95" i="37"/>
  <c r="I94" i="37" s="1"/>
  <c r="AX45" i="35"/>
  <c r="O112" i="35" s="1"/>
  <c r="AY45" i="35"/>
  <c r="P112" i="35" s="1"/>
  <c r="AW45" i="35"/>
  <c r="N112" i="35" s="1"/>
  <c r="I82" i="35"/>
  <c r="I92" i="35"/>
  <c r="I91" i="35" s="1"/>
  <c r="D91" i="35"/>
  <c r="D85" i="35"/>
  <c r="I86" i="35"/>
  <c r="I85" i="35" s="1"/>
  <c r="AY44" i="36"/>
  <c r="AX44" i="36"/>
  <c r="D95" i="36"/>
  <c r="E94" i="36"/>
  <c r="E95" i="36"/>
  <c r="AZ44" i="36"/>
  <c r="AW44" i="36"/>
  <c r="D91" i="36"/>
  <c r="I92" i="36"/>
  <c r="I91" i="36" s="1"/>
  <c r="D82" i="36"/>
  <c r="I83" i="36"/>
  <c r="D94" i="35"/>
  <c r="I95" i="35"/>
  <c r="I94" i="35" s="1"/>
  <c r="I89" i="35"/>
  <c r="I88" i="35" s="1"/>
  <c r="D88" i="35"/>
  <c r="AW41" i="36"/>
  <c r="AZ41" i="36"/>
  <c r="AX41" i="36"/>
  <c r="D86" i="36"/>
  <c r="AY41" i="36"/>
  <c r="E85" i="36"/>
  <c r="E86" i="36"/>
  <c r="AY42" i="36"/>
  <c r="AX42" i="36"/>
  <c r="AW42" i="36"/>
  <c r="E89" i="36"/>
  <c r="AZ42" i="36"/>
  <c r="E88" i="36"/>
  <c r="D89" i="36"/>
  <c r="E64" i="7"/>
  <c r="J48" i="7"/>
  <c r="AS13" i="7"/>
  <c r="AT13" i="7"/>
  <c r="E58" i="7"/>
  <c r="AU14" i="7"/>
  <c r="AU15" i="7" s="1"/>
  <c r="AU17" i="7" s="1"/>
  <c r="AT14" i="7"/>
  <c r="D64" i="7"/>
  <c r="AS14" i="7"/>
  <c r="D58" i="7"/>
  <c r="I82" i="48" l="1"/>
  <c r="G108" i="48"/>
  <c r="G110" i="48"/>
  <c r="G106" i="49"/>
  <c r="G104" i="49"/>
  <c r="I82" i="39"/>
  <c r="G108" i="39"/>
  <c r="G110" i="39"/>
  <c r="I82" i="40"/>
  <c r="G108" i="40"/>
  <c r="G110" i="40"/>
  <c r="I82" i="44"/>
  <c r="G108" i="44"/>
  <c r="G110" i="44"/>
  <c r="I82" i="47"/>
  <c r="G110" i="47"/>
  <c r="G108" i="47"/>
  <c r="AY45" i="36"/>
  <c r="P112" i="36" s="1"/>
  <c r="G106" i="43"/>
  <c r="G104" i="43"/>
  <c r="G106" i="38"/>
  <c r="G104" i="38"/>
  <c r="I82" i="52"/>
  <c r="G110" i="52"/>
  <c r="G108" i="52"/>
  <c r="I82" i="51"/>
  <c r="G108" i="51"/>
  <c r="G110" i="51"/>
  <c r="I82" i="45"/>
  <c r="G110" i="45"/>
  <c r="G108" i="45"/>
  <c r="I82" i="50"/>
  <c r="G108" i="50"/>
  <c r="G110" i="50"/>
  <c r="G108" i="49"/>
  <c r="I82" i="53"/>
  <c r="G108" i="53"/>
  <c r="G110" i="53"/>
  <c r="I82" i="42"/>
  <c r="G108" i="42"/>
  <c r="G110" i="42"/>
  <c r="G110" i="49"/>
  <c r="I82" i="37"/>
  <c r="G110" i="37"/>
  <c r="G108" i="37"/>
  <c r="AW45" i="36"/>
  <c r="N112" i="36" s="1"/>
  <c r="AX45" i="36"/>
  <c r="O112" i="36" s="1"/>
  <c r="AZ45" i="36"/>
  <c r="Q112" i="36" s="1"/>
  <c r="D94" i="36"/>
  <c r="I95" i="36"/>
  <c r="I94" i="36" s="1"/>
  <c r="D88" i="36"/>
  <c r="I89" i="36"/>
  <c r="I88" i="36" s="1"/>
  <c r="G110" i="35"/>
  <c r="D85" i="36"/>
  <c r="I86" i="36"/>
  <c r="I85" i="36" s="1"/>
  <c r="G108" i="35"/>
  <c r="I82" i="36"/>
  <c r="G104" i="35"/>
  <c r="G106" i="35"/>
  <c r="D57" i="7"/>
  <c r="I58" i="7"/>
  <c r="I64" i="7"/>
  <c r="I63" i="7" s="1"/>
  <c r="D63" i="7"/>
  <c r="E61" i="7"/>
  <c r="E60" i="7"/>
  <c r="AU28" i="7"/>
  <c r="AV28" i="7"/>
  <c r="AT28" i="7"/>
  <c r="AS28" i="7"/>
  <c r="D61" i="7"/>
  <c r="AS15" i="7"/>
  <c r="AS17" i="7" s="1"/>
  <c r="AV20" i="7" s="1"/>
  <c r="AT20" i="7" s="1"/>
  <c r="AT15" i="7"/>
  <c r="AT17" i="7" s="1"/>
  <c r="G104" i="53" l="1"/>
  <c r="G106" i="53"/>
  <c r="G106" i="44"/>
  <c r="G104" i="44"/>
  <c r="G106" i="39"/>
  <c r="G104" i="39"/>
  <c r="G106" i="45"/>
  <c r="G104" i="45"/>
  <c r="G106" i="52"/>
  <c r="G104" i="52"/>
  <c r="G106" i="42"/>
  <c r="G104" i="42"/>
  <c r="G106" i="47"/>
  <c r="G104" i="47"/>
  <c r="G104" i="40"/>
  <c r="G106" i="40"/>
  <c r="G104" i="50"/>
  <c r="G106" i="50"/>
  <c r="G106" i="51"/>
  <c r="G104" i="51"/>
  <c r="G106" i="37"/>
  <c r="G104" i="37"/>
  <c r="G106" i="48"/>
  <c r="G104" i="48"/>
  <c r="G108" i="36"/>
  <c r="G110" i="36"/>
  <c r="G106" i="36"/>
  <c r="G104" i="36"/>
  <c r="I57" i="7"/>
  <c r="I61" i="7"/>
  <c r="I60" i="7" s="1"/>
  <c r="D60" i="7"/>
  <c r="AV19" i="7"/>
  <c r="AT19" i="7" s="1"/>
  <c r="AV18" i="7"/>
  <c r="AT18" i="7" s="1"/>
  <c r="AU20" i="7"/>
  <c r="AS20" i="7"/>
  <c r="J52" i="7"/>
  <c r="E73" i="7" l="1"/>
  <c r="E72" i="7"/>
  <c r="AT21" i="7"/>
  <c r="P97" i="7" s="1"/>
  <c r="AS19" i="7"/>
  <c r="J51" i="7"/>
  <c r="AU19" i="7"/>
  <c r="J50" i="7"/>
  <c r="AU18" i="7"/>
  <c r="AS18" i="7"/>
  <c r="D73" i="7"/>
  <c r="AU34" i="7"/>
  <c r="AV34" i="7"/>
  <c r="AS35" i="7"/>
  <c r="AT34" i="7"/>
  <c r="AS33" i="7"/>
  <c r="AV36" i="7"/>
  <c r="AS36" i="7"/>
  <c r="AV35" i="7"/>
  <c r="AT35" i="7"/>
  <c r="AU33" i="7"/>
  <c r="AU36" i="7"/>
  <c r="AV33" i="7"/>
  <c r="AT33" i="7"/>
  <c r="AU35" i="7"/>
  <c r="AS34" i="7"/>
  <c r="AT36" i="7"/>
  <c r="AS31" i="7" l="1"/>
  <c r="AU31" i="7"/>
  <c r="AV31" i="7"/>
  <c r="AT31" i="7"/>
  <c r="AS30" i="7"/>
  <c r="AT30" i="7"/>
  <c r="AU30" i="7"/>
  <c r="AV30" i="7"/>
  <c r="I73" i="7"/>
  <c r="I72" i="7" s="1"/>
  <c r="D72" i="7"/>
  <c r="E69" i="7"/>
  <c r="D70" i="7"/>
  <c r="D67" i="7"/>
  <c r="D66" i="7" s="1"/>
  <c r="E66" i="7"/>
  <c r="E70" i="7"/>
  <c r="AS29" i="7"/>
  <c r="AT29" i="7"/>
  <c r="AV29" i="7"/>
  <c r="AU29" i="7"/>
  <c r="AU32" i="7"/>
  <c r="AS32" i="7"/>
  <c r="AV32" i="7"/>
  <c r="AT32" i="7"/>
  <c r="E67" i="7"/>
  <c r="AU21" i="7"/>
  <c r="Q97" i="7" s="1"/>
  <c r="AS21" i="7"/>
  <c r="O97" i="7" s="1"/>
  <c r="I70" i="7" l="1"/>
  <c r="I69" i="7" s="1"/>
  <c r="D69" i="7"/>
  <c r="I67" i="7"/>
  <c r="AV24" i="7"/>
  <c r="AV37" i="7" s="1"/>
  <c r="AU41" i="7" s="1"/>
  <c r="AS24" i="7"/>
  <c r="AS37" i="7" s="1"/>
  <c r="AR40" i="7" s="1"/>
  <c r="AU24" i="7"/>
  <c r="AU37" i="7" s="1"/>
  <c r="AT40" i="7" s="1"/>
  <c r="AT24" i="7"/>
  <c r="AT37" i="7" s="1"/>
  <c r="AS43" i="7" s="1"/>
  <c r="AU43" i="7" l="1"/>
  <c r="AU44" i="7"/>
  <c r="AU40" i="7"/>
  <c r="AU42" i="7"/>
  <c r="I66" i="7"/>
  <c r="AS40" i="7"/>
  <c r="AR44" i="7"/>
  <c r="AR42" i="7"/>
  <c r="AR41" i="7"/>
  <c r="AR43" i="7"/>
  <c r="AS41" i="7"/>
  <c r="AT44" i="7"/>
  <c r="AS44" i="7"/>
  <c r="AS42" i="7"/>
  <c r="AT42" i="7"/>
  <c r="AT43" i="7"/>
  <c r="AT41" i="7"/>
  <c r="AV40" i="7" l="1"/>
  <c r="E82" i="7" s="1"/>
  <c r="AV43" i="7"/>
  <c r="E91" i="7" s="1"/>
  <c r="AV41" i="7"/>
  <c r="E85" i="7" s="1"/>
  <c r="AV44" i="7"/>
  <c r="D95" i="7" s="1"/>
  <c r="D94" i="7" s="1"/>
  <c r="AV42" i="7"/>
  <c r="E88" i="7" s="1"/>
  <c r="AY40" i="7" l="1"/>
  <c r="AW40" i="7"/>
  <c r="E83" i="7"/>
  <c r="AX40" i="7"/>
  <c r="AZ40" i="7"/>
  <c r="D83" i="7"/>
  <c r="D82" i="7" s="1"/>
  <c r="AY41" i="7"/>
  <c r="E86" i="7"/>
  <c r="AX41" i="7"/>
  <c r="AW44" i="7"/>
  <c r="AZ41" i="7"/>
  <c r="D86" i="7"/>
  <c r="D85" i="7" s="1"/>
  <c r="AW41" i="7"/>
  <c r="E95" i="7"/>
  <c r="AX44" i="7"/>
  <c r="AW42" i="7"/>
  <c r="D89" i="7"/>
  <c r="I89" i="7" s="1"/>
  <c r="I88" i="7" s="1"/>
  <c r="AZ44" i="7"/>
  <c r="I95" i="7"/>
  <c r="I94" i="7" s="1"/>
  <c r="AZ43" i="7"/>
  <c r="AX43" i="7"/>
  <c r="AW43" i="7"/>
  <c r="D92" i="7"/>
  <c r="D91" i="7" s="1"/>
  <c r="E92" i="7"/>
  <c r="AY43" i="7"/>
  <c r="AY42" i="7"/>
  <c r="AX42" i="7"/>
  <c r="AZ42" i="7"/>
  <c r="E89" i="7"/>
  <c r="AY44" i="7"/>
  <c r="E94" i="7"/>
  <c r="I83" i="7" l="1"/>
  <c r="I82" i="7" s="1"/>
  <c r="AW45" i="7"/>
  <c r="N112" i="7" s="1"/>
  <c r="D88" i="7"/>
  <c r="AX45" i="7"/>
  <c r="O112" i="7" s="1"/>
  <c r="I86" i="7"/>
  <c r="I85" i="7" s="1"/>
  <c r="AZ45" i="7"/>
  <c r="Q112" i="7" s="1"/>
  <c r="I92" i="7"/>
  <c r="I91" i="7" s="1"/>
  <c r="AY45" i="7"/>
  <c r="P112" i="7" s="1"/>
  <c r="G110" i="7" l="1"/>
  <c r="G104" i="7"/>
  <c r="G106" i="7"/>
  <c r="G108" i="7"/>
</calcChain>
</file>

<file path=xl/comments1.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2.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3.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4.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5.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6.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7.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8.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9.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0.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1.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2.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3.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4.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5.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6.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7.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8.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comments19.xml><?xml version="1.0" encoding="utf-8"?>
<comments xmlns="http://schemas.openxmlformats.org/spreadsheetml/2006/main">
  <authors>
    <author>Usuário</author>
    <author>tecnico</author>
  </authors>
  <commentList>
    <comment ref="P8" authorId="0" shapeId="0">
      <text>
        <r>
          <rPr>
            <b/>
            <sz val="16"/>
            <color indexed="81"/>
            <rFont val="Segoe UI"/>
            <family val="2"/>
          </rPr>
          <t>Usuário:</t>
        </r>
        <r>
          <rPr>
            <sz val="16"/>
            <color indexed="81"/>
            <rFont val="Segoe UI"/>
            <family val="2"/>
          </rPr>
          <t xml:space="preserve">
Caso a analise de solo apresente o valor em mg/dm³, divida o valor por 391.</t>
        </r>
      </text>
    </comment>
    <comment ref="P20" authorId="1" shapeId="0">
      <text>
        <r>
          <rPr>
            <b/>
            <sz val="16"/>
            <color indexed="81"/>
            <rFont val="Segoe UI"/>
            <family val="2"/>
          </rPr>
          <t xml:space="preserve">Usuário:
</t>
        </r>
        <r>
          <rPr>
            <sz val="16"/>
            <color indexed="81"/>
            <rFont val="Segoe UI"/>
            <family val="2"/>
          </rPr>
          <t xml:space="preserve">Dividir o valor em g/kg da análise </t>
        </r>
        <r>
          <rPr>
            <b/>
            <sz val="16"/>
            <color indexed="81"/>
            <rFont val="Segoe UI"/>
            <family val="2"/>
          </rPr>
          <t>por 10</t>
        </r>
        <r>
          <rPr>
            <sz val="9"/>
            <color indexed="81"/>
            <rFont val="Segoe UI"/>
            <family val="2"/>
          </rPr>
          <t xml:space="preserve">
</t>
        </r>
      </text>
    </comment>
    <comment ref="P21" authorId="1" shapeId="0">
      <text>
        <r>
          <rPr>
            <b/>
            <sz val="14"/>
            <color indexed="81"/>
            <rFont val="Arial"/>
            <family val="2"/>
          </rPr>
          <t xml:space="preserve">Usuário:
</t>
        </r>
        <r>
          <rPr>
            <sz val="16"/>
            <color indexed="81"/>
            <rFont val="Segoe UI"/>
            <family val="2"/>
          </rPr>
          <t>Dividir o valor em g/kg da análise</t>
        </r>
        <r>
          <rPr>
            <b/>
            <sz val="14"/>
            <color indexed="81"/>
            <rFont val="Arial"/>
            <family val="2"/>
          </rPr>
          <t xml:space="preserve"> por 10</t>
        </r>
      </text>
    </comment>
    <comment ref="P22" authorId="1" shapeId="0">
      <text>
        <r>
          <rPr>
            <b/>
            <sz val="16"/>
            <color indexed="81"/>
            <rFont val="Segoe UI"/>
            <family val="2"/>
          </rPr>
          <t xml:space="preserve">Usuário:
</t>
        </r>
        <r>
          <rPr>
            <sz val="16"/>
            <color indexed="81"/>
            <rFont val="Segoe UI"/>
            <family val="2"/>
          </rPr>
          <t xml:space="preserve">Dividir o valor em g/kg na análise </t>
        </r>
        <r>
          <rPr>
            <b/>
            <sz val="16"/>
            <color indexed="81"/>
            <rFont val="Segoe UI"/>
            <family val="2"/>
          </rPr>
          <t>por 10</t>
        </r>
      </text>
    </comment>
  </commentList>
</comments>
</file>

<file path=xl/sharedStrings.xml><?xml version="1.0" encoding="utf-8"?>
<sst xmlns="http://schemas.openxmlformats.org/spreadsheetml/2006/main" count="9395" uniqueCount="492">
  <si>
    <t>UNIDADE</t>
  </si>
  <si>
    <t>pH</t>
  </si>
  <si>
    <t xml:space="preserve"> - </t>
  </si>
  <si>
    <t>CALCIO</t>
  </si>
  <si>
    <t>MAGNÉSIO</t>
  </si>
  <si>
    <t>POTÁSSIO</t>
  </si>
  <si>
    <t>SÓDIO</t>
  </si>
  <si>
    <t>ALUMÍNIO</t>
  </si>
  <si>
    <t>H + Al</t>
  </si>
  <si>
    <t>CARBONO</t>
  </si>
  <si>
    <t>g/kg</t>
  </si>
  <si>
    <t>FÓSFORO</t>
  </si>
  <si>
    <t>mg/dm³ = ppm</t>
  </si>
  <si>
    <t>BORO</t>
  </si>
  <si>
    <t>ENXOFRE</t>
  </si>
  <si>
    <t>COBRE</t>
  </si>
  <si>
    <t>FERRO</t>
  </si>
  <si>
    <t>MANGANÊS</t>
  </si>
  <si>
    <t>ZINCO</t>
  </si>
  <si>
    <t>AREIA</t>
  </si>
  <si>
    <t>SILTE</t>
  </si>
  <si>
    <t>MAT. ORGÂNICA</t>
  </si>
  <si>
    <t>SAT. BASE</t>
  </si>
  <si>
    <t>%</t>
  </si>
  <si>
    <t>C.T.C</t>
  </si>
  <si>
    <t>Baixo</t>
  </si>
  <si>
    <t>Médio</t>
  </si>
  <si>
    <t>16 - 35</t>
  </si>
  <si>
    <t>35 - 60</t>
  </si>
  <si>
    <t>Teor de Argila</t>
  </si>
  <si>
    <t>12,1 - 18</t>
  </si>
  <si>
    <t>Adequado</t>
  </si>
  <si>
    <t>Idade</t>
  </si>
  <si>
    <t>N</t>
  </si>
  <si>
    <t>anos</t>
  </si>
  <si>
    <t>K20 (g/planta)</t>
  </si>
  <si>
    <t>P205 (g/planta)</t>
  </si>
  <si>
    <t>&lt; 15</t>
  </si>
  <si>
    <t>&gt; 60</t>
  </si>
  <si>
    <t>&lt; 12</t>
  </si>
  <si>
    <t>&lt; 10</t>
  </si>
  <si>
    <t>&lt; 5</t>
  </si>
  <si>
    <t>&lt; 3</t>
  </si>
  <si>
    <t>&gt; 18,1</t>
  </si>
  <si>
    <t>10,1 - 15</t>
  </si>
  <si>
    <t>5,1 - 8</t>
  </si>
  <si>
    <t>3,1 - 6</t>
  </si>
  <si>
    <t>&gt; 15,1</t>
  </si>
  <si>
    <t>&gt; 8,1</t>
  </si>
  <si>
    <t>&gt; 6,1</t>
  </si>
  <si>
    <t>&lt; 20</t>
  </si>
  <si>
    <t>Interpretação e teor de fósforo (mg/dm3)</t>
  </si>
  <si>
    <t>Argila</t>
  </si>
  <si>
    <t>Teor de argila</t>
  </si>
  <si>
    <t>Fósforo</t>
  </si>
  <si>
    <t>cmolс/dm³ = mE/100mL</t>
  </si>
  <si>
    <t>Tabela 1. Interpretação de análise de solo para recomendação de adubação fosfatada (extrator Mehlich-1)</t>
  </si>
  <si>
    <t>Fase 1</t>
  </si>
  <si>
    <t>Resultado final</t>
  </si>
  <si>
    <t>Programação funções excel</t>
  </si>
  <si>
    <t xml:space="preserve">Tabela 2. Interpretação de análise de solo para recomendação de adubação potássica </t>
  </si>
  <si>
    <t>&gt;20</t>
  </si>
  <si>
    <t>Potássio</t>
  </si>
  <si>
    <t>Lista de seleção</t>
  </si>
  <si>
    <t>N (g/planta)</t>
  </si>
  <si>
    <t>Resultado final (g/planta)</t>
  </si>
  <si>
    <t>P205</t>
  </si>
  <si>
    <t>K20</t>
  </si>
  <si>
    <t>baixo</t>
  </si>
  <si>
    <t>medio</t>
  </si>
  <si>
    <t>adequado</t>
  </si>
  <si>
    <t>Concatenação</t>
  </si>
  <si>
    <t>Concatenação Fósforo</t>
  </si>
  <si>
    <t>Concatenação Potássio</t>
  </si>
  <si>
    <t>Interpretação e teor de potássio (mg/dm3)</t>
  </si>
  <si>
    <t>Nível de no solo</t>
  </si>
  <si>
    <t>ADUBO</t>
  </si>
  <si>
    <t>R$/KG</t>
  </si>
  <si>
    <t>GARANTIAS (%)</t>
  </si>
  <si>
    <t>P</t>
  </si>
  <si>
    <t>K</t>
  </si>
  <si>
    <t>Ca</t>
  </si>
  <si>
    <t>Mg</t>
  </si>
  <si>
    <t>S</t>
  </si>
  <si>
    <t>B</t>
  </si>
  <si>
    <t>Mn</t>
  </si>
  <si>
    <t>Zn</t>
  </si>
  <si>
    <t>Cu</t>
  </si>
  <si>
    <t>Mo</t>
  </si>
  <si>
    <t>Fe</t>
  </si>
  <si>
    <t>NH4 (amoniacal)</t>
  </si>
  <si>
    <t>NO3 (nítrico)</t>
  </si>
  <si>
    <t>Indice Salino</t>
  </si>
  <si>
    <t>Nitrato de Amônio</t>
  </si>
  <si>
    <t>Nitrato de magnésio</t>
  </si>
  <si>
    <t>Sulfato de amônio</t>
  </si>
  <si>
    <t>Sulfato de manganês</t>
  </si>
  <si>
    <t>Sulfato de zinco</t>
  </si>
  <si>
    <t>% CaO</t>
  </si>
  <si>
    <t>% MgO</t>
  </si>
  <si>
    <t>% PRNT</t>
  </si>
  <si>
    <t>Necessidade de calagem (t/ha)</t>
  </si>
  <si>
    <t>V2</t>
  </si>
  <si>
    <t>PRNT</t>
  </si>
  <si>
    <t>NC</t>
  </si>
  <si>
    <t>EkoSil</t>
  </si>
  <si>
    <t>Si</t>
  </si>
  <si>
    <t>FOLHA DE RECOMENDAÇÃO TÉCNICA</t>
  </si>
  <si>
    <t>NOME DO PROPRIETÁRIO</t>
  </si>
  <si>
    <t>PROPRIEDADE</t>
  </si>
  <si>
    <t>EXPLORAÇÃO</t>
  </si>
  <si>
    <t>UNIDADE LOCAL</t>
  </si>
  <si>
    <t xml:space="preserve">DATA: </t>
  </si>
  <si>
    <t>Área (ha):</t>
  </si>
  <si>
    <t>Sat. Bases</t>
  </si>
  <si>
    <t>Na</t>
  </si>
  <si>
    <t>M.O.</t>
  </si>
  <si>
    <t>H+Al</t>
  </si>
  <si>
    <t>Al</t>
  </si>
  <si>
    <t>CTC</t>
  </si>
  <si>
    <t>Assinatura do Produtor ou Responsável</t>
  </si>
  <si>
    <t>Técnico Responsável</t>
  </si>
  <si>
    <t>Número de plantas por hectare (100m x 100m):</t>
  </si>
  <si>
    <t>Micronutrientes</t>
  </si>
  <si>
    <t>TIPOS</t>
  </si>
  <si>
    <t>ARAGUAIA Calcítico</t>
  </si>
  <si>
    <t>ARAGUAIA Dolomítico</t>
  </si>
  <si>
    <t>BRICCAL Calcítico</t>
  </si>
  <si>
    <t>BRITACAL Dolomítico</t>
  </si>
  <si>
    <t>BRITACAL Filler</t>
  </si>
  <si>
    <t>BRITACAL Calcítico</t>
  </si>
  <si>
    <t>PIRECAL Dolomítico</t>
  </si>
  <si>
    <t>PIRINEUS Dolomítico</t>
  </si>
  <si>
    <t>GOIAS Filler Dolomítico</t>
  </si>
  <si>
    <t>GOIAS Filler Calcítico</t>
  </si>
  <si>
    <t>PIRINEUS Calcítico</t>
  </si>
  <si>
    <t>Rochas moídas</t>
  </si>
  <si>
    <t>FTE BR 12</t>
  </si>
  <si>
    <t>Gesso agrícola</t>
  </si>
  <si>
    <t>Siligesso Agronelli</t>
  </si>
  <si>
    <t>Nutrigesso Nutrion</t>
  </si>
  <si>
    <t>Kamafugito</t>
  </si>
  <si>
    <t>Micaxisto (61) 3233-9368</t>
  </si>
  <si>
    <t xml:space="preserve"> Remax Mistel (61) 99414-1975</t>
  </si>
  <si>
    <t xml:space="preserve">Pó de brita Fmx (62) 3924 8565 </t>
  </si>
  <si>
    <t>Esterco de galinha</t>
  </si>
  <si>
    <t>Suphaphos</t>
  </si>
  <si>
    <t xml:space="preserve">Biotita Xisto (61) 3233-9368 </t>
  </si>
  <si>
    <t>Kmag</t>
  </si>
  <si>
    <t>FNR Fertipar ((061 3642-2080)</t>
  </si>
  <si>
    <t>FNR Heringer (061 3642-2596)</t>
  </si>
  <si>
    <t>FNR Paulivida (061 - 3361-6634)</t>
  </si>
  <si>
    <t>Agroffos Agronelli (061 3642-1777)</t>
  </si>
  <si>
    <t>Esterco de gado</t>
  </si>
  <si>
    <t>Bokashi ORGANICS (062 3247-3100)</t>
  </si>
  <si>
    <t>Biobokashi Farelado FERTIBIO (61 9827-4439)</t>
  </si>
  <si>
    <t>Minhofertil (61 3361-6634)</t>
  </si>
  <si>
    <t>Torta de mamona Super thorg (061 9 9827-4439)</t>
  </si>
  <si>
    <t>Torta de mamona Nutrisafra (062 3310-8133)</t>
  </si>
  <si>
    <t>Bokashi Carlos (061 9 9681-3730)</t>
  </si>
  <si>
    <t>Composto ORGANICS (062 3247-3100)</t>
  </si>
  <si>
    <t>Bokashi Valdemar (9 9811-2414)</t>
  </si>
  <si>
    <t>Torta de mamona Vitaplan (061 3234-8485)</t>
  </si>
  <si>
    <t>Anos</t>
  </si>
  <si>
    <t>Dados de análise de solos</t>
  </si>
  <si>
    <t>GESSAGEM</t>
  </si>
  <si>
    <t>Calcário</t>
  </si>
  <si>
    <t>Gesso Nutrion</t>
  </si>
  <si>
    <t>Gesso Votorantim</t>
  </si>
  <si>
    <t>Gesso Agronelli</t>
  </si>
  <si>
    <t>Sim</t>
  </si>
  <si>
    <t>Não</t>
  </si>
  <si>
    <t>CaO</t>
  </si>
  <si>
    <t>MgO</t>
  </si>
  <si>
    <t>CaO + MgO</t>
  </si>
  <si>
    <t>Pó de rocha</t>
  </si>
  <si>
    <t>CaO+MgO</t>
  </si>
  <si>
    <t>DADOS DA ANALISE DE SOLOS</t>
  </si>
  <si>
    <t>DADOS DA IDADE DO PLANTIO</t>
  </si>
  <si>
    <t>X</t>
  </si>
  <si>
    <t>Definição da quantidade indicada</t>
  </si>
  <si>
    <t>Necessidade de rochagem (t/ha)</t>
  </si>
  <si>
    <t>Qtde. indicada</t>
  </si>
  <si>
    <t>CaO+MgO+K2O</t>
  </si>
  <si>
    <t>Cloreto de potássio</t>
  </si>
  <si>
    <t>Nitrato de cálcio</t>
  </si>
  <si>
    <t>PASSO 1</t>
  </si>
  <si>
    <t>PASSO 2</t>
  </si>
  <si>
    <t>PASSO 3</t>
  </si>
  <si>
    <t>PASSO 4</t>
  </si>
  <si>
    <t>PASSO 5</t>
  </si>
  <si>
    <t>PASSO 6</t>
  </si>
  <si>
    <t>Superfosfato simples</t>
  </si>
  <si>
    <t>Superfosfato triplo</t>
  </si>
  <si>
    <t>Hortimax Cobertura 13-3-25</t>
  </si>
  <si>
    <t>Composto Bioforte BONASA (061 9 9967-0863)</t>
  </si>
  <si>
    <t>Composto Bioensima BONASA (061 9 9967-0863)</t>
  </si>
  <si>
    <t>Composto Biojá BONASA (061 9 9967-0863)</t>
  </si>
  <si>
    <t>P2O5</t>
  </si>
  <si>
    <t>K2O</t>
  </si>
  <si>
    <t>Maior</t>
  </si>
  <si>
    <t>Formulados</t>
  </si>
  <si>
    <t>Adubos simples</t>
  </si>
  <si>
    <t>Termofosfato YOORIN</t>
  </si>
  <si>
    <t>&gt; 1,61</t>
  </si>
  <si>
    <t>&gt; 5,1</t>
  </si>
  <si>
    <t>&gt; 0,81</t>
  </si>
  <si>
    <t>&gt; 0,51</t>
  </si>
  <si>
    <t>Alto</t>
  </si>
  <si>
    <t>1,1 - 1,6</t>
  </si>
  <si>
    <t>1,91 - 5</t>
  </si>
  <si>
    <t>0,41 - 0,8</t>
  </si>
  <si>
    <t>0,21 - 0,5</t>
  </si>
  <si>
    <t>&lt; 1</t>
  </si>
  <si>
    <t>&lt; 1,9</t>
  </si>
  <si>
    <t>&lt; 0,4</t>
  </si>
  <si>
    <t>&lt; 0,2</t>
  </si>
  <si>
    <t>Zinco</t>
  </si>
  <si>
    <t>Manganês</t>
  </si>
  <si>
    <t>Cobre</t>
  </si>
  <si>
    <t>Boro</t>
  </si>
  <si>
    <t>Tabela 4. Interpretação de resultado de análise de micronutrientes em solos de Cerrado</t>
  </si>
  <si>
    <t>Teor mg/dm3</t>
  </si>
  <si>
    <t>Programação excel</t>
  </si>
  <si>
    <t>Nutriente</t>
  </si>
  <si>
    <t>E DIGA O PERCENTUAL QUE CABERÁ A CADA ADUBO</t>
  </si>
  <si>
    <t>ESCOLHA O ADUBO FONTE DE FÓSFORO</t>
  </si>
  <si>
    <t>ESCOLHA O ADUBO FONTE DE POTÁSSIO</t>
  </si>
  <si>
    <t>ESCOLHA O ADUBO FONTE DE NITROGÊNIO</t>
  </si>
  <si>
    <t>ESCOLHA O ADUBO FONTE DE MICRONUTRIENTE</t>
  </si>
  <si>
    <t>USO DE ADUBOS COM MICRONUTRIENTES</t>
  </si>
  <si>
    <t>Sulfato de cobre</t>
  </si>
  <si>
    <t>nº</t>
  </si>
  <si>
    <t>Adubos</t>
  </si>
  <si>
    <t>Qtde</t>
  </si>
  <si>
    <t>Adubo</t>
  </si>
  <si>
    <t>Demanda (g/planta)</t>
  </si>
  <si>
    <t>Formula</t>
  </si>
  <si>
    <t>Observação: os valores acima não podem ser menores ou maiores que 100%</t>
  </si>
  <si>
    <t>PASSO 7</t>
  </si>
  <si>
    <t>Kg/hectare recomendados</t>
  </si>
  <si>
    <t>ADUBOS</t>
  </si>
  <si>
    <t>CaO+MgO+K20</t>
  </si>
  <si>
    <t>Nutrientes</t>
  </si>
  <si>
    <t>Excesso ou déficit (g/planta)</t>
  </si>
  <si>
    <t>PREENCHER SOMENTE OS CAMPOS EM LARANJA</t>
  </si>
  <si>
    <t>CALAGEM E ROCHAGEM</t>
  </si>
  <si>
    <t>Definição corrigida</t>
  </si>
  <si>
    <t>&lt; 0,04</t>
  </si>
  <si>
    <t>&lt; 0,06</t>
  </si>
  <si>
    <t>0,041 - 0,10</t>
  </si>
  <si>
    <t>&gt;  0,101</t>
  </si>
  <si>
    <t>0,06 - 0,20</t>
  </si>
  <si>
    <t>&gt; 0,201</t>
  </si>
  <si>
    <t>Adubos orgânicos</t>
  </si>
  <si>
    <t>Potomag Nutrisafra (061 3028-2695)</t>
  </si>
  <si>
    <t>Po de rocha</t>
  </si>
  <si>
    <t>Garantias</t>
  </si>
  <si>
    <t>Esterco de equino</t>
  </si>
  <si>
    <t>Composto de lixo (COL)</t>
  </si>
  <si>
    <t>Esterco de suínos</t>
  </si>
  <si>
    <t>Esterco de ovinos</t>
  </si>
  <si>
    <t>Lodo de esgosto</t>
  </si>
  <si>
    <t>Compostos orgânicos</t>
  </si>
  <si>
    <t>Produção</t>
  </si>
  <si>
    <t>Esterco Bovino curtido</t>
  </si>
  <si>
    <t>Cama de frango corte</t>
  </si>
  <si>
    <t>&lt; 6</t>
  </si>
  <si>
    <t>6,1 - 12</t>
  </si>
  <si>
    <t>12,1 - 20</t>
  </si>
  <si>
    <t>20,1 - 30</t>
  </si>
  <si>
    <t>Produtividade esperada</t>
  </si>
  <si>
    <t>PRODUTIVIDADE ESPERADA</t>
  </si>
  <si>
    <t>Matéria orgânica (litros por planta)</t>
  </si>
  <si>
    <t>Toneladas por hectare</t>
  </si>
  <si>
    <t>ESCOLHA O CALCÁRIO E DIGA SEU PERCENTUAL PARA ATENDER A DEMANDA</t>
  </si>
  <si>
    <t>ESCOLHA O PÓ DE ROCHA E DIGA SEU PERCENTUAL PARA ATENDER A DEMANDA</t>
  </si>
  <si>
    <t>ESCOLHA O GESSO</t>
  </si>
  <si>
    <t>ESCOLHA A FONTE DE MATERIA ORGANICA</t>
  </si>
  <si>
    <t>Recomendação de adubação</t>
  </si>
  <si>
    <t>Voltar</t>
  </si>
  <si>
    <t>Tabela 3. Adubação</t>
  </si>
  <si>
    <t>N (kg/hectare)</t>
  </si>
  <si>
    <t>P205 (kg/hectare)</t>
  </si>
  <si>
    <t>K20 (kg/hectare)</t>
  </si>
  <si>
    <t>Ácido Bórico</t>
  </si>
  <si>
    <t>10,1 - 20</t>
  </si>
  <si>
    <t>30,1 - 40</t>
  </si>
  <si>
    <t>40,1 - 50</t>
  </si>
  <si>
    <t>20,1 - 40</t>
  </si>
  <si>
    <t>40,1 - 60</t>
  </si>
  <si>
    <t>60,1 - 80</t>
  </si>
  <si>
    <t>5,1 - 10</t>
  </si>
  <si>
    <t>15,1 - 20</t>
  </si>
  <si>
    <t>20,1 - 25</t>
  </si>
  <si>
    <t>Dias após plantio</t>
  </si>
  <si>
    <t>50,1 - 60</t>
  </si>
  <si>
    <t>&gt; 30</t>
  </si>
  <si>
    <t>Culturas</t>
  </si>
  <si>
    <t>Espaçamentos</t>
  </si>
  <si>
    <t>Adubos e corretivos</t>
  </si>
  <si>
    <t>Abacate - formação</t>
  </si>
  <si>
    <t>Abacate - produção</t>
  </si>
  <si>
    <t>Abacaxi - produção</t>
  </si>
  <si>
    <t>Acerola - formação</t>
  </si>
  <si>
    <t>Acerola - produção</t>
  </si>
  <si>
    <t>Banana - formação</t>
  </si>
  <si>
    <t>Banana - produção</t>
  </si>
  <si>
    <t>Citros - formação</t>
  </si>
  <si>
    <t>Citros - produção</t>
  </si>
  <si>
    <t>Goiaba - formação</t>
  </si>
  <si>
    <t>Goiaba - produção</t>
  </si>
  <si>
    <t>Graviola - formação</t>
  </si>
  <si>
    <t>Graviola -produção</t>
  </si>
  <si>
    <t>Mamão - produção</t>
  </si>
  <si>
    <t>Manga - formação</t>
  </si>
  <si>
    <t>Manga - produção</t>
  </si>
  <si>
    <t>Maracujá - produção</t>
  </si>
  <si>
    <t>Pitaya - formação</t>
  </si>
  <si>
    <t>Pitaya - produção</t>
  </si>
  <si>
    <t>Abacaxi</t>
  </si>
  <si>
    <t>Acerola</t>
  </si>
  <si>
    <t>Banana</t>
  </si>
  <si>
    <t>Citros</t>
  </si>
  <si>
    <t>Goiaba</t>
  </si>
  <si>
    <t>Graviola</t>
  </si>
  <si>
    <t>Mamão</t>
  </si>
  <si>
    <t>Pitaya</t>
  </si>
  <si>
    <t>Valores de saturação de base (V2) requerida por plantas perenes</t>
  </si>
  <si>
    <t>Manga</t>
  </si>
  <si>
    <t>Maracujá</t>
  </si>
  <si>
    <t>Análise de solo</t>
  </si>
  <si>
    <t>Análise foliar</t>
  </si>
  <si>
    <t>V2 (%)</t>
  </si>
  <si>
    <t>ENTRADA DE DADOS</t>
  </si>
  <si>
    <t>=</t>
  </si>
  <si>
    <t>ppm</t>
  </si>
  <si>
    <t>Tabela de conversão de unidades</t>
  </si>
  <si>
    <t>Abacate</t>
  </si>
  <si>
    <t>Recomendação de amostragem do solo para análise</t>
  </si>
  <si>
    <t>10 x 8 m, 10 x 6 m, 10 x 12 m, 12 x 12 m</t>
  </si>
  <si>
    <t>Espaçamentos tradicionais</t>
  </si>
  <si>
    <t>Espaçamentos adensados</t>
  </si>
  <si>
    <t>Fileira simples: 80 a 120 cm x 30 a 40 cm</t>
  </si>
  <si>
    <t>Fileira dupla: 70 a 90 cm entre fileiras duplas e 30 a 40 cm entre filas simples x 22 a 35 cm entre plantas</t>
  </si>
  <si>
    <t>Cultivares porte alto: 2,5 x 3 m e 3 x 3 m</t>
  </si>
  <si>
    <t>Fileira dupla: 4 m entre fileiras duplas, 2,5 m entre fileiras simples e 2,5 m entre plantas</t>
  </si>
  <si>
    <t>7 x 6 m e 8 x 5 m</t>
  </si>
  <si>
    <t>Indústria: 5 x 8 m, 7 x 7 m</t>
  </si>
  <si>
    <t>6 x 6 m, 7 x 7 m, 8 x 8 m</t>
  </si>
  <si>
    <t>3 x 3 m, 3 x 2 m</t>
  </si>
  <si>
    <t>10 x 10 m</t>
  </si>
  <si>
    <t>6 x 3 m e 6 x 4 m</t>
  </si>
  <si>
    <t>3 x 2 m e 3 x 3 m</t>
  </si>
  <si>
    <t>6 x 4 m e 6 x 3 m</t>
  </si>
  <si>
    <t>8 x 5 m, 7 x 6 m, 6 x 4 m</t>
  </si>
  <si>
    <t>7 x 5 m, 6 x 3 m, 6 x 1 a 2 m*</t>
  </si>
  <si>
    <t xml:space="preserve">* utilização de porta-enxertos ananicantes </t>
  </si>
  <si>
    <t>3 x 2 m, 2 x 2 m, 2 x 1 m</t>
  </si>
  <si>
    <t xml:space="preserve">5 x 4 m e 4 x 4 m </t>
  </si>
  <si>
    <t>4 x 3 m</t>
  </si>
  <si>
    <t>Cultivares porte baixo: 2 x 2 m e 2 x 2,5 m</t>
  </si>
  <si>
    <t>Fileira dupla: 90 a 120 cm entre fileiras duplas e 40 a 50 cm entre filas simples x 35 a 40 cm entre plantas</t>
  </si>
  <si>
    <t>Consumo in natura: 5 x 6 m, 6 a 8 x 5 m</t>
  </si>
  <si>
    <t xml:space="preserve">6 x 4 m, 5 x 4 m, 5 x 3 m </t>
  </si>
  <si>
    <t>6 x 5 m, 6 x 4 m, 5 x 5 m, 4 x 4 m</t>
  </si>
  <si>
    <t>3,5 m x 2 e 3,5 m x 1</t>
  </si>
  <si>
    <t>2,5 x 2,5 m</t>
  </si>
  <si>
    <t>Tabelas com espaçamentos de plantio tradicionais e adensados</t>
  </si>
  <si>
    <t xml:space="preserve">Deve-se evitar a amostragem em locais próximos de estradas e carreadores (contaminação pela poeira) e em plantas atacadas por doenças e pragas. 
Plantações que receberam pulverizações contendo nutrientes, só devem ser amostrados um mês após. 
As folhas coletadas devem ser colocadas em sacos de papel, identificadas (incluindo informações de manejo nutricional da planta) e envidas para o laboratório em um prazo máximo de 24h. 
Solicitar uma análise completa para uma boa interpretação dos resultados. 
</t>
  </si>
  <si>
    <t>Cultura</t>
  </si>
  <si>
    <t>Época</t>
  </si>
  <si>
    <t>Tipo de folha</t>
  </si>
  <si>
    <t>Número de folhas por gleba</t>
  </si>
  <si>
    <t>Fevereiro a março</t>
  </si>
  <si>
    <t>Folhas com 5 a 7 meses de idade, coletadas nos quatro lados da planta.</t>
  </si>
  <si>
    <t>100 folhas, de 25 plantas</t>
  </si>
  <si>
    <t>Antes da indução floral</t>
  </si>
  <si>
    <t>50 folhas, uma por planta</t>
  </si>
  <si>
    <t>Início da frutificação</t>
  </si>
  <si>
    <t>Folhas jovens, expandidas, coletadas nos quatro lados da planta.</t>
  </si>
  <si>
    <t>Florescimento</t>
  </si>
  <si>
    <t>Dezembro a janeiro</t>
  </si>
  <si>
    <t>Coletar a 2ª folha depois do fruto, uma folha em cada ponto cardeal.</t>
  </si>
  <si>
    <t>100 folhas em 25 plantas</t>
  </si>
  <si>
    <t>Coletar o 3º par de folhas desenvolvidas a partir da ponta de ramos e frutos.</t>
  </si>
  <si>
    <t>30 folhas, uma por planta</t>
  </si>
  <si>
    <t>Coletar folhas maduras na altura média da árvore em ramos com flores</t>
  </si>
  <si>
    <t>Coletar os pecíolos de folhas jovens, expandidas e maduras (17ª a 20 ª folhas a partir do ápice), com uma flor visível na axila</t>
  </si>
  <si>
    <t>30 folhas de 15 plantas</t>
  </si>
  <si>
    <t>Coletar folhas de ramos com flores na extremidade.</t>
  </si>
  <si>
    <t>80 folhas de 20 plantas</t>
  </si>
  <si>
    <t>Março a junho</t>
  </si>
  <si>
    <t>Coletar a 3ª ou 4ª folha a partir da ponta</t>
  </si>
  <si>
    <r>
      <t>Retirar de 5 a 10 cm da porção central, da 3</t>
    </r>
    <r>
      <rPr>
        <vertAlign val="superscript"/>
        <sz val="12"/>
        <color theme="1"/>
        <rFont val="Arial"/>
        <family val="2"/>
      </rPr>
      <t xml:space="preserve">a </t>
    </r>
    <r>
      <rPr>
        <sz val="12"/>
        <color theme="1"/>
        <rFont val="Arial"/>
        <family val="2"/>
      </rPr>
      <t>folha a partir da inflorescência.</t>
    </r>
  </si>
  <si>
    <r>
      <t>Folha recém-madura "D", normalmente a 4</t>
    </r>
    <r>
      <rPr>
        <vertAlign val="superscript"/>
        <sz val="12"/>
        <color theme="1"/>
        <rFont val="Arial"/>
        <family val="2"/>
      </rPr>
      <t xml:space="preserve">a </t>
    </r>
    <r>
      <rPr>
        <sz val="12"/>
        <color theme="1"/>
        <rFont val="Arial"/>
        <family val="2"/>
      </rPr>
      <t xml:space="preserve">folha a partir do ápice </t>
    </r>
  </si>
  <si>
    <t>DETALHE O ESPAÇAMENTO SE ESTE FOR SIMPLES</t>
  </si>
  <si>
    <t>DETALHE O ESPAÇAMENTO SE ESTE FOR DUPLO</t>
  </si>
  <si>
    <t>DIGA SE FOI REALIZADA AMOSTRAGEM DE SOLO DE 40-60 CM</t>
  </si>
  <si>
    <t>Cálcio</t>
  </si>
  <si>
    <t>Alumínio</t>
  </si>
  <si>
    <t>Saturação Alumínio</t>
  </si>
  <si>
    <t>SAT. ALUMÍNIO</t>
  </si>
  <si>
    <r>
      <rPr>
        <b/>
        <sz val="14"/>
        <rFont val="Helvetica"/>
      </rPr>
      <t>Aplicar da seguinte forma</t>
    </r>
    <r>
      <rPr>
        <sz val="14"/>
        <rFont val="Helvetica"/>
      </rPr>
      <t>: a calagem/rochagem deve ser aplicada no final do período chuvoso anterior ao plantio, ou ainda, no início da estação chuvosa pouco antes do plantio. Se a dose de calcario for elevada (maior que 5 toneladas por hectare), a aplicação deverá ser parcelada em 2 vezes e o intervalo entre uma aplicação e a outra deverá ser de no mínimo 12 meses.</t>
    </r>
  </si>
  <si>
    <r>
      <rPr>
        <b/>
        <sz val="14"/>
        <rFont val="Helvetica"/>
      </rPr>
      <t>Aplicar da seguinte forma:</t>
    </r>
    <r>
      <rPr>
        <sz val="14"/>
        <rFont val="Helvetica"/>
      </rPr>
      <t xml:space="preserve"> o gesso agrícola deve ser aplicado a lanço </t>
    </r>
    <r>
      <rPr>
        <b/>
        <sz val="14"/>
        <rFont val="Helvetica"/>
      </rPr>
      <t xml:space="preserve">depois </t>
    </r>
    <r>
      <rPr>
        <sz val="14"/>
        <rFont val="Helvetica"/>
      </rPr>
      <t>da calagem</t>
    </r>
  </si>
  <si>
    <r>
      <rPr>
        <b/>
        <sz val="14"/>
        <rFont val="Helvetica"/>
      </rPr>
      <t>Aplicar da seguinte forma:</t>
    </r>
    <r>
      <rPr>
        <sz val="14"/>
        <rFont val="Helvetica"/>
      </rPr>
      <t xml:space="preserve"> 
a) O adubo fosfatado e adubos orgânicos podem ser aplicado de uma única vez no início da estação chuvosa.
b) Parcelar em três vezes, durante o período chuvoso, os adubos contendo nitrogênio e potássio.
c) Fazer nova amostragem de solo a cada dois ou três anos.</t>
    </r>
  </si>
  <si>
    <r>
      <rPr>
        <b/>
        <sz val="14"/>
        <rFont val="Helvetica"/>
      </rPr>
      <t>Aplicar da seguinte forma:</t>
    </r>
    <r>
      <rPr>
        <sz val="14"/>
        <rFont val="Helvetica"/>
      </rPr>
      <t xml:space="preserve">
a) Os micronutrientes podem ser misturados e aplicados juntos aos outros adubos fontes de nitrogênio, fósforo e potássio
b) A reaplicação de micronutrientes pode ser necessária após 4 anos, de acordo com análise do solo</t>
    </r>
  </si>
  <si>
    <t>SE A RESPOSTA ANTERIOR FOI SIM, DIGA OS DADOS ABAIXO</t>
  </si>
  <si>
    <t>Farinha de osso</t>
  </si>
  <si>
    <t>ITAU Calcario Filler</t>
  </si>
  <si>
    <t xml:space="preserve">Pesquisa de preços &gt;&gt;&gt;&gt; </t>
  </si>
  <si>
    <t>Hortibraz</t>
  </si>
  <si>
    <t>3361-3809</t>
  </si>
  <si>
    <t>Vegetal Agronegócios</t>
  </si>
  <si>
    <t>3234-8485</t>
  </si>
  <si>
    <t>Adubos Araguaia</t>
  </si>
  <si>
    <t>3362-3500</t>
  </si>
  <si>
    <t>CUSTOS</t>
  </si>
  <si>
    <t>TAMANHO DA ÁREA PLANTADA EM HECTARES</t>
  </si>
  <si>
    <t>Custo/nº plantas</t>
  </si>
  <si>
    <t>FONTE ORGÂNICA</t>
  </si>
  <si>
    <t>Gran 12</t>
  </si>
  <si>
    <t>Uréia</t>
  </si>
  <si>
    <t>Nitrato de potássio</t>
  </si>
  <si>
    <t>Sulfato de potássio</t>
  </si>
  <si>
    <t>DRIPSOL Alface</t>
  </si>
  <si>
    <t>MAP</t>
  </si>
  <si>
    <t>MKP</t>
  </si>
  <si>
    <t>Hortimax Plantio 03-18-05</t>
  </si>
  <si>
    <t>Algas marinhas Algen</t>
  </si>
  <si>
    <t>Sulfato de magnésio</t>
  </si>
  <si>
    <t>Boráx</t>
  </si>
  <si>
    <t>Formulado 04-14-08</t>
  </si>
  <si>
    <t>Formulado 04-30-16</t>
  </si>
  <si>
    <t>Formulado 05-25-15</t>
  </si>
  <si>
    <t>Baseduo Formulado 08-24-08</t>
  </si>
  <si>
    <t>Timac Formulado 04-26-10</t>
  </si>
  <si>
    <t>Timac Formulado 12-03-24</t>
  </si>
  <si>
    <t>Formulado 10-10-10</t>
  </si>
  <si>
    <t>Formulado 20-00-20</t>
  </si>
  <si>
    <t>Ncalcio Formulado 07-00-30</t>
  </si>
  <si>
    <t>Torta de mamona Hortibraz</t>
  </si>
  <si>
    <t>AGROSILICIO</t>
  </si>
  <si>
    <t>Brexil Top</t>
  </si>
  <si>
    <t>Molibdato de sódio</t>
  </si>
  <si>
    <t>Ferrelene</t>
  </si>
  <si>
    <t>Custo/planta</t>
  </si>
  <si>
    <t>Custo/área total</t>
  </si>
  <si>
    <t>ESCOLHA OS ADUBOS E VEJA AS QUANTIDADES</t>
  </si>
  <si>
    <t>SIMULE A COMBINAÇÃO DE ADUBOS</t>
  </si>
  <si>
    <t>PARA OBTER O MENOR CUSTO</t>
  </si>
  <si>
    <t>Qtde do adubo</t>
  </si>
  <si>
    <t>Custo total</t>
  </si>
  <si>
    <t>Adubos selecionados</t>
  </si>
  <si>
    <t>Formulado 04-30-10</t>
  </si>
  <si>
    <t>Timac Formulado 00-18-00</t>
  </si>
  <si>
    <t>SOLUÇÃO DO PROBLEMA</t>
  </si>
  <si>
    <t>Custo/área total (com esterco, composto ou lodo)</t>
  </si>
  <si>
    <t>Custo/área total (sem esterco, composto ou lodo)</t>
  </si>
  <si>
    <t>Custo/planta (com esterco, composto ou lodo)</t>
  </si>
  <si>
    <t>Custo/planta (sem esterco, composto ou lodo)</t>
  </si>
  <si>
    <t>80,1 - 90</t>
  </si>
  <si>
    <t>50,1  - 60</t>
  </si>
  <si>
    <t>60,1 - 70</t>
  </si>
  <si>
    <t>Ca (Cálcio)</t>
  </si>
  <si>
    <t>CaCO3 (Carbonato de cálcio)</t>
  </si>
  <si>
    <t>Mg (Magnésio)</t>
  </si>
  <si>
    <t>MgO (Óxido de magnésio)</t>
  </si>
  <si>
    <t>CaO (Óxido de cálcio)</t>
  </si>
  <si>
    <t>P (Fósforo)</t>
  </si>
  <si>
    <t>P2O5 (Fósforo)</t>
  </si>
  <si>
    <t>K (Potássio)</t>
  </si>
  <si>
    <t>K2O (Potássio)</t>
  </si>
  <si>
    <t xml:space="preserve">mmol/dm3 x mol </t>
  </si>
  <si>
    <t>mg/dm3</t>
  </si>
  <si>
    <t>cmol/dm3 x mol</t>
  </si>
  <si>
    <t>cg/dm3</t>
  </si>
  <si>
    <t>mol/dm3 x mol</t>
  </si>
  <si>
    <t>g/dm3</t>
  </si>
  <si>
    <t>kg/hectare</t>
  </si>
  <si>
    <t>dag/kg</t>
  </si>
  <si>
    <t xml:space="preserve">mmolc/dm3 </t>
  </si>
  <si>
    <t>cmolc/dm3</t>
  </si>
  <si>
    <t>ppm = mg/dm3 = mg/kg = mg/L</t>
  </si>
  <si>
    <t>meq/100g = cmolc/dm3</t>
  </si>
  <si>
    <t>ESCOLHA A CULTURA</t>
  </si>
  <si>
    <t xml:space="preserve">
A análise foliar e a análise do solo são complementares e podem oferecer informações valiosas na solução de algum problema nutricional nas frutíferas. 
A amostragem deve ser feita seguindo os critérios abaixo:</t>
  </si>
  <si>
    <t>Armazenagem e envio das amostras para analise em laboratório</t>
  </si>
  <si>
    <t>Observações para coleta</t>
  </si>
  <si>
    <t>25,1 - 30</t>
  </si>
  <si>
    <t>Fator correção</t>
  </si>
  <si>
    <r>
      <t xml:space="preserve">          Para uma amostragem de solo bem feita, deve-se primeiramente dividir toda a área em glebas ou talhões com características semelhantes (Figura 1). Cada gleba ou talhão deve apresentar a mesma topografia (topo de morro, encosta, baixada), a mesma vegetação, as mesmas características perceptíveis de solo (cor, textura, condição de drenagem) e o mesmo histórico de cultivo (plantas com mesma idade, uso de fertilizantes, culturas plantadas anteriormente). 
            As amostragens devem ser feitas coletando-se amostras simples em </t>
    </r>
    <r>
      <rPr>
        <b/>
        <sz val="16"/>
        <color theme="1"/>
        <rFont val="Arial"/>
        <family val="2"/>
      </rPr>
      <t>20 pontos ao acaso</t>
    </r>
    <r>
      <rPr>
        <sz val="16"/>
        <color theme="1"/>
        <rFont val="Arial"/>
        <family val="2"/>
      </rPr>
      <t xml:space="preserve">, caminhando em ziguezague em cada gleba ou talhão homogêneo e com o uso de trados, enxadas ou pás (Figura 2). Misturando-se bem as amostras simples, obtém-se uma amostra composta, da qual separam-se mais ou menos 300 gramas em embalagens limpas. Deve-se identificar cada amostra e levar para um laboratório para realizar a análise de solo. 
             Para </t>
    </r>
    <r>
      <rPr>
        <b/>
        <sz val="16"/>
        <color theme="1"/>
        <rFont val="Arial"/>
        <family val="2"/>
      </rPr>
      <t>áreas novas</t>
    </r>
    <r>
      <rPr>
        <sz val="16"/>
        <color theme="1"/>
        <rFont val="Arial"/>
        <family val="2"/>
      </rPr>
      <t xml:space="preserve">, as amostras devem ser coletadas na profundidade de 0 a 20 cm e 20 a 40 cm.
             Para </t>
    </r>
    <r>
      <rPr>
        <b/>
        <sz val="16"/>
        <color theme="1"/>
        <rFont val="Arial"/>
        <family val="2"/>
      </rPr>
      <t>áreas de fruticultura já implantadas</t>
    </r>
    <r>
      <rPr>
        <sz val="16"/>
        <color theme="1"/>
        <rFont val="Arial"/>
        <family val="2"/>
      </rPr>
      <t xml:space="preserve">, as amostras devem ser coletadas na camada de 0 a 20 cm na </t>
    </r>
    <r>
      <rPr>
        <b/>
        <sz val="16"/>
        <color theme="1"/>
        <rFont val="Arial"/>
        <family val="2"/>
      </rPr>
      <t>projeção da copa</t>
    </r>
    <r>
      <rPr>
        <sz val="16"/>
        <color theme="1"/>
        <rFont val="Arial"/>
        <family val="2"/>
      </rPr>
      <t xml:space="preserve"> para avaliação de aspectos nutricionais. Também deve ser coletada amostras na profundidade de 0 a 20 cm nas entrelinhas ou no centro das ruas para avaliação dos efeitos da calagem. 
             A frequência da amostragem depende do manejo da cultura. Recomenda-se amostragem anual a partir da fase produtiva e realizada antes do período das chuvas. E a cada três anos coletar amostras nas camadas de 20 a 40 cm. 
</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</si>
</sst>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R$&quot;\ * #,##0.00_-;\-&quot;R$&quot;\ * #,##0.00_-;_-&quot;R$&quot;\ * &quot;-&quot;??_-;_-@_-"/>
    <numFmt numFmtId="43" formatCode="_-* #,##0.00_-;\-* #,##0.00_-;_-* &quot;-&quot;??_-;_-@_-"/>
    <numFmt numFmtId="164" formatCode="0.0"/>
    <numFmt numFmtId="165" formatCode="0.0%"/>
    <numFmt numFmtId="166" formatCode="0.000"/>
  </numFmts>
  <fonts count="34" x14ac:knownFonts="1">
    <font>
      <sz val="11"/>
      <color theme="1"/>
      <name val="Calibri"/>
      <family val="2"/>
      <scheme val="minor"/>
    </font>
    <font>
      <sz val="12"/>
      <color theme="1"/>
      <name val="Helvetica"/>
    </font>
    <font>
      <sz val="11"/>
      <color theme="1"/>
      <name val="Calibri"/>
      <family val="2"/>
      <scheme val="minor"/>
    </font>
    <font>
      <sz val="14"/>
      <color theme="0"/>
      <name val="Helvetica"/>
    </font>
    <font>
      <sz val="14"/>
      <name val="Helvetica"/>
    </font>
    <font>
      <b/>
      <sz val="14"/>
      <name val="Helvetica"/>
    </font>
    <font>
      <sz val="9"/>
      <color indexed="81"/>
      <name val="Segoe UI"/>
      <family val="2"/>
    </font>
    <font>
      <sz val="14"/>
      <color rgb="FFFF0000"/>
      <name val="Helvetica"/>
    </font>
    <font>
      <sz val="14"/>
      <name val="Arial"/>
      <family val="2"/>
    </font>
    <font>
      <b/>
      <sz val="14"/>
      <name val="Arial"/>
      <family val="2"/>
    </font>
    <font>
      <u/>
      <sz val="11"/>
      <color theme="10"/>
      <name val="Calibri"/>
      <family val="2"/>
      <scheme val="minor"/>
    </font>
    <font>
      <b/>
      <sz val="16"/>
      <color indexed="81"/>
      <name val="Segoe UI"/>
      <family val="2"/>
    </font>
    <font>
      <sz val="16"/>
      <color indexed="81"/>
      <name val="Segoe UI"/>
      <family val="2"/>
    </font>
    <font>
      <b/>
      <sz val="14"/>
      <color indexed="81"/>
      <name val="Arial"/>
      <family val="2"/>
    </font>
    <font>
      <sz val="8"/>
      <name val="Calibri"/>
      <family val="2"/>
      <scheme val="minor"/>
    </font>
    <font>
      <sz val="12"/>
      <color theme="1"/>
      <name val="Arial"/>
      <family val="2"/>
    </font>
    <font>
      <sz val="16"/>
      <color theme="1"/>
      <name val="Arial"/>
      <family val="2"/>
    </font>
    <font>
      <sz val="12"/>
      <name val="Arial"/>
      <family val="2"/>
    </font>
    <font>
      <b/>
      <sz val="10"/>
      <name val="Arial"/>
      <family val="2"/>
    </font>
    <font>
      <sz val="10"/>
      <name val="Arial"/>
      <family val="2"/>
    </font>
    <font>
      <sz val="11"/>
      <color theme="1"/>
      <name val="Arial"/>
      <family val="2"/>
    </font>
    <font>
      <b/>
      <sz val="11"/>
      <color theme="1"/>
      <name val="Arial"/>
      <family val="2"/>
    </font>
    <font>
      <sz val="10"/>
      <color theme="1"/>
      <name val="Arial"/>
      <family val="2"/>
    </font>
    <font>
      <b/>
      <sz val="16"/>
      <color theme="1"/>
      <name val="Arial"/>
      <family val="2"/>
    </font>
    <font>
      <b/>
      <sz val="12"/>
      <color theme="1"/>
      <name val="Arial"/>
      <family val="2"/>
    </font>
    <font>
      <vertAlign val="superscript"/>
      <sz val="12"/>
      <color theme="1"/>
      <name val="Arial"/>
      <family val="2"/>
    </font>
    <font>
      <b/>
      <sz val="14"/>
      <color theme="0"/>
      <name val="Helvetica"/>
    </font>
    <font>
      <b/>
      <sz val="14"/>
      <color theme="1"/>
      <name val="Helvetica"/>
    </font>
    <font>
      <sz val="14"/>
      <color theme="1"/>
      <name val="Helvetica"/>
    </font>
    <font>
      <b/>
      <sz val="12"/>
      <name val="Helvetica"/>
    </font>
    <font>
      <sz val="12"/>
      <name val="Helvetica"/>
    </font>
    <font>
      <u/>
      <sz val="14"/>
      <color theme="10"/>
      <name val="Helvetica"/>
    </font>
    <font>
      <u/>
      <sz val="16"/>
      <color theme="10"/>
      <name val="Calibri"/>
      <family val="2"/>
      <scheme val="minor"/>
    </font>
    <font>
      <sz val="16"/>
      <color theme="1"/>
      <name val="Helvetica"/>
    </font>
  </fonts>
  <fills count="22">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0"/>
        <bgColor rgb="FFFF9900"/>
      </patternFill>
    </fill>
    <fill>
      <patternFill patternType="solid">
        <fgColor theme="0"/>
        <bgColor rgb="FFC3D69A"/>
      </patternFill>
    </fill>
    <fill>
      <patternFill patternType="solid">
        <fgColor theme="9" tint="0.59999389629810485"/>
        <bgColor indexed="64"/>
      </patternFill>
    </fill>
    <fill>
      <patternFill patternType="solid">
        <fgColor theme="9" tint="0.59999389629810485"/>
        <bgColor rgb="FFC3D69A"/>
      </patternFill>
    </fill>
    <fill>
      <patternFill patternType="solid">
        <fgColor theme="9" tint="0.59999389629810485"/>
        <bgColor rgb="FFFF9900"/>
      </patternFill>
    </fill>
    <fill>
      <patternFill patternType="solid">
        <fgColor theme="0"/>
        <bgColor rgb="FFD9D9D9"/>
      </patternFill>
    </fill>
    <fill>
      <patternFill patternType="solid">
        <fgColor theme="0" tint="-0.14999847407452621"/>
        <bgColor indexed="64"/>
      </patternFill>
    </fill>
    <fill>
      <patternFill patternType="solid">
        <fgColor theme="0" tint="-0.14999847407452621"/>
        <bgColor rgb="FFD9D9D9"/>
      </patternFill>
    </fill>
    <fill>
      <patternFill patternType="solid">
        <fgColor theme="4" tint="0.59999389629810485"/>
        <bgColor indexed="64"/>
      </patternFill>
    </fill>
    <fill>
      <patternFill patternType="solid">
        <fgColor theme="4" tint="0.59999389629810485"/>
        <bgColor rgb="FFC3D69A"/>
      </patternFill>
    </fill>
    <fill>
      <patternFill patternType="solid">
        <fgColor theme="0" tint="-0.14999847407452621"/>
        <bgColor rgb="FFFF9900"/>
      </patternFill>
    </fill>
    <fill>
      <patternFill patternType="solid">
        <fgColor theme="9" tint="0.59999389629810485"/>
        <bgColor rgb="FFD9D9D9"/>
      </patternFill>
    </fill>
    <fill>
      <patternFill patternType="solid">
        <fgColor theme="4" tint="0.59999389629810485"/>
        <bgColor rgb="FFD9D9D9"/>
      </patternFill>
    </fill>
    <fill>
      <patternFill patternType="solid">
        <fgColor rgb="FFFFFF00"/>
        <bgColor indexed="64"/>
      </patternFill>
    </fill>
    <fill>
      <patternFill patternType="solid">
        <fgColor theme="9" tint="0.39997558519241921"/>
        <bgColor indexed="64"/>
      </patternFill>
    </fill>
    <fill>
      <patternFill patternType="solid">
        <fgColor indexed="9"/>
        <bgColor indexed="64"/>
      </patternFill>
    </fill>
    <fill>
      <patternFill patternType="solid">
        <fgColor theme="8" tint="0.79998168889431442"/>
        <bgColor indexed="64"/>
      </patternFill>
    </fill>
    <fill>
      <patternFill patternType="solid">
        <fgColor theme="6" tint="0.79998168889431442"/>
        <bgColor indexed="64"/>
      </patternFill>
    </fill>
  </fills>
  <borders count="32">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thin">
        <color indexed="64"/>
      </left>
      <right/>
      <top style="medium">
        <color indexed="64"/>
      </top>
      <bottom style="medium">
        <color indexed="64"/>
      </bottom>
      <diagonal/>
    </border>
  </borders>
  <cellStyleXfs count="5">
    <xf numFmtId="0" fontId="0" fillId="0" borderId="0"/>
    <xf numFmtId="43" fontId="2" fillId="0" borderId="0" applyFont="0" applyFill="0" applyBorder="0" applyAlignment="0" applyProtection="0"/>
    <xf numFmtId="9" fontId="2" fillId="0" borderId="0" applyFont="0" applyFill="0" applyBorder="0" applyAlignment="0" applyProtection="0"/>
    <xf numFmtId="0" fontId="10" fillId="0" borderId="0" applyNumberFormat="0" applyFill="0" applyBorder="0" applyAlignment="0" applyProtection="0"/>
    <xf numFmtId="44" fontId="2" fillId="0" borderId="0" applyFont="0" applyFill="0" applyBorder="0" applyAlignment="0" applyProtection="0"/>
  </cellStyleXfs>
  <cellXfs count="422">
    <xf numFmtId="0" fontId="0" fillId="0" borderId="0" xfId="0"/>
    <xf numFmtId="164" fontId="4" fillId="3" borderId="2" xfId="0" applyNumberFormat="1" applyFont="1" applyFill="1" applyBorder="1" applyAlignment="1" applyProtection="1">
      <alignment horizontal="center" vertical="center"/>
      <protection locked="0"/>
    </xf>
    <xf numFmtId="2" fontId="4" fillId="3" borderId="2" xfId="0" applyNumberFormat="1" applyFont="1" applyFill="1" applyBorder="1" applyAlignment="1" applyProtection="1">
      <alignment horizontal="center" vertical="center"/>
      <protection locked="0"/>
    </xf>
    <xf numFmtId="2" fontId="4" fillId="3" borderId="2" xfId="0" applyNumberFormat="1" applyFont="1" applyFill="1" applyBorder="1" applyAlignment="1" applyProtection="1">
      <alignment horizontal="center" vertical="center"/>
      <protection hidden="1"/>
    </xf>
    <xf numFmtId="164" fontId="5" fillId="3" borderId="2" xfId="0" applyNumberFormat="1" applyFont="1" applyFill="1" applyBorder="1" applyAlignment="1" applyProtection="1">
      <alignment horizontal="center" vertical="center"/>
      <protection locked="0"/>
    </xf>
    <xf numFmtId="164" fontId="4" fillId="2" borderId="2" xfId="0" applyNumberFormat="1" applyFont="1" applyFill="1" applyBorder="1" applyAlignment="1" applyProtection="1">
      <alignment horizontal="center" vertical="center"/>
      <protection locked="0"/>
    </xf>
    <xf numFmtId="2" fontId="4" fillId="2" borderId="2" xfId="0" applyNumberFormat="1"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hidden="1"/>
    </xf>
    <xf numFmtId="0" fontId="4" fillId="3" borderId="0" xfId="0" applyFont="1" applyFill="1" applyBorder="1" applyAlignment="1" applyProtection="1">
      <alignment horizontal="center" vertical="center"/>
      <protection hidden="1"/>
    </xf>
    <xf numFmtId="2" fontId="4" fillId="2" borderId="2" xfId="0" applyNumberFormat="1" applyFont="1" applyFill="1" applyBorder="1" applyAlignment="1" applyProtection="1">
      <alignment horizontal="center" vertical="center"/>
      <protection hidden="1"/>
    </xf>
    <xf numFmtId="0" fontId="4" fillId="3" borderId="0" xfId="0" applyFont="1" applyFill="1" applyAlignment="1" applyProtection="1">
      <alignment horizontal="center" vertical="center"/>
      <protection locked="0"/>
    </xf>
    <xf numFmtId="2" fontId="4" fillId="3" borderId="0" xfId="0" applyNumberFormat="1" applyFont="1" applyFill="1" applyAlignment="1" applyProtection="1">
      <alignment horizontal="center" vertical="center"/>
      <protection locked="0"/>
    </xf>
    <xf numFmtId="0" fontId="3" fillId="3" borderId="0" xfId="0" applyFont="1" applyFill="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5" fillId="3" borderId="0" xfId="0" applyFont="1" applyFill="1" applyAlignment="1" applyProtection="1">
      <alignment horizontal="center" vertical="center"/>
      <protection locked="0"/>
    </xf>
    <xf numFmtId="9" fontId="4" fillId="3" borderId="2" xfId="0" applyNumberFormat="1" applyFont="1" applyFill="1" applyBorder="1" applyAlignment="1" applyProtection="1">
      <alignment horizontal="center" vertical="center"/>
      <protection locked="0"/>
    </xf>
    <xf numFmtId="1" fontId="4" fillId="3" borderId="0" xfId="0" applyNumberFormat="1" applyFont="1" applyFill="1" applyAlignment="1" applyProtection="1">
      <alignment horizontal="center" vertical="center"/>
      <protection locked="0"/>
    </xf>
    <xf numFmtId="1" fontId="3" fillId="3" borderId="15" xfId="0" applyNumberFormat="1" applyFont="1" applyFill="1" applyBorder="1" applyAlignment="1" applyProtection="1">
      <alignment horizontal="center" vertical="center"/>
      <protection locked="0"/>
    </xf>
    <xf numFmtId="9" fontId="4" fillId="2" borderId="2" xfId="2" applyFont="1" applyFill="1" applyBorder="1" applyAlignment="1" applyProtection="1">
      <alignment horizontal="center" vertical="center"/>
      <protection locked="0"/>
    </xf>
    <xf numFmtId="0" fontId="4" fillId="14" borderId="2" xfId="0" applyFont="1" applyFill="1" applyBorder="1" applyAlignment="1" applyProtection="1">
      <alignment horizontal="center" vertical="center"/>
      <protection locked="0"/>
    </xf>
    <xf numFmtId="0" fontId="4" fillId="8" borderId="2" xfId="0" applyFont="1" applyFill="1" applyBorder="1" applyAlignment="1" applyProtection="1">
      <alignment horizontal="center" vertical="center"/>
      <protection locked="0"/>
    </xf>
    <xf numFmtId="0" fontId="4" fillId="3" borderId="0" xfId="0" applyFont="1" applyFill="1" applyBorder="1" applyAlignment="1" applyProtection="1">
      <alignment vertical="center"/>
      <protection locked="0"/>
    </xf>
    <xf numFmtId="0" fontId="4" fillId="13" borderId="2" xfId="0" applyFont="1" applyFill="1" applyBorder="1" applyAlignment="1" applyProtection="1">
      <alignment horizontal="center" vertical="center"/>
      <protection locked="0"/>
    </xf>
    <xf numFmtId="2" fontId="4" fillId="13" borderId="2" xfId="0" applyNumberFormat="1" applyFont="1" applyFill="1" applyBorder="1" applyAlignment="1" applyProtection="1">
      <alignment horizontal="center" vertical="center"/>
      <protection locked="0"/>
    </xf>
    <xf numFmtId="0" fontId="4" fillId="3" borderId="0" xfId="0" applyFont="1" applyFill="1" applyAlignment="1" applyProtection="1">
      <alignment horizontal="center" vertical="center" wrapText="1"/>
      <protection locked="0"/>
    </xf>
    <xf numFmtId="0" fontId="4" fillId="12" borderId="2" xfId="0" applyFont="1" applyFill="1" applyBorder="1" applyAlignment="1" applyProtection="1">
      <alignment horizontal="center" vertical="center"/>
      <protection locked="0"/>
    </xf>
    <xf numFmtId="2" fontId="4" fillId="6" borderId="2" xfId="0" applyNumberFormat="1" applyFont="1" applyFill="1" applyBorder="1" applyAlignment="1" applyProtection="1">
      <alignment horizontal="center" vertical="center"/>
      <protection locked="0"/>
    </xf>
    <xf numFmtId="0" fontId="4" fillId="7" borderId="2" xfId="0" applyFont="1" applyFill="1" applyBorder="1" applyAlignment="1" applyProtection="1">
      <alignment horizontal="center" vertical="center"/>
      <protection locked="0"/>
    </xf>
    <xf numFmtId="2" fontId="4" fillId="3" borderId="0" xfId="0" applyNumberFormat="1" applyFont="1" applyFill="1" applyAlignment="1" applyProtection="1">
      <alignment horizontal="center" vertical="center"/>
      <protection hidden="1"/>
    </xf>
    <xf numFmtId="2" fontId="4" fillId="3" borderId="0" xfId="0" applyNumberFormat="1" applyFont="1" applyFill="1" applyBorder="1" applyAlignment="1" applyProtection="1">
      <alignment horizontal="center" vertical="center"/>
      <protection hidden="1"/>
    </xf>
    <xf numFmtId="0" fontId="5" fillId="3" borderId="0" xfId="0" applyFont="1" applyFill="1" applyBorder="1" applyAlignment="1" applyProtection="1">
      <alignment horizontal="center" vertical="center" wrapText="1"/>
      <protection locked="0"/>
    </xf>
    <xf numFmtId="2" fontId="4" fillId="17" borderId="2" xfId="0" applyNumberFormat="1" applyFont="1" applyFill="1" applyBorder="1" applyAlignment="1" applyProtection="1">
      <alignment horizontal="center" vertical="center"/>
      <protection locked="0"/>
    </xf>
    <xf numFmtId="166" fontId="3" fillId="3" borderId="0" xfId="0" applyNumberFormat="1" applyFont="1" applyFill="1" applyAlignment="1" applyProtection="1">
      <alignment horizontal="center" vertical="center"/>
      <protection locked="0"/>
    </xf>
    <xf numFmtId="166" fontId="3" fillId="3" borderId="0" xfId="0" applyNumberFormat="1" applyFont="1" applyFill="1" applyBorder="1" applyAlignment="1" applyProtection="1">
      <alignment horizontal="center" vertical="center"/>
      <protection locked="0"/>
    </xf>
    <xf numFmtId="2" fontId="3" fillId="3" borderId="0" xfId="0" applyNumberFormat="1" applyFont="1" applyFill="1" applyBorder="1" applyAlignment="1" applyProtection="1">
      <alignment horizontal="center" vertical="center"/>
      <protection locked="0"/>
    </xf>
    <xf numFmtId="0" fontId="7"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14" fontId="8" fillId="3" borderId="2" xfId="0" applyNumberFormat="1"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8" fillId="3" borderId="5" xfId="0" applyFont="1" applyFill="1" applyBorder="1" applyAlignment="1" applyProtection="1">
      <alignment horizontal="center" vertical="center"/>
      <protection locked="0"/>
    </xf>
    <xf numFmtId="0" fontId="8" fillId="3"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0" fillId="0" borderId="0" xfId="0" applyAlignment="1"/>
    <xf numFmtId="0" fontId="20" fillId="0" borderId="6" xfId="0" applyFont="1" applyBorder="1"/>
    <xf numFmtId="0" fontId="20" fillId="0" borderId="0" xfId="0" applyFont="1"/>
    <xf numFmtId="0" fontId="19" fillId="20" borderId="29" xfId="0" applyFont="1" applyFill="1" applyBorder="1" applyAlignment="1" applyProtection="1">
      <alignment horizontal="center"/>
      <protection locked="0"/>
    </xf>
    <xf numFmtId="0" fontId="20" fillId="0" borderId="0" xfId="0" applyFont="1" applyBorder="1" applyAlignment="1">
      <alignment horizontal="center"/>
    </xf>
    <xf numFmtId="0" fontId="20" fillId="0" borderId="26" xfId="0" applyFont="1" applyBorder="1" applyAlignment="1">
      <alignment horizontal="center"/>
    </xf>
    <xf numFmtId="0" fontId="20" fillId="0" borderId="0" xfId="0" applyFont="1" applyFill="1" applyBorder="1"/>
    <xf numFmtId="0" fontId="21" fillId="0" borderId="6" xfId="0" applyFont="1" applyBorder="1"/>
    <xf numFmtId="0" fontId="4" fillId="2" borderId="2" xfId="0" applyFont="1" applyFill="1" applyBorder="1" applyAlignment="1" applyProtection="1">
      <alignment horizontal="center" vertical="center"/>
      <protection hidden="1"/>
    </xf>
    <xf numFmtId="0" fontId="4" fillId="0" borderId="2" xfId="0" applyFont="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5" fillId="11" borderId="2" xfId="0" applyFont="1" applyFill="1" applyBorder="1" applyAlignment="1" applyProtection="1">
      <alignment horizontal="center" vertical="center" wrapText="1"/>
      <protection locked="0"/>
    </xf>
    <xf numFmtId="0" fontId="5" fillId="16"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5" fillId="9" borderId="2" xfId="0"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protection hidden="1"/>
    </xf>
    <xf numFmtId="0" fontId="3" fillId="3" borderId="0" xfId="0" applyFont="1" applyFill="1" applyBorder="1"/>
    <xf numFmtId="0" fontId="4" fillId="3" borderId="0" xfId="0" applyFont="1" applyFill="1" applyAlignment="1">
      <alignment horizontal="center" vertical="center"/>
    </xf>
    <xf numFmtId="0" fontId="3" fillId="5" borderId="0" xfId="0" applyFont="1" applyFill="1" applyBorder="1" applyAlignment="1">
      <alignment horizontal="center" vertical="center"/>
    </xf>
    <xf numFmtId="0" fontId="4" fillId="8" borderId="2" xfId="0" applyFont="1" applyFill="1" applyBorder="1" applyAlignment="1">
      <alignment horizontal="center" vertical="center"/>
    </xf>
    <xf numFmtId="0" fontId="4" fillId="7" borderId="2" xfId="0" applyFont="1" applyFill="1" applyBorder="1" applyAlignment="1">
      <alignment horizontal="center" vertical="center"/>
    </xf>
    <xf numFmtId="0" fontId="3" fillId="3" borderId="0" xfId="0" applyFont="1" applyFill="1" applyBorder="1" applyAlignment="1">
      <alignment horizontal="center" vertical="center"/>
    </xf>
    <xf numFmtId="164" fontId="4" fillId="7" borderId="2" xfId="0" applyNumberFormat="1" applyFont="1" applyFill="1" applyBorder="1" applyAlignment="1">
      <alignment horizontal="center" vertical="center"/>
    </xf>
    <xf numFmtId="0" fontId="4" fillId="5" borderId="2" xfId="0" applyFont="1" applyFill="1" applyBorder="1" applyAlignment="1">
      <alignment horizontal="center" vertical="center"/>
    </xf>
    <xf numFmtId="164" fontId="4" fillId="5" borderId="2" xfId="0" applyNumberFormat="1" applyFont="1" applyFill="1" applyBorder="1" applyAlignment="1">
      <alignment horizontal="center" vertical="center"/>
    </xf>
    <xf numFmtId="0" fontId="26" fillId="3" borderId="0" xfId="0" applyFont="1" applyFill="1" applyBorder="1" applyAlignment="1">
      <alignment horizontal="center" vertical="center" wrapText="1"/>
    </xf>
    <xf numFmtId="2" fontId="3" fillId="4" borderId="0" xfId="0" applyNumberFormat="1" applyFont="1" applyFill="1" applyBorder="1" applyAlignment="1">
      <alignment horizontal="center" vertical="center"/>
    </xf>
    <xf numFmtId="2" fontId="3" fillId="3" borderId="0" xfId="0" applyNumberFormat="1" applyFont="1" applyFill="1" applyBorder="1" applyAlignment="1">
      <alignment horizontal="center" vertical="center"/>
    </xf>
    <xf numFmtId="0" fontId="4" fillId="14" borderId="2" xfId="0" applyFont="1" applyFill="1" applyBorder="1" applyAlignment="1">
      <alignment horizontal="center" vertical="center"/>
    </xf>
    <xf numFmtId="2" fontId="4" fillId="14" borderId="2" xfId="0" applyNumberFormat="1" applyFont="1" applyFill="1" applyBorder="1" applyAlignment="1">
      <alignment horizontal="center" vertical="center"/>
    </xf>
    <xf numFmtId="0" fontId="26" fillId="9" borderId="0" xfId="0" applyFont="1" applyFill="1" applyBorder="1" applyAlignment="1">
      <alignment horizontal="center" vertical="center" wrapText="1"/>
    </xf>
    <xf numFmtId="0" fontId="27" fillId="3" borderId="0" xfId="0" applyFont="1" applyFill="1" applyAlignment="1">
      <alignment horizontal="center" vertical="center" wrapText="1"/>
    </xf>
    <xf numFmtId="0" fontId="28" fillId="3" borderId="6" xfId="0" applyFont="1" applyFill="1" applyBorder="1" applyAlignment="1">
      <alignment horizontal="center" vertical="center"/>
    </xf>
    <xf numFmtId="0" fontId="28" fillId="3" borderId="0" xfId="0" applyFont="1" applyFill="1" applyAlignment="1">
      <alignment horizontal="center" vertical="center"/>
    </xf>
    <xf numFmtId="0" fontId="28" fillId="3" borderId="27" xfId="0" applyFont="1" applyFill="1" applyBorder="1" applyAlignment="1">
      <alignment horizontal="center" vertical="center"/>
    </xf>
    <xf numFmtId="0" fontId="4" fillId="3" borderId="2"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protection locked="0"/>
    </xf>
    <xf numFmtId="14" fontId="4" fillId="3" borderId="2" xfId="0" applyNumberFormat="1" applyFont="1" applyFill="1" applyBorder="1" applyAlignment="1" applyProtection="1">
      <alignment horizontal="center" vertical="center"/>
      <protection locked="0"/>
    </xf>
    <xf numFmtId="1" fontId="4" fillId="3" borderId="2" xfId="0" applyNumberFormat="1" applyFont="1" applyFill="1" applyBorder="1" applyAlignment="1" applyProtection="1">
      <alignment horizontal="center" vertical="center"/>
      <protection locked="0"/>
    </xf>
    <xf numFmtId="165" fontId="4" fillId="3" borderId="2" xfId="0" applyNumberFormat="1" applyFont="1" applyFill="1" applyBorder="1" applyAlignment="1" applyProtection="1">
      <alignment horizontal="center" vertical="center"/>
      <protection locked="0"/>
    </xf>
    <xf numFmtId="164" fontId="4" fillId="3" borderId="2" xfId="1" applyNumberFormat="1" applyFont="1" applyFill="1" applyBorder="1" applyAlignment="1" applyProtection="1">
      <alignment horizontal="center" vertical="center"/>
      <protection locked="0"/>
    </xf>
    <xf numFmtId="166" fontId="5" fillId="3" borderId="0" xfId="0" applyNumberFormat="1" applyFont="1" applyFill="1" applyAlignment="1" applyProtection="1">
      <alignment horizontal="center" vertical="center"/>
      <protection locked="0"/>
    </xf>
    <xf numFmtId="2" fontId="5" fillId="3" borderId="0" xfId="0" applyNumberFormat="1" applyFont="1" applyFill="1" applyAlignment="1" applyProtection="1">
      <alignment horizontal="center" vertical="center"/>
      <protection locked="0"/>
    </xf>
    <xf numFmtId="0" fontId="4" fillId="2" borderId="2" xfId="0" applyFont="1" applyFill="1" applyBorder="1" applyAlignment="1" applyProtection="1">
      <alignment horizontal="center" vertical="center" wrapText="1"/>
      <protection locked="0"/>
    </xf>
    <xf numFmtId="166" fontId="4" fillId="3" borderId="0" xfId="0" applyNumberFormat="1" applyFont="1" applyFill="1" applyAlignment="1" applyProtection="1">
      <alignment horizontal="center" vertical="center"/>
      <protection locked="0"/>
    </xf>
    <xf numFmtId="166" fontId="4" fillId="3" borderId="0" xfId="0" applyNumberFormat="1" applyFont="1" applyFill="1" applyBorder="1" applyAlignment="1" applyProtection="1">
      <alignment horizontal="center" vertical="center"/>
      <protection locked="0"/>
    </xf>
    <xf numFmtId="2" fontId="4" fillId="7" borderId="2" xfId="0" applyNumberFormat="1" applyFont="1" applyFill="1" applyBorder="1" applyAlignment="1">
      <alignment horizontal="center" vertical="center"/>
    </xf>
    <xf numFmtId="2" fontId="4" fillId="5" borderId="2" xfId="0" applyNumberFormat="1" applyFont="1" applyFill="1" applyBorder="1" applyAlignment="1">
      <alignment horizontal="center" vertical="center"/>
    </xf>
    <xf numFmtId="44" fontId="4" fillId="3" borderId="12" xfId="4" applyFont="1" applyFill="1" applyBorder="1" applyAlignment="1" applyProtection="1">
      <alignment vertical="center"/>
      <protection locked="0"/>
    </xf>
    <xf numFmtId="44" fontId="4" fillId="3" borderId="0" xfId="4" applyFont="1" applyFill="1" applyBorder="1" applyAlignment="1" applyProtection="1">
      <alignment vertical="center"/>
      <protection locked="0"/>
    </xf>
    <xf numFmtId="0" fontId="3" fillId="3" borderId="15" xfId="0" applyFont="1" applyFill="1" applyBorder="1" applyAlignment="1" applyProtection="1">
      <alignment horizontal="center" vertical="center"/>
      <protection locked="0"/>
    </xf>
    <xf numFmtId="0" fontId="5" fillId="3" borderId="2" xfId="0" applyFont="1" applyFill="1" applyBorder="1"/>
    <xf numFmtId="44" fontId="4" fillId="7" borderId="2" xfId="4" applyFont="1" applyFill="1" applyBorder="1" applyAlignment="1">
      <alignment horizontal="center" vertical="center"/>
    </xf>
    <xf numFmtId="44" fontId="4" fillId="5" borderId="2" xfId="4" applyFont="1" applyFill="1" applyBorder="1" applyAlignment="1">
      <alignment horizontal="center" vertical="center"/>
    </xf>
    <xf numFmtId="43" fontId="5" fillId="3" borderId="0" xfId="1" applyFont="1" applyFill="1" applyAlignment="1" applyProtection="1">
      <alignment horizontal="center" vertical="center"/>
      <protection locked="0"/>
    </xf>
    <xf numFmtId="43" fontId="5" fillId="3" borderId="0" xfId="1" applyNumberFormat="1" applyFont="1" applyFill="1" applyAlignment="1" applyProtection="1">
      <alignment horizontal="center" vertical="center"/>
      <protection locked="0"/>
    </xf>
    <xf numFmtId="43" fontId="5" fillId="3" borderId="0" xfId="1" applyNumberFormat="1" applyFont="1" applyFill="1" applyBorder="1" applyAlignment="1" applyProtection="1">
      <alignment horizontal="center" vertical="center"/>
      <protection locked="0"/>
    </xf>
    <xf numFmtId="43" fontId="4" fillId="3" borderId="0" xfId="0" applyNumberFormat="1" applyFont="1" applyFill="1" applyAlignment="1" applyProtection="1">
      <alignment horizontal="center" vertical="center"/>
      <protection locked="0"/>
    </xf>
    <xf numFmtId="0" fontId="5" fillId="3" borderId="0" xfId="0" applyFont="1" applyFill="1" applyBorder="1" applyAlignment="1" applyProtection="1">
      <alignment vertical="center"/>
      <protection locked="0"/>
    </xf>
    <xf numFmtId="0" fontId="4" fillId="3" borderId="0" xfId="0" applyFont="1" applyFill="1" applyAlignment="1" applyProtection="1">
      <alignment vertical="center"/>
      <protection locked="0"/>
    </xf>
    <xf numFmtId="0" fontId="4" fillId="3" borderId="20" xfId="0" applyFont="1" applyFill="1" applyBorder="1" applyAlignment="1" applyProtection="1">
      <alignment vertical="center" wrapText="1"/>
      <protection locked="0"/>
    </xf>
    <xf numFmtId="44" fontId="4" fillId="3" borderId="21" xfId="0" applyNumberFormat="1" applyFont="1" applyFill="1" applyBorder="1" applyAlignment="1" applyProtection="1">
      <alignment vertical="center"/>
      <protection locked="0"/>
    </xf>
    <xf numFmtId="44" fontId="4" fillId="12" borderId="2" xfId="4" applyFont="1" applyFill="1" applyBorder="1" applyAlignment="1" applyProtection="1">
      <alignment horizontal="center" vertical="center"/>
      <protection locked="0"/>
    </xf>
    <xf numFmtId="0" fontId="4" fillId="3" borderId="0" xfId="0" applyFont="1" applyFill="1" applyBorder="1" applyAlignment="1" applyProtection="1">
      <alignment vertical="center" wrapText="1"/>
      <protection locked="0"/>
    </xf>
    <xf numFmtId="0" fontId="4" fillId="3" borderId="0"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29" fillId="9" borderId="2" xfId="0" applyFont="1" applyFill="1" applyBorder="1" applyAlignment="1">
      <alignment horizontal="center" vertical="center" wrapText="1"/>
    </xf>
    <xf numFmtId="0" fontId="30" fillId="7" borderId="2" xfId="0" applyFont="1" applyFill="1" applyBorder="1" applyAlignment="1">
      <alignment horizontal="center" vertical="center"/>
    </xf>
    <xf numFmtId="164" fontId="30" fillId="7" borderId="2" xfId="0" applyNumberFormat="1" applyFont="1" applyFill="1" applyBorder="1" applyAlignment="1">
      <alignment horizontal="center" vertical="center"/>
    </xf>
    <xf numFmtId="164" fontId="1" fillId="3" borderId="0" xfId="0" applyNumberFormat="1" applyFont="1" applyFill="1"/>
    <xf numFmtId="0" fontId="29" fillId="9" borderId="0" xfId="0" applyFont="1" applyFill="1" applyBorder="1" applyAlignment="1">
      <alignment vertical="center" wrapText="1"/>
    </xf>
    <xf numFmtId="0" fontId="29" fillId="9" borderId="0" xfId="0" applyFont="1" applyFill="1" applyBorder="1" applyAlignment="1">
      <alignment horizontal="center" vertical="center" wrapText="1"/>
    </xf>
    <xf numFmtId="164" fontId="30" fillId="5" borderId="0" xfId="0" applyNumberFormat="1" applyFont="1" applyFill="1" applyBorder="1" applyAlignment="1">
      <alignment horizontal="center" vertical="center"/>
    </xf>
    <xf numFmtId="0" fontId="1" fillId="3" borderId="0" xfId="0" applyFont="1" applyFill="1" applyBorder="1"/>
    <xf numFmtId="0" fontId="1" fillId="6" borderId="2" xfId="0" applyFont="1" applyFill="1" applyBorder="1" applyAlignment="1">
      <alignment horizontal="center" vertical="center"/>
    </xf>
    <xf numFmtId="0" fontId="29" fillId="9" borderId="2" xfId="0" applyFont="1" applyFill="1" applyBorder="1" applyAlignment="1">
      <alignment horizontal="center" vertical="center" wrapText="1"/>
    </xf>
    <xf numFmtId="0" fontId="4" fillId="2" borderId="2" xfId="0" applyFont="1" applyFill="1" applyBorder="1" applyAlignment="1" applyProtection="1">
      <alignment horizontal="center" vertical="center"/>
      <protection hidden="1"/>
    </xf>
    <xf numFmtId="0" fontId="4" fillId="2"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5" fillId="16" borderId="2" xfId="0" applyFont="1" applyFill="1" applyBorder="1" applyAlignment="1" applyProtection="1">
      <alignment horizontal="center" vertical="center" wrapText="1"/>
      <protection locked="0"/>
    </xf>
    <xf numFmtId="0" fontId="5" fillId="11"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5" fillId="9" borderId="2" xfId="0" applyFont="1" applyFill="1" applyBorder="1" applyAlignment="1" applyProtection="1">
      <alignment horizontal="center" vertical="center" wrapText="1"/>
      <protection locked="0"/>
    </xf>
    <xf numFmtId="0" fontId="4" fillId="3" borderId="0" xfId="0" applyFont="1" applyFill="1" applyBorder="1" applyAlignment="1" applyProtection="1">
      <alignment horizontal="center" vertical="center" wrapText="1"/>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protection locked="0"/>
    </xf>
    <xf numFmtId="0" fontId="4" fillId="0" borderId="2" xfId="0" applyFont="1" applyBorder="1" applyAlignment="1" applyProtection="1">
      <alignment horizontal="center" vertical="center"/>
      <protection locked="0"/>
    </xf>
    <xf numFmtId="0" fontId="4"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hidden="1"/>
    </xf>
    <xf numFmtId="0" fontId="4" fillId="0" borderId="2" xfId="0" applyFont="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5" fillId="11" borderId="2" xfId="0" applyFont="1" applyFill="1" applyBorder="1" applyAlignment="1" applyProtection="1">
      <alignment horizontal="center" vertical="center" wrapText="1"/>
      <protection locked="0"/>
    </xf>
    <xf numFmtId="0" fontId="5" fillId="16"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5" fillId="9" borderId="2" xfId="0" applyFont="1" applyFill="1" applyBorder="1" applyAlignment="1" applyProtection="1">
      <alignment horizontal="center" vertical="center" wrapText="1"/>
      <protection locked="0"/>
    </xf>
    <xf numFmtId="0" fontId="4" fillId="3" borderId="2" xfId="0" applyFont="1" applyFill="1" applyBorder="1" applyAlignment="1" applyProtection="1">
      <alignment horizontal="center" vertical="center"/>
      <protection hidden="1"/>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locked="0"/>
    </xf>
    <xf numFmtId="0" fontId="29" fillId="9" borderId="2" xfId="0" applyFont="1" applyFill="1" applyBorder="1" applyAlignment="1">
      <alignment horizontal="center" vertical="center" wrapText="1"/>
    </xf>
    <xf numFmtId="0" fontId="4" fillId="17" borderId="0" xfId="0" applyFont="1" applyFill="1" applyAlignment="1" applyProtection="1">
      <alignment horizontal="center" vertical="center"/>
      <protection locked="0"/>
    </xf>
    <xf numFmtId="0" fontId="8" fillId="3" borderId="5"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hidden="1"/>
    </xf>
    <xf numFmtId="0" fontId="4" fillId="2"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protection locked="0"/>
    </xf>
    <xf numFmtId="0" fontId="4" fillId="3" borderId="1"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5" fillId="16" borderId="2" xfId="0" applyFont="1" applyFill="1" applyBorder="1" applyAlignment="1" applyProtection="1">
      <alignment horizontal="center" vertical="center" wrapText="1"/>
      <protection locked="0"/>
    </xf>
    <xf numFmtId="0" fontId="5" fillId="11"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5" fillId="9" borderId="2" xfId="0" applyFont="1" applyFill="1" applyBorder="1" applyAlignment="1" applyProtection="1">
      <alignment horizontal="center" vertical="center" wrapText="1"/>
      <protection locked="0"/>
    </xf>
    <xf numFmtId="0" fontId="4" fillId="3" borderId="0" xfId="0" applyFont="1" applyFill="1" applyBorder="1" applyAlignment="1" applyProtection="1">
      <alignment horizontal="center" vertical="center" wrapText="1"/>
      <protection locked="0"/>
    </xf>
    <xf numFmtId="0" fontId="4" fillId="3" borderId="15"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5" fillId="3" borderId="2" xfId="0" applyFont="1" applyFill="1" applyBorder="1" applyAlignment="1" applyProtection="1">
      <alignment horizontal="center" vertical="center"/>
      <protection locked="0"/>
    </xf>
    <xf numFmtId="0" fontId="4" fillId="0" borderId="2" xfId="0" applyFont="1" applyBorder="1" applyAlignment="1" applyProtection="1">
      <alignment horizontal="center" vertical="center"/>
      <protection locked="0"/>
    </xf>
    <xf numFmtId="0" fontId="8" fillId="3" borderId="2" xfId="0" applyFont="1" applyFill="1" applyBorder="1" applyAlignment="1" applyProtection="1">
      <alignment horizontal="center" vertical="center"/>
      <protection locked="0"/>
    </xf>
    <xf numFmtId="0" fontId="29" fillId="9" borderId="2" xfId="0" applyFont="1" applyFill="1" applyBorder="1" applyAlignment="1">
      <alignment horizontal="center" vertical="center" wrapText="1"/>
    </xf>
    <xf numFmtId="0" fontId="4"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20" fillId="0" borderId="0" xfId="0" applyFont="1" applyBorder="1" applyAlignment="1">
      <alignment horizontal="center"/>
    </xf>
    <xf numFmtId="164" fontId="4" fillId="3" borderId="0" xfId="0" applyNumberFormat="1" applyFont="1" applyFill="1" applyAlignment="1" applyProtection="1">
      <alignment horizontal="center" vertical="center"/>
      <protection locked="0"/>
    </xf>
    <xf numFmtId="0" fontId="22" fillId="3" borderId="0" xfId="0" applyFont="1" applyFill="1" applyBorder="1" applyAlignment="1" applyProtection="1">
      <alignment horizontal="center" vertical="center"/>
      <protection locked="0"/>
    </xf>
    <xf numFmtId="0" fontId="19" fillId="3" borderId="0" xfId="0" applyFont="1" applyFill="1" applyBorder="1" applyAlignment="1" applyProtection="1">
      <alignment vertical="center" wrapText="1"/>
      <protection hidden="1"/>
    </xf>
    <xf numFmtId="0" fontId="19" fillId="3" borderId="0" xfId="0" applyFont="1" applyFill="1" applyBorder="1" applyAlignment="1" applyProtection="1">
      <alignment horizontal="center" vertical="center" wrapText="1"/>
      <protection hidden="1"/>
    </xf>
    <xf numFmtId="0" fontId="23" fillId="3" borderId="0" xfId="0" applyFont="1" applyFill="1" applyBorder="1" applyAlignment="1">
      <alignment horizontal="center" vertical="center"/>
    </xf>
    <xf numFmtId="0" fontId="19" fillId="3" borderId="29" xfId="0" applyFont="1" applyFill="1" applyBorder="1" applyProtection="1">
      <protection hidden="1"/>
    </xf>
    <xf numFmtId="0" fontId="19" fillId="0" borderId="29" xfId="0" applyFont="1" applyBorder="1" applyAlignment="1" applyProtection="1">
      <alignment horizontal="center" vertical="center" wrapText="1"/>
      <protection hidden="1"/>
    </xf>
    <xf numFmtId="0" fontId="19" fillId="0" borderId="10" xfId="0" applyFont="1" applyBorder="1" applyAlignment="1" applyProtection="1">
      <alignment vertical="center" wrapText="1"/>
      <protection hidden="1"/>
    </xf>
    <xf numFmtId="0" fontId="19" fillId="21" borderId="29" xfId="0" applyFont="1" applyFill="1" applyBorder="1" applyAlignment="1" applyProtection="1">
      <alignment horizontal="center"/>
      <protection hidden="1"/>
    </xf>
    <xf numFmtId="0" fontId="17" fillId="19" borderId="0" xfId="0" applyFont="1" applyFill="1" applyBorder="1" applyAlignment="1" applyProtection="1">
      <alignment horizontal="left" vertical="top"/>
      <protection hidden="1"/>
    </xf>
    <xf numFmtId="0" fontId="0" fillId="0" borderId="0" xfId="0" applyBorder="1"/>
    <xf numFmtId="0" fontId="17" fillId="19" borderId="0" xfId="0" applyFont="1" applyFill="1" applyBorder="1" applyProtection="1">
      <protection hidden="1"/>
    </xf>
    <xf numFmtId="0" fontId="20" fillId="0" borderId="0" xfId="0" applyFont="1" applyBorder="1" applyAlignment="1" applyProtection="1">
      <alignment horizontal="left" vertical="top"/>
      <protection hidden="1"/>
    </xf>
    <xf numFmtId="0" fontId="20" fillId="0" borderId="0" xfId="0" applyFont="1" applyBorder="1" applyProtection="1">
      <protection hidden="1"/>
    </xf>
    <xf numFmtId="0" fontId="20" fillId="0" borderId="0" xfId="0" applyFont="1" applyBorder="1"/>
    <xf numFmtId="0" fontId="24" fillId="0" borderId="2" xfId="0" applyFont="1" applyBorder="1" applyAlignment="1">
      <alignment vertical="center" wrapText="1"/>
    </xf>
    <xf numFmtId="0" fontId="16" fillId="3" borderId="0" xfId="0" applyFont="1" applyFill="1" applyAlignment="1">
      <alignment vertical="top" wrapText="1"/>
    </xf>
    <xf numFmtId="0" fontId="15" fillId="0" borderId="2" xfId="0" applyFont="1" applyBorder="1" applyAlignment="1">
      <alignment vertical="center" wrapText="1"/>
    </xf>
    <xf numFmtId="0" fontId="20" fillId="0" borderId="26" xfId="0" applyFont="1" applyBorder="1"/>
    <xf numFmtId="0" fontId="5" fillId="11" borderId="2" xfId="0" applyFont="1" applyFill="1" applyBorder="1" applyAlignment="1">
      <alignment horizontal="center" vertical="center" wrapText="1"/>
    </xf>
    <xf numFmtId="0" fontId="5" fillId="15"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29" fillId="9" borderId="2" xfId="0" applyFont="1" applyFill="1" applyBorder="1" applyAlignment="1">
      <alignment horizontal="center" vertical="center" wrapText="1"/>
    </xf>
    <xf numFmtId="0" fontId="4" fillId="3" borderId="2"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wrapText="1"/>
      <protection locked="0"/>
    </xf>
    <xf numFmtId="0" fontId="4" fillId="3" borderId="0" xfId="0" applyFont="1" applyFill="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5" fillId="9" borderId="2" xfId="0" applyFont="1" applyFill="1" applyBorder="1" applyAlignment="1" applyProtection="1">
      <alignment horizontal="center" vertical="center" wrapText="1"/>
      <protection locked="0"/>
    </xf>
    <xf numFmtId="0" fontId="5" fillId="11" borderId="2" xfId="0" applyFont="1" applyFill="1" applyBorder="1" applyAlignment="1" applyProtection="1">
      <alignment horizontal="center" vertical="center" wrapText="1"/>
      <protection locked="0"/>
    </xf>
    <xf numFmtId="0" fontId="5" fillId="15" borderId="2" xfId="0" applyFont="1" applyFill="1" applyBorder="1" applyAlignment="1" applyProtection="1">
      <alignment horizontal="center" vertical="center" wrapText="1"/>
      <protection locked="0"/>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5"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5" fillId="16" borderId="2" xfId="0" applyFont="1" applyFill="1" applyBorder="1" applyAlignment="1" applyProtection="1">
      <alignment horizontal="center" vertical="center" wrapText="1"/>
      <protection locked="0"/>
    </xf>
    <xf numFmtId="0" fontId="4" fillId="3" borderId="5"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hidden="1"/>
    </xf>
    <xf numFmtId="0" fontId="5" fillId="3" borderId="2"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4" fillId="0" borderId="2" xfId="0" applyFont="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5" fillId="9" borderId="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12" borderId="2" xfId="0" applyFont="1" applyFill="1" applyBorder="1" applyAlignment="1">
      <alignment horizontal="center" vertical="center" wrapText="1"/>
    </xf>
    <xf numFmtId="0" fontId="5" fillId="11" borderId="2" xfId="0" applyFont="1" applyFill="1" applyBorder="1" applyAlignment="1">
      <alignment horizontal="center" vertical="center" wrapText="1"/>
    </xf>
    <xf numFmtId="0" fontId="27" fillId="3" borderId="27"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15" borderId="2" xfId="0" applyFont="1" applyFill="1" applyBorder="1" applyAlignment="1">
      <alignment horizontal="center" vertical="center" wrapText="1"/>
    </xf>
    <xf numFmtId="0" fontId="5" fillId="6" borderId="2" xfId="0" applyFont="1" applyFill="1" applyBorder="1" applyAlignment="1">
      <alignment horizontal="center" vertical="center"/>
    </xf>
    <xf numFmtId="0" fontId="4" fillId="2" borderId="0" xfId="0" applyFont="1" applyFill="1" applyAlignment="1">
      <alignment horizontal="center" vertical="center"/>
    </xf>
    <xf numFmtId="14" fontId="4" fillId="2" borderId="0" xfId="0" applyNumberFormat="1" applyFont="1" applyFill="1" applyBorder="1" applyAlignment="1">
      <alignment horizontal="center"/>
    </xf>
    <xf numFmtId="0" fontId="4" fillId="2" borderId="0" xfId="0" applyFont="1" applyFill="1" applyBorder="1" applyAlignment="1">
      <alignment horizontal="center"/>
    </xf>
    <xf numFmtId="0" fontId="16" fillId="0" borderId="12" xfId="0" applyFont="1" applyBorder="1" applyAlignment="1">
      <alignment horizontal="justify" vertical="top" wrapText="1"/>
    </xf>
    <xf numFmtId="0" fontId="16" fillId="0" borderId="0" xfId="0" applyFont="1" applyAlignment="1">
      <alignment horizontal="justify" vertical="top" wrapText="1"/>
    </xf>
    <xf numFmtId="0" fontId="16" fillId="0" borderId="15" xfId="0" applyFont="1" applyBorder="1" applyAlignment="1">
      <alignment horizontal="justify" vertical="top" wrapText="1"/>
    </xf>
    <xf numFmtId="0" fontId="8" fillId="3" borderId="11" xfId="0" applyFont="1" applyFill="1" applyBorder="1" applyAlignment="1" applyProtection="1">
      <alignment horizontal="center" vertical="center"/>
      <protection locked="0"/>
    </xf>
    <xf numFmtId="0" fontId="8" fillId="3" borderId="12" xfId="0" applyFont="1" applyFill="1" applyBorder="1" applyAlignment="1" applyProtection="1">
      <alignment horizontal="center" vertical="center"/>
      <protection locked="0"/>
    </xf>
    <xf numFmtId="0" fontId="8" fillId="3" borderId="13" xfId="0" applyFont="1" applyFill="1" applyBorder="1" applyAlignment="1" applyProtection="1">
      <alignment horizontal="center" vertical="center"/>
      <protection locked="0"/>
    </xf>
    <xf numFmtId="0" fontId="8" fillId="3" borderId="20" xfId="0" applyFont="1" applyFill="1" applyBorder="1" applyAlignment="1" applyProtection="1">
      <alignment horizontal="center" vertical="center"/>
      <protection locked="0"/>
    </xf>
    <xf numFmtId="0" fontId="8" fillId="3" borderId="0" xfId="0" applyFont="1" applyFill="1" applyBorder="1" applyAlignment="1" applyProtection="1">
      <alignment horizontal="center" vertical="center"/>
      <protection locked="0"/>
    </xf>
    <xf numFmtId="0" fontId="8" fillId="3" borderId="21" xfId="0" applyFont="1" applyFill="1" applyBorder="1" applyAlignment="1" applyProtection="1">
      <alignment horizontal="center" vertical="center"/>
      <protection locked="0"/>
    </xf>
    <xf numFmtId="0" fontId="8" fillId="3" borderId="14" xfId="0" applyFont="1" applyFill="1" applyBorder="1" applyAlignment="1" applyProtection="1">
      <alignment horizontal="center" vertical="center"/>
      <protection locked="0"/>
    </xf>
    <xf numFmtId="0" fontId="8" fillId="3" borderId="15" xfId="0" applyFont="1" applyFill="1" applyBorder="1" applyAlignment="1" applyProtection="1">
      <alignment horizontal="center" vertical="center"/>
      <protection locked="0"/>
    </xf>
    <xf numFmtId="0" fontId="8" fillId="3" borderId="16" xfId="0" applyFont="1" applyFill="1" applyBorder="1" applyAlignment="1" applyProtection="1">
      <alignment horizontal="center" vertical="center"/>
      <protection locked="0"/>
    </xf>
    <xf numFmtId="0" fontId="9" fillId="10" borderId="22" xfId="0" applyFont="1" applyFill="1" applyBorder="1" applyAlignment="1" applyProtection="1">
      <alignment horizontal="center" vertical="center"/>
      <protection locked="0"/>
    </xf>
    <xf numFmtId="0" fontId="9" fillId="10" borderId="23" xfId="0" applyFont="1" applyFill="1" applyBorder="1" applyAlignment="1" applyProtection="1">
      <alignment horizontal="center" vertical="center"/>
      <protection locked="0"/>
    </xf>
    <xf numFmtId="0" fontId="9" fillId="10" borderId="24" xfId="0" applyFont="1" applyFill="1" applyBorder="1" applyAlignment="1" applyProtection="1">
      <alignment horizontal="center" vertical="center"/>
      <protection locked="0"/>
    </xf>
    <xf numFmtId="0" fontId="8" fillId="3" borderId="5" xfId="0" applyFont="1" applyFill="1" applyBorder="1" applyAlignment="1" applyProtection="1">
      <alignment horizontal="center" vertical="center"/>
      <protection locked="0"/>
    </xf>
    <xf numFmtId="0" fontId="8" fillId="3" borderId="6" xfId="0" applyFont="1" applyFill="1" applyBorder="1" applyAlignment="1" applyProtection="1">
      <alignment horizontal="center" vertical="center"/>
      <protection locked="0"/>
    </xf>
    <xf numFmtId="0" fontId="8" fillId="3" borderId="1" xfId="0" applyFont="1" applyFill="1" applyBorder="1" applyAlignment="1" applyProtection="1">
      <alignment horizontal="center" vertical="center"/>
      <protection locked="0"/>
    </xf>
    <xf numFmtId="0" fontId="9" fillId="10" borderId="8" xfId="0" applyFont="1" applyFill="1" applyBorder="1" applyAlignment="1" applyProtection="1">
      <alignment horizontal="center" vertical="center"/>
      <protection locked="0"/>
    </xf>
    <xf numFmtId="0" fontId="9" fillId="10" borderId="9" xfId="0" applyFont="1" applyFill="1" applyBorder="1" applyAlignment="1" applyProtection="1">
      <alignment horizontal="center" vertical="center"/>
      <protection locked="0"/>
    </xf>
    <xf numFmtId="0" fontId="9" fillId="10" borderId="10" xfId="0" applyFont="1" applyFill="1" applyBorder="1" applyAlignment="1" applyProtection="1">
      <alignment horizontal="center" vertical="center"/>
      <protection locked="0"/>
    </xf>
    <xf numFmtId="0" fontId="5" fillId="10" borderId="22" xfId="0" applyFont="1" applyFill="1" applyBorder="1" applyAlignment="1" applyProtection="1">
      <alignment horizontal="center" vertical="center"/>
      <protection locked="0"/>
    </xf>
    <xf numFmtId="0" fontId="5" fillId="10" borderId="23" xfId="0" applyFont="1" applyFill="1" applyBorder="1" applyAlignment="1" applyProtection="1">
      <alignment horizontal="center" vertical="center"/>
      <protection locked="0"/>
    </xf>
    <xf numFmtId="0" fontId="5" fillId="10" borderId="24"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hidden="1"/>
    </xf>
    <xf numFmtId="0" fontId="4" fillId="2" borderId="3" xfId="0" applyFont="1" applyFill="1" applyBorder="1" applyAlignment="1" applyProtection="1">
      <alignment horizontal="center" vertical="center"/>
      <protection hidden="1"/>
    </xf>
    <xf numFmtId="0" fontId="4" fillId="2" borderId="4" xfId="0" applyFont="1" applyFill="1" applyBorder="1" applyAlignment="1" applyProtection="1">
      <alignment horizontal="center" vertical="center"/>
      <protection hidden="1"/>
    </xf>
    <xf numFmtId="0" fontId="4" fillId="3" borderId="6" xfId="0" applyFont="1" applyFill="1" applyBorder="1" applyAlignment="1" applyProtection="1">
      <alignment horizontal="center" vertical="center"/>
      <protection locked="0"/>
    </xf>
    <xf numFmtId="0" fontId="4" fillId="3" borderId="1"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locked="0"/>
    </xf>
    <xf numFmtId="0" fontId="4" fillId="17" borderId="2" xfId="0"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protection locked="0"/>
    </xf>
    <xf numFmtId="0" fontId="4" fillId="3" borderId="19" xfId="0" applyFont="1" applyFill="1" applyBorder="1" applyAlignment="1" applyProtection="1">
      <alignment horizontal="center" vertical="center"/>
      <protection locked="0"/>
    </xf>
    <xf numFmtId="0" fontId="4" fillId="2" borderId="5" xfId="0" applyFont="1" applyFill="1" applyBorder="1" applyAlignment="1" applyProtection="1">
      <alignment horizontal="center" vertical="center"/>
      <protection hidden="1"/>
    </xf>
    <xf numFmtId="0" fontId="4" fillId="2" borderId="1" xfId="0" applyFont="1" applyFill="1" applyBorder="1" applyAlignment="1" applyProtection="1">
      <alignment horizontal="center" vertical="center"/>
      <protection hidden="1"/>
    </xf>
    <xf numFmtId="0" fontId="4" fillId="0" borderId="2" xfId="0" applyFont="1" applyBorder="1" applyAlignment="1" applyProtection="1">
      <alignment horizontal="center" vertical="center"/>
      <protection locked="0"/>
    </xf>
    <xf numFmtId="0" fontId="5" fillId="2" borderId="8" xfId="0" applyFont="1" applyFill="1" applyBorder="1" applyAlignment="1" applyProtection="1">
      <alignment horizontal="center" vertical="center"/>
      <protection locked="0"/>
    </xf>
    <xf numFmtId="0" fontId="5" fillId="2" borderId="9" xfId="0" applyFont="1" applyFill="1" applyBorder="1" applyAlignment="1" applyProtection="1">
      <alignment horizontal="center" vertical="center"/>
      <protection locked="0"/>
    </xf>
    <xf numFmtId="0" fontId="5" fillId="2" borderId="10"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wrapText="1"/>
      <protection locked="0"/>
    </xf>
    <xf numFmtId="0" fontId="5" fillId="3" borderId="2" xfId="0" applyFont="1" applyFill="1" applyBorder="1" applyAlignment="1" applyProtection="1">
      <alignment horizontal="center" vertical="center"/>
      <protection locked="0"/>
    </xf>
    <xf numFmtId="0" fontId="5" fillId="10" borderId="8" xfId="0" applyFont="1" applyFill="1" applyBorder="1" applyAlignment="1" applyProtection="1">
      <alignment horizontal="center" vertical="center"/>
      <protection locked="0"/>
    </xf>
    <xf numFmtId="0" fontId="5" fillId="10" borderId="9" xfId="0" applyFont="1" applyFill="1" applyBorder="1" applyAlignment="1" applyProtection="1">
      <alignment horizontal="center" vertical="center"/>
      <protection locked="0"/>
    </xf>
    <xf numFmtId="0" fontId="5" fillId="10" borderId="10" xfId="0" applyFont="1" applyFill="1" applyBorder="1" applyAlignment="1" applyProtection="1">
      <alignment horizontal="center" vertical="center"/>
      <protection locked="0"/>
    </xf>
    <xf numFmtId="0" fontId="8" fillId="3" borderId="2" xfId="0" applyFont="1" applyFill="1" applyBorder="1" applyAlignment="1" applyProtection="1">
      <alignment horizontal="center" vertical="center"/>
      <protection locked="0"/>
    </xf>
    <xf numFmtId="44" fontId="4" fillId="3" borderId="0" xfId="4" applyFont="1" applyFill="1" applyBorder="1" applyAlignment="1" applyProtection="1">
      <alignment horizontal="center" vertical="center"/>
      <protection locked="0"/>
    </xf>
    <xf numFmtId="0" fontId="5" fillId="3" borderId="5" xfId="0" applyFont="1" applyFill="1" applyBorder="1" applyAlignment="1" applyProtection="1">
      <alignment horizontal="center" vertical="center"/>
      <protection locked="0"/>
    </xf>
    <xf numFmtId="0" fontId="5" fillId="3" borderId="6" xfId="0" applyFont="1" applyFill="1" applyBorder="1" applyAlignment="1" applyProtection="1">
      <alignment horizontal="center" vertical="center"/>
      <protection locked="0"/>
    </xf>
    <xf numFmtId="0" fontId="5" fillId="3" borderId="1" xfId="0" applyFont="1" applyFill="1" applyBorder="1" applyAlignment="1" applyProtection="1">
      <alignment horizontal="center" vertical="center"/>
      <protection locked="0"/>
    </xf>
    <xf numFmtId="165" fontId="5" fillId="10" borderId="8" xfId="0" applyNumberFormat="1" applyFont="1" applyFill="1" applyBorder="1" applyAlignment="1" applyProtection="1">
      <alignment horizontal="center" vertical="center"/>
      <protection locked="0"/>
    </xf>
    <xf numFmtId="165" fontId="5" fillId="10" borderId="9" xfId="0" applyNumberFormat="1" applyFont="1" applyFill="1" applyBorder="1" applyAlignment="1" applyProtection="1">
      <alignment horizontal="center" vertical="center"/>
      <protection locked="0"/>
    </xf>
    <xf numFmtId="165" fontId="5" fillId="10" borderId="10" xfId="0" applyNumberFormat="1" applyFont="1" applyFill="1" applyBorder="1" applyAlignment="1" applyProtection="1">
      <alignment horizontal="center" vertical="center"/>
      <protection locked="0"/>
    </xf>
    <xf numFmtId="0" fontId="4" fillId="3" borderId="3" xfId="0" applyFont="1" applyFill="1" applyBorder="1" applyAlignment="1" applyProtection="1">
      <alignment horizontal="center" vertical="center"/>
      <protection locked="0"/>
    </xf>
    <xf numFmtId="0" fontId="4" fillId="3" borderId="4" xfId="0" applyFont="1" applyFill="1" applyBorder="1" applyAlignment="1" applyProtection="1">
      <alignment horizontal="center" vertical="center"/>
      <protection locked="0"/>
    </xf>
    <xf numFmtId="0" fontId="4" fillId="3" borderId="2" xfId="0" applyFont="1" applyFill="1" applyBorder="1" applyAlignment="1" applyProtection="1">
      <alignment horizontal="center" vertical="center"/>
      <protection hidden="1"/>
    </xf>
    <xf numFmtId="0" fontId="5" fillId="3" borderId="0" xfId="0" applyFont="1" applyFill="1" applyBorder="1" applyAlignment="1" applyProtection="1">
      <alignment horizontal="center" vertical="center"/>
      <protection locked="0"/>
    </xf>
    <xf numFmtId="0" fontId="4" fillId="3" borderId="0" xfId="0" applyFont="1" applyFill="1" applyBorder="1" applyAlignment="1" applyProtection="1">
      <alignment horizontal="left" vertical="center" wrapText="1" indent="4"/>
      <protection locked="0"/>
    </xf>
    <xf numFmtId="0" fontId="4" fillId="3" borderId="12" xfId="0" applyFont="1" applyFill="1" applyBorder="1" applyAlignment="1" applyProtection="1">
      <alignment horizontal="center" vertical="center"/>
      <protection locked="0"/>
    </xf>
    <xf numFmtId="0" fontId="4" fillId="2" borderId="2" xfId="0" applyFont="1" applyFill="1" applyBorder="1" applyAlignment="1" applyProtection="1">
      <alignment horizontal="center" vertical="center"/>
      <protection locked="0"/>
    </xf>
    <xf numFmtId="0" fontId="4" fillId="3" borderId="15" xfId="0" applyFont="1" applyFill="1" applyBorder="1" applyAlignment="1" applyProtection="1">
      <alignment horizontal="center" vertical="center"/>
      <protection locked="0"/>
    </xf>
    <xf numFmtId="0" fontId="4" fillId="3" borderId="0" xfId="0" applyFont="1" applyFill="1" applyBorder="1" applyAlignment="1" applyProtection="1">
      <alignment horizontal="center" vertical="center"/>
      <protection locked="0"/>
    </xf>
    <xf numFmtId="0" fontId="4" fillId="2" borderId="5" xfId="0" applyFont="1" applyFill="1" applyBorder="1" applyAlignment="1" applyProtection="1">
      <alignment horizontal="center" vertical="center"/>
      <protection locked="0"/>
    </xf>
    <xf numFmtId="0" fontId="4" fillId="2" borderId="6" xfId="0" applyFont="1" applyFill="1" applyBorder="1" applyAlignment="1" applyProtection="1">
      <alignment horizontal="center" vertical="center"/>
      <protection locked="0"/>
    </xf>
    <xf numFmtId="0" fontId="4" fillId="2" borderId="1" xfId="0" applyFont="1" applyFill="1" applyBorder="1" applyAlignment="1" applyProtection="1">
      <alignment horizontal="center" vertical="center"/>
      <protection locked="0"/>
    </xf>
    <xf numFmtId="0" fontId="4" fillId="9" borderId="2" xfId="0" applyFont="1" applyFill="1" applyBorder="1" applyAlignment="1" applyProtection="1">
      <alignment horizontal="center" vertical="center" wrapText="1"/>
      <protection locked="0"/>
    </xf>
    <xf numFmtId="0" fontId="5" fillId="3" borderId="12" xfId="0" applyFont="1" applyFill="1" applyBorder="1" applyAlignment="1" applyProtection="1">
      <alignment horizontal="center" vertical="center" wrapText="1"/>
      <protection locked="0"/>
    </xf>
    <xf numFmtId="0" fontId="5" fillId="3" borderId="27" xfId="0" applyFont="1" applyFill="1" applyBorder="1" applyAlignment="1" applyProtection="1">
      <alignment horizontal="center" vertical="center" wrapText="1"/>
      <protection locked="0"/>
    </xf>
    <xf numFmtId="0" fontId="5" fillId="3" borderId="26" xfId="0" applyFont="1" applyFill="1" applyBorder="1" applyAlignment="1" applyProtection="1">
      <alignment horizontal="center" vertical="center" wrapText="1"/>
      <protection locked="0"/>
    </xf>
    <xf numFmtId="0" fontId="5" fillId="11" borderId="2" xfId="0" applyFont="1" applyFill="1" applyBorder="1" applyAlignment="1" applyProtection="1">
      <alignment horizontal="center" vertical="center" wrapText="1"/>
      <protection locked="0"/>
    </xf>
    <xf numFmtId="0" fontId="4" fillId="3" borderId="0" xfId="0" applyFont="1" applyFill="1" applyBorder="1" applyAlignment="1" applyProtection="1">
      <alignment horizontal="center" vertical="center" wrapText="1"/>
      <protection locked="0"/>
    </xf>
    <xf numFmtId="0" fontId="4" fillId="3" borderId="17" xfId="0" applyFont="1" applyFill="1" applyBorder="1" applyAlignment="1" applyProtection="1">
      <alignment horizontal="center" vertical="center"/>
      <protection locked="0"/>
    </xf>
    <xf numFmtId="0" fontId="5" fillId="10" borderId="2" xfId="0" applyFont="1" applyFill="1" applyBorder="1" applyAlignment="1" applyProtection="1">
      <alignment horizontal="center" vertical="center" wrapText="1"/>
      <protection locked="0"/>
    </xf>
    <xf numFmtId="0" fontId="4" fillId="3" borderId="11"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21"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0" fontId="4" fillId="3" borderId="16" xfId="0" applyFont="1" applyFill="1" applyBorder="1" applyAlignment="1" applyProtection="1">
      <alignment horizontal="center" vertical="center"/>
      <protection locked="0"/>
    </xf>
    <xf numFmtId="0" fontId="5" fillId="15" borderId="2" xfId="0" applyFont="1" applyFill="1" applyBorder="1" applyAlignment="1" applyProtection="1">
      <alignment horizontal="center" vertical="center" wrapText="1"/>
      <protection locked="0"/>
    </xf>
    <xf numFmtId="0" fontId="5" fillId="16" borderId="2" xfId="0" applyFont="1" applyFill="1" applyBorder="1" applyAlignment="1" applyProtection="1">
      <alignment horizontal="center" vertical="center" wrapText="1"/>
      <protection locked="0"/>
    </xf>
    <xf numFmtId="0" fontId="5" fillId="3" borderId="5" xfId="0" applyFont="1" applyFill="1" applyBorder="1" applyAlignment="1" applyProtection="1">
      <alignment horizontal="center" vertical="center" wrapText="1"/>
      <protection locked="0"/>
    </xf>
    <xf numFmtId="0" fontId="5" fillId="3" borderId="6" xfId="0" applyFont="1" applyFill="1" applyBorder="1" applyAlignment="1" applyProtection="1">
      <alignment horizontal="center" vertical="center" wrapText="1"/>
      <protection locked="0"/>
    </xf>
    <xf numFmtId="0" fontId="5" fillId="3" borderId="1" xfId="0" applyFont="1" applyFill="1" applyBorder="1" applyAlignment="1" applyProtection="1">
      <alignment horizontal="center" vertical="center" wrapText="1"/>
      <protection locked="0"/>
    </xf>
    <xf numFmtId="0" fontId="4" fillId="3" borderId="0" xfId="0" applyFont="1" applyFill="1" applyAlignment="1" applyProtection="1">
      <alignment horizontal="center" vertical="center"/>
      <protection locked="0"/>
    </xf>
    <xf numFmtId="0" fontId="5" fillId="3" borderId="25" xfId="0" applyFont="1" applyFill="1" applyBorder="1" applyAlignment="1" applyProtection="1">
      <alignment horizontal="center" vertical="center"/>
      <protection locked="0"/>
    </xf>
    <xf numFmtId="0" fontId="5" fillId="3" borderId="26" xfId="0" applyFont="1" applyFill="1" applyBorder="1" applyAlignment="1" applyProtection="1">
      <alignment horizontal="center" vertical="center"/>
      <protection locked="0"/>
    </xf>
    <xf numFmtId="0" fontId="5" fillId="3" borderId="7" xfId="0" applyFont="1" applyFill="1" applyBorder="1" applyAlignment="1" applyProtection="1">
      <alignment horizontal="center" vertical="center"/>
      <protection locked="0"/>
    </xf>
    <xf numFmtId="0" fontId="5" fillId="3" borderId="17" xfId="0" applyFont="1" applyFill="1" applyBorder="1" applyAlignment="1" applyProtection="1">
      <alignment horizontal="center" vertical="center"/>
      <protection locked="0"/>
    </xf>
    <xf numFmtId="0" fontId="5" fillId="3" borderId="27" xfId="0" applyFont="1" applyFill="1" applyBorder="1" applyAlignment="1" applyProtection="1">
      <alignment horizontal="center" vertical="center"/>
      <protection locked="0"/>
    </xf>
    <xf numFmtId="0" fontId="5" fillId="3" borderId="18" xfId="0" applyFont="1" applyFill="1" applyBorder="1" applyAlignment="1" applyProtection="1">
      <alignment horizontal="center" vertical="center"/>
      <protection locked="0"/>
    </xf>
    <xf numFmtId="0" fontId="5" fillId="6" borderId="2" xfId="0" applyFont="1" applyFill="1" applyBorder="1" applyAlignment="1" applyProtection="1">
      <alignment horizontal="center" vertical="center"/>
      <protection locked="0"/>
    </xf>
    <xf numFmtId="0" fontId="5" fillId="12" borderId="2" xfId="0" applyFont="1" applyFill="1" applyBorder="1" applyAlignment="1" applyProtection="1">
      <alignment horizontal="center" vertical="center"/>
      <protection locked="0"/>
    </xf>
    <xf numFmtId="0" fontId="5" fillId="9" borderId="2" xfId="0" applyFont="1" applyFill="1" applyBorder="1" applyAlignment="1" applyProtection="1">
      <alignment horizontal="center" vertical="center" wrapText="1"/>
      <protection locked="0"/>
    </xf>
    <xf numFmtId="0" fontId="5" fillId="3" borderId="2" xfId="0" applyFont="1" applyFill="1" applyBorder="1" applyAlignment="1" applyProtection="1">
      <alignment horizontal="center" vertical="center" wrapText="1"/>
      <protection locked="0"/>
    </xf>
    <xf numFmtId="0" fontId="5" fillId="3" borderId="12" xfId="0" applyFont="1" applyFill="1" applyBorder="1" applyAlignment="1" applyProtection="1">
      <alignment horizontal="center" vertical="center"/>
      <protection locked="0"/>
    </xf>
    <xf numFmtId="44" fontId="4" fillId="12" borderId="5" xfId="4" applyFont="1" applyFill="1" applyBorder="1" applyAlignment="1" applyProtection="1">
      <alignment horizontal="center" vertical="center"/>
      <protection locked="0"/>
    </xf>
    <xf numFmtId="44" fontId="4" fillId="12" borderId="1" xfId="4" applyFont="1" applyFill="1" applyBorder="1" applyAlignment="1" applyProtection="1">
      <alignment horizontal="center" vertical="center"/>
      <protection locked="0"/>
    </xf>
    <xf numFmtId="0" fontId="4" fillId="3" borderId="20" xfId="0" applyFont="1" applyFill="1" applyBorder="1" applyAlignment="1" applyProtection="1">
      <alignment horizontal="center" vertical="center" wrapText="1"/>
      <protection locked="0"/>
    </xf>
    <xf numFmtId="44" fontId="4" fillId="3" borderId="0" xfId="0" applyNumberFormat="1" applyFont="1" applyFill="1" applyAlignment="1" applyProtection="1">
      <alignment horizontal="center" vertical="center"/>
      <protection locked="0"/>
    </xf>
    <xf numFmtId="0" fontId="4" fillId="3" borderId="19" xfId="0" applyFont="1" applyFill="1" applyBorder="1" applyAlignment="1" applyProtection="1">
      <alignment horizontal="center" vertical="center" wrapText="1"/>
      <protection locked="0"/>
    </xf>
    <xf numFmtId="0" fontId="29" fillId="6" borderId="2" xfId="0" applyFont="1" applyFill="1" applyBorder="1" applyAlignment="1">
      <alignment horizontal="center" vertical="center" wrapText="1"/>
    </xf>
    <xf numFmtId="0" fontId="29" fillId="9" borderId="2" xfId="0" applyFont="1" applyFill="1" applyBorder="1" applyAlignment="1">
      <alignment horizontal="center" vertical="center" wrapText="1"/>
    </xf>
    <xf numFmtId="0" fontId="16" fillId="3" borderId="0" xfId="0" applyFont="1" applyFill="1" applyAlignment="1">
      <alignment horizontal="center" vertical="top" wrapText="1"/>
    </xf>
    <xf numFmtId="165" fontId="9" fillId="10" borderId="8" xfId="0" applyNumberFormat="1" applyFont="1" applyFill="1" applyBorder="1" applyAlignment="1" applyProtection="1">
      <alignment horizontal="center" vertical="center"/>
      <protection locked="0"/>
    </xf>
    <xf numFmtId="165" fontId="9" fillId="10" borderId="9" xfId="0" applyNumberFormat="1" applyFont="1" applyFill="1" applyBorder="1" applyAlignment="1" applyProtection="1">
      <alignment horizontal="center" vertical="center"/>
      <protection locked="0"/>
    </xf>
    <xf numFmtId="165" fontId="9" fillId="10" borderId="10" xfId="0" applyNumberFormat="1" applyFont="1" applyFill="1" applyBorder="1" applyAlignment="1" applyProtection="1">
      <alignment horizontal="center" vertical="center"/>
      <protection locked="0"/>
    </xf>
    <xf numFmtId="0" fontId="16" fillId="3" borderId="12" xfId="0" applyFont="1" applyFill="1" applyBorder="1" applyAlignment="1">
      <alignment horizontal="left" vertical="top" wrapText="1" indent="6"/>
    </xf>
    <xf numFmtId="0" fontId="16" fillId="3" borderId="0" xfId="0" applyFont="1" applyFill="1" applyBorder="1" applyAlignment="1">
      <alignment horizontal="left" vertical="top" wrapText="1" indent="6"/>
    </xf>
    <xf numFmtId="0" fontId="16" fillId="3" borderId="0" xfId="0" applyFont="1" applyFill="1" applyAlignment="1">
      <alignment horizontal="left" vertical="top" wrapText="1" indent="6"/>
    </xf>
    <xf numFmtId="0" fontId="16" fillId="3" borderId="15" xfId="0" applyFont="1" applyFill="1" applyBorder="1" applyAlignment="1">
      <alignment horizontal="left" vertical="top" wrapText="1" indent="6"/>
    </xf>
    <xf numFmtId="0" fontId="8" fillId="3" borderId="22" xfId="0" applyFont="1" applyFill="1" applyBorder="1" applyAlignment="1" applyProtection="1">
      <alignment horizontal="center" vertical="center"/>
      <protection locked="0"/>
    </xf>
    <xf numFmtId="0" fontId="8" fillId="3" borderId="23" xfId="0" applyFont="1" applyFill="1" applyBorder="1" applyAlignment="1" applyProtection="1">
      <alignment horizontal="center" vertical="center"/>
      <protection locked="0"/>
    </xf>
    <xf numFmtId="0" fontId="8" fillId="3" borderId="31" xfId="0" applyFont="1" applyFill="1" applyBorder="1" applyAlignment="1" applyProtection="1">
      <alignment horizontal="center" vertical="center"/>
      <protection locked="0"/>
    </xf>
    <xf numFmtId="0" fontId="8" fillId="3" borderId="24" xfId="0" applyFont="1" applyFill="1" applyBorder="1" applyAlignment="1" applyProtection="1">
      <alignment horizontal="center" vertical="center"/>
      <protection locked="0"/>
    </xf>
    <xf numFmtId="0" fontId="24" fillId="0" borderId="0" xfId="0" applyFont="1" applyAlignment="1">
      <alignment horizontal="center" vertical="center" wrapText="1"/>
    </xf>
    <xf numFmtId="0" fontId="24" fillId="0" borderId="27" xfId="0" applyFont="1" applyBorder="1" applyAlignment="1">
      <alignment horizontal="center" vertical="center" wrapText="1"/>
    </xf>
    <xf numFmtId="0" fontId="21" fillId="0" borderId="6" xfId="0" applyFont="1" applyBorder="1" applyAlignment="1">
      <alignment horizontal="center"/>
    </xf>
    <xf numFmtId="0" fontId="20" fillId="0" borderId="26" xfId="0" applyFont="1" applyBorder="1" applyAlignment="1">
      <alignment horizontal="left" vertical="center"/>
    </xf>
    <xf numFmtId="0" fontId="20" fillId="0" borderId="27" xfId="0" applyFont="1" applyBorder="1" applyAlignment="1">
      <alignment horizontal="left" vertical="center"/>
    </xf>
    <xf numFmtId="0" fontId="20" fillId="0" borderId="0" xfId="0" applyFont="1" applyBorder="1" applyAlignment="1">
      <alignment horizontal="center" wrapText="1"/>
    </xf>
    <xf numFmtId="0" fontId="20" fillId="0" borderId="27" xfId="0" applyFont="1" applyBorder="1" applyAlignment="1">
      <alignment horizontal="center" wrapText="1"/>
    </xf>
    <xf numFmtId="0" fontId="20" fillId="0" borderId="26" xfId="0" applyFont="1" applyBorder="1" applyAlignment="1">
      <alignment horizontal="center"/>
    </xf>
    <xf numFmtId="0" fontId="20" fillId="0" borderId="6" xfId="0" applyFont="1" applyBorder="1" applyAlignment="1">
      <alignment horizontal="center"/>
    </xf>
    <xf numFmtId="0" fontId="20" fillId="0" borderId="27" xfId="0" applyFont="1" applyBorder="1" applyAlignment="1">
      <alignment horizontal="center"/>
    </xf>
    <xf numFmtId="0" fontId="20" fillId="0" borderId="0" xfId="0" applyFont="1" applyAlignment="1">
      <alignment horizontal="center"/>
    </xf>
    <xf numFmtId="0" fontId="20" fillId="0" borderId="0" xfId="0" applyFont="1" applyBorder="1" applyAlignment="1">
      <alignment horizontal="center"/>
    </xf>
    <xf numFmtId="0" fontId="20" fillId="0" borderId="0" xfId="0" applyFont="1" applyBorder="1" applyAlignment="1">
      <alignment horizontal="left" vertical="center"/>
    </xf>
    <xf numFmtId="0" fontId="20" fillId="0" borderId="6" xfId="0" applyFont="1" applyBorder="1" applyAlignment="1">
      <alignment horizontal="center" wrapText="1"/>
    </xf>
    <xf numFmtId="0" fontId="20" fillId="0" borderId="26" xfId="0" applyFont="1" applyBorder="1" applyAlignment="1">
      <alignment horizontal="center" wrapText="1"/>
    </xf>
    <xf numFmtId="0" fontId="18" fillId="0" borderId="11" xfId="0" applyFont="1" applyBorder="1" applyAlignment="1" applyProtection="1">
      <alignment horizontal="center" vertical="center" wrapText="1"/>
      <protection hidden="1"/>
    </xf>
    <xf numFmtId="0" fontId="18" fillId="0" borderId="12" xfId="0" applyFont="1" applyBorder="1" applyAlignment="1" applyProtection="1">
      <alignment horizontal="center" vertical="center" wrapText="1"/>
      <protection hidden="1"/>
    </xf>
    <xf numFmtId="0" fontId="18" fillId="0" borderId="13" xfId="0" applyFont="1" applyBorder="1" applyAlignment="1" applyProtection="1">
      <alignment horizontal="center" vertical="center" wrapText="1"/>
      <protection hidden="1"/>
    </xf>
    <xf numFmtId="0" fontId="18" fillId="0" borderId="14" xfId="0" applyFont="1" applyBorder="1" applyAlignment="1" applyProtection="1">
      <alignment horizontal="center" vertical="center" wrapText="1"/>
      <protection hidden="1"/>
    </xf>
    <xf numFmtId="0" fontId="18" fillId="0" borderId="15" xfId="0" applyFont="1" applyBorder="1" applyAlignment="1" applyProtection="1">
      <alignment horizontal="center" vertical="center" wrapText="1"/>
      <protection hidden="1"/>
    </xf>
    <xf numFmtId="0" fontId="18" fillId="0" borderId="16" xfId="0" applyFont="1" applyBorder="1" applyAlignment="1" applyProtection="1">
      <alignment horizontal="center" vertical="center" wrapText="1"/>
      <protection hidden="1"/>
    </xf>
    <xf numFmtId="0" fontId="22" fillId="3" borderId="11" xfId="0" applyFont="1" applyFill="1" applyBorder="1" applyAlignment="1" applyProtection="1">
      <alignment horizontal="center" vertical="center"/>
      <protection locked="0"/>
    </xf>
    <xf numFmtId="0" fontId="22" fillId="3" borderId="12" xfId="0" applyFont="1" applyFill="1" applyBorder="1" applyAlignment="1" applyProtection="1">
      <alignment horizontal="center" vertical="center"/>
      <protection locked="0"/>
    </xf>
    <xf numFmtId="0" fontId="22" fillId="3" borderId="13" xfId="0" applyFont="1" applyFill="1" applyBorder="1" applyAlignment="1" applyProtection="1">
      <alignment horizontal="center" vertical="center"/>
      <protection locked="0"/>
    </xf>
    <xf numFmtId="0" fontId="18" fillId="17" borderId="28" xfId="0" applyFont="1" applyFill="1" applyBorder="1" applyAlignment="1" applyProtection="1">
      <alignment horizontal="center" vertical="center" wrapText="1"/>
      <protection hidden="1"/>
    </xf>
    <xf numFmtId="0" fontId="18" fillId="17" borderId="30" xfId="0" applyFont="1" applyFill="1" applyBorder="1" applyAlignment="1" applyProtection="1">
      <alignment horizontal="center" vertical="center" wrapText="1"/>
      <protection hidden="1"/>
    </xf>
    <xf numFmtId="0" fontId="22" fillId="3" borderId="8" xfId="0" applyFont="1" applyFill="1" applyBorder="1" applyAlignment="1" applyProtection="1">
      <alignment horizontal="center" vertical="center"/>
      <protection locked="0"/>
    </xf>
    <xf numFmtId="0" fontId="22" fillId="3" borderId="9" xfId="0" applyFont="1" applyFill="1" applyBorder="1" applyAlignment="1" applyProtection="1">
      <alignment horizontal="center" vertical="center"/>
      <protection locked="0"/>
    </xf>
    <xf numFmtId="0" fontId="22" fillId="3" borderId="10" xfId="0" applyFont="1" applyFill="1" applyBorder="1" applyAlignment="1" applyProtection="1">
      <alignment horizontal="center" vertical="center"/>
      <protection locked="0"/>
    </xf>
    <xf numFmtId="0" fontId="3" fillId="3" borderId="0" xfId="0" applyFont="1" applyFill="1" applyBorder="1" applyAlignment="1">
      <alignment horizontal="center"/>
    </xf>
    <xf numFmtId="0" fontId="4" fillId="2" borderId="0" xfId="0" applyFont="1" applyFill="1" applyBorder="1"/>
    <xf numFmtId="0" fontId="31" fillId="12" borderId="0" xfId="3" applyFont="1" applyFill="1" applyBorder="1" applyAlignment="1" applyProtection="1">
      <alignment horizontal="center" vertical="center"/>
      <protection locked="0"/>
    </xf>
    <xf numFmtId="0" fontId="10" fillId="12" borderId="0" xfId="3" applyFill="1" applyBorder="1" applyAlignment="1" applyProtection="1">
      <alignment horizontal="center" vertical="center"/>
      <protection locked="0"/>
    </xf>
    <xf numFmtId="0" fontId="32" fillId="18" borderId="0" xfId="3" applyFont="1" applyFill="1" applyAlignment="1">
      <alignment horizontal="center" vertical="center"/>
    </xf>
    <xf numFmtId="0" fontId="33" fillId="18" borderId="0" xfId="0" applyFont="1" applyFill="1" applyAlignment="1">
      <alignment horizontal="center" vertical="center"/>
    </xf>
    <xf numFmtId="0" fontId="32" fillId="18" borderId="0" xfId="3" applyFont="1" applyFill="1" applyAlignment="1">
      <alignment horizontal="center" vertical="center"/>
    </xf>
    <xf numFmtId="0" fontId="33" fillId="18" borderId="0" xfId="0" applyFont="1" applyFill="1" applyAlignment="1">
      <alignment horizontal="center" vertical="center" wrapText="1"/>
    </xf>
  </cellXfs>
  <cellStyles count="5">
    <cellStyle name="Hiperlink" xfId="3" builtinId="8"/>
    <cellStyle name="Moeda" xfId="4" builtinId="4"/>
    <cellStyle name="Normal" xfId="0" builtinId="0"/>
    <cellStyle name="Porcentagem" xfId="2" builtinId="5"/>
    <cellStyle name="Vírgula" xfId="1" builtinId="3"/>
  </cellStyles>
  <dxfs count="0"/>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3</xdr:col>
      <xdr:colOff>258941</xdr:colOff>
      <xdr:row>6</xdr:row>
      <xdr:rowOff>59511</xdr:rowOff>
    </xdr:from>
    <xdr:to>
      <xdr:col>5</xdr:col>
      <xdr:colOff>585767</xdr:colOff>
      <xdr:row>17</xdr:row>
      <xdr:rowOff>30936</xdr:rowOff>
    </xdr:to>
    <xdr:pic>
      <xdr:nvPicPr>
        <xdr:cNvPr id="11" name="Imagem 10">
          <a:extLst>
            <a:ext uri="{FF2B5EF4-FFF2-40B4-BE49-F238E27FC236}">
              <a16:creationId xmlns="" xmlns:a16="http://schemas.microsoft.com/office/drawing/2014/main" id="{DC9720E9-47EB-4EE5-AE5C-24C932BB51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2449691" y="1202511"/>
          <a:ext cx="1546026" cy="27527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5</xdr:col>
      <xdr:colOff>132716</xdr:colOff>
      <xdr:row>13</xdr:row>
      <xdr:rowOff>69017</xdr:rowOff>
    </xdr:from>
    <xdr:to>
      <xdr:col>8</xdr:col>
      <xdr:colOff>119062</xdr:colOff>
      <xdr:row>25</xdr:row>
      <xdr:rowOff>168958</xdr:rowOff>
    </xdr:to>
    <xdr:pic>
      <xdr:nvPicPr>
        <xdr:cNvPr id="13" name="Imagem 12">
          <a:extLst>
            <a:ext uri="{FF2B5EF4-FFF2-40B4-BE49-F238E27FC236}">
              <a16:creationId xmlns="" xmlns:a16="http://schemas.microsoft.com/office/drawing/2014/main" id="{C32404CA-3819-4C3A-BF3F-8CF9D6A501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3542666" y="2545517"/>
          <a:ext cx="1815146" cy="3224141"/>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13</xdr:col>
      <xdr:colOff>333375</xdr:colOff>
      <xdr:row>17</xdr:row>
      <xdr:rowOff>39775</xdr:rowOff>
    </xdr:from>
    <xdr:to>
      <xdr:col>17</xdr:col>
      <xdr:colOff>264262</xdr:colOff>
      <xdr:row>26</xdr:row>
      <xdr:rowOff>7189</xdr:rowOff>
    </xdr:to>
    <xdr:pic>
      <xdr:nvPicPr>
        <xdr:cNvPr id="15" name="Imagem 14">
          <a:extLst>
            <a:ext uri="{FF2B5EF4-FFF2-40B4-BE49-F238E27FC236}">
              <a16:creationId xmlns="" xmlns:a16="http://schemas.microsoft.com/office/drawing/2014/main" id="{7224EFD8-639B-4157-B0D9-1BA01A382F0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8620125" y="3278275"/>
          <a:ext cx="2369287" cy="236771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15</xdr:col>
      <xdr:colOff>563685</xdr:colOff>
      <xdr:row>6</xdr:row>
      <xdr:rowOff>118986</xdr:rowOff>
    </xdr:from>
    <xdr:to>
      <xdr:col>18</xdr:col>
      <xdr:colOff>285674</xdr:colOff>
      <xdr:row>17</xdr:row>
      <xdr:rowOff>90411</xdr:rowOff>
    </xdr:to>
    <xdr:pic>
      <xdr:nvPicPr>
        <xdr:cNvPr id="17" name="Imagem 16">
          <a:extLst>
            <a:ext uri="{FF2B5EF4-FFF2-40B4-BE49-F238E27FC236}">
              <a16:creationId xmlns="" xmlns:a16="http://schemas.microsoft.com/office/drawing/2014/main" id="{F0C08039-7EB5-4A9D-894B-68E29071DBC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a:ext>
          </a:extLst>
        </a:blip>
        <a:stretch>
          <a:fillRect/>
        </a:stretch>
      </xdr:blipFill>
      <xdr:spPr>
        <a:xfrm>
          <a:off x="10069635" y="1261986"/>
          <a:ext cx="1550789" cy="27527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250032</xdr:colOff>
      <xdr:row>17</xdr:row>
      <xdr:rowOff>152400</xdr:rowOff>
    </xdr:from>
    <xdr:to>
      <xdr:col>12</xdr:col>
      <xdr:colOff>161926</xdr:colOff>
      <xdr:row>26</xdr:row>
      <xdr:rowOff>73025</xdr:rowOff>
    </xdr:to>
    <xdr:pic>
      <xdr:nvPicPr>
        <xdr:cNvPr id="19" name="Imagem 18">
          <a:extLst>
            <a:ext uri="{FF2B5EF4-FFF2-40B4-BE49-F238E27FC236}">
              <a16:creationId xmlns="" xmlns:a16="http://schemas.microsoft.com/office/drawing/2014/main" id="{42B9EECF-CE20-4A0B-A202-9CF237AEC8F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a:ext>
          </a:extLst>
        </a:blip>
        <a:stretch>
          <a:fillRect/>
        </a:stretch>
      </xdr:blipFill>
      <xdr:spPr>
        <a:xfrm>
          <a:off x="6098382" y="3390900"/>
          <a:ext cx="1740694" cy="232092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8</xdr:col>
      <xdr:colOff>1060450</xdr:colOff>
      <xdr:row>7</xdr:row>
      <xdr:rowOff>81643</xdr:rowOff>
    </xdr:to>
    <xdr:pic>
      <xdr:nvPicPr>
        <xdr:cNvPr id="2" name="Imagem 1">
          <a:extLst>
            <a:ext uri="{FF2B5EF4-FFF2-40B4-BE49-F238E27FC236}">
              <a16:creationId xmlns="" xmlns:a16="http://schemas.microsoft.com/office/drawing/2014/main" id="{5229C75E-C871-4342-866B-161FD77E97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22239"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1885950</xdr:colOff>
      <xdr:row>20</xdr:row>
      <xdr:rowOff>223638</xdr:rowOff>
    </xdr:from>
    <xdr:to>
      <xdr:col>4</xdr:col>
      <xdr:colOff>781050</xdr:colOff>
      <xdr:row>35</xdr:row>
      <xdr:rowOff>152400</xdr:rowOff>
    </xdr:to>
    <xdr:pic>
      <xdr:nvPicPr>
        <xdr:cNvPr id="9" name="Imagem 8">
          <a:extLst>
            <a:ext uri="{FF2B5EF4-FFF2-40B4-BE49-F238E27FC236}">
              <a16:creationId xmlns="" xmlns:a16="http://schemas.microsoft.com/office/drawing/2014/main" id="{931DC7B6-7285-4105-9F6B-11B20A0ADD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7400" y="5557638"/>
          <a:ext cx="4495800" cy="3929262"/>
        </a:xfrm>
        <a:prstGeom prst="rect">
          <a:avLst/>
        </a:prstGeom>
      </xdr:spPr>
    </xdr:pic>
    <xdr:clientData/>
  </xdr:twoCellAnchor>
  <xdr:twoCellAnchor editAs="oneCell">
    <xdr:from>
      <xdr:col>5</xdr:col>
      <xdr:colOff>162493</xdr:colOff>
      <xdr:row>22</xdr:row>
      <xdr:rowOff>152400</xdr:rowOff>
    </xdr:from>
    <xdr:to>
      <xdr:col>8</xdr:col>
      <xdr:colOff>797379</xdr:colOff>
      <xdr:row>34</xdr:row>
      <xdr:rowOff>195943</xdr:rowOff>
    </xdr:to>
    <xdr:pic>
      <xdr:nvPicPr>
        <xdr:cNvPr id="13" name="Imagem 12">
          <a:extLst>
            <a:ext uri="{FF2B5EF4-FFF2-40B4-BE49-F238E27FC236}">
              <a16:creationId xmlns="" xmlns:a16="http://schemas.microsoft.com/office/drawing/2014/main" id="{B4E7F5EE-AB63-453E-8FC3-CBE0FFDD67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058593" y="6019800"/>
          <a:ext cx="4006736" cy="32439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68036</xdr:colOff>
      <xdr:row>0</xdr:row>
      <xdr:rowOff>176890</xdr:rowOff>
    </xdr:from>
    <xdr:to>
      <xdr:col>9</xdr:col>
      <xdr:colOff>107950</xdr:colOff>
      <xdr:row>7</xdr:row>
      <xdr:rowOff>81643</xdr:rowOff>
    </xdr:to>
    <xdr:pic>
      <xdr:nvPicPr>
        <xdr:cNvPr id="2" name="Imagem 1">
          <a:extLst>
            <a:ext uri="{FF2B5EF4-FFF2-40B4-BE49-F238E27FC236}">
              <a16:creationId xmlns="" xmlns:a16="http://schemas.microsoft.com/office/drawing/2014/main" id="{18E3B4C5-E630-49E6-A7D6-359C66BA9A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961" y="176890"/>
          <a:ext cx="11012714" cy="170497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3" name="Imagem 2">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92061" cy="169069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95250</xdr:rowOff>
    </xdr:from>
    <xdr:to>
      <xdr:col>9</xdr:col>
      <xdr:colOff>23811</xdr:colOff>
      <xdr:row>7</xdr:row>
      <xdr:rowOff>119066</xdr:rowOff>
    </xdr:to>
    <xdr:pic>
      <xdr:nvPicPr>
        <xdr:cNvPr id="2" name="Imagem 1">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95250"/>
          <a:ext cx="12682536" cy="1757366"/>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3.xml"/><Relationship Id="rId1" Type="http://schemas.openxmlformats.org/officeDocument/2006/relationships/printerSettings" Target="../printerSettings/printerSettings15.bin"/><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4.xml"/><Relationship Id="rId1" Type="http://schemas.openxmlformats.org/officeDocument/2006/relationships/printerSettings" Target="../printerSettings/printerSettings16.bin"/><Relationship Id="rId4" Type="http://schemas.openxmlformats.org/officeDocument/2006/relationships/comments" Target="../comments11.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5.xml"/><Relationship Id="rId1" Type="http://schemas.openxmlformats.org/officeDocument/2006/relationships/printerSettings" Target="../printerSettings/printerSettings17.bin"/><Relationship Id="rId4" Type="http://schemas.openxmlformats.org/officeDocument/2006/relationships/comments" Target="../comments12.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6.xml"/><Relationship Id="rId1" Type="http://schemas.openxmlformats.org/officeDocument/2006/relationships/printerSettings" Target="../printerSettings/printerSettings18.bin"/><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7.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8.xml"/><Relationship Id="rId1" Type="http://schemas.openxmlformats.org/officeDocument/2006/relationships/printerSettings" Target="../printerSettings/printerSettings20.bin"/><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9.xml"/><Relationship Id="rId1" Type="http://schemas.openxmlformats.org/officeDocument/2006/relationships/printerSettings" Target="../printerSettings/printerSettings21.bin"/><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0.xml"/><Relationship Id="rId1" Type="http://schemas.openxmlformats.org/officeDocument/2006/relationships/printerSettings" Target="../printerSettings/printerSettings22.bin"/><Relationship Id="rId4" Type="http://schemas.openxmlformats.org/officeDocument/2006/relationships/comments" Target="../comments17.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1.xml"/><Relationship Id="rId1" Type="http://schemas.openxmlformats.org/officeDocument/2006/relationships/printerSettings" Target="../printerSettings/printerSettings23.bin"/><Relationship Id="rId4" Type="http://schemas.openxmlformats.org/officeDocument/2006/relationships/comments" Target="../comments18.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2.xml"/><Relationship Id="rId1" Type="http://schemas.openxmlformats.org/officeDocument/2006/relationships/printerSettings" Target="../printerSettings/printerSettings24.bin"/><Relationship Id="rId4" Type="http://schemas.openxmlformats.org/officeDocument/2006/relationships/comments" Target="../comments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D32"/>
  <sheetViews>
    <sheetView tabSelected="1" zoomScaleNormal="100" workbookViewId="0"/>
  </sheetViews>
  <sheetFormatPr defaultRowHeight="20.25" x14ac:dyDescent="0.25"/>
  <cols>
    <col min="1" max="1" width="23.5703125" style="419" customWidth="1"/>
    <col min="2" max="3" width="12.7109375" style="419" customWidth="1"/>
    <col min="4" max="16384" width="9.140625" style="419"/>
  </cols>
  <sheetData>
    <row r="4" spans="1:4" s="419" customFormat="1" ht="21" x14ac:dyDescent="0.25">
      <c r="A4" s="418" t="s">
        <v>331</v>
      </c>
      <c r="B4" s="418"/>
    </row>
    <row r="5" spans="1:4" s="419" customFormat="1" ht="21" x14ac:dyDescent="0.25">
      <c r="A5" s="418" t="s">
        <v>332</v>
      </c>
      <c r="B5" s="418"/>
    </row>
    <row r="6" spans="1:4" s="419" customFormat="1" ht="21" x14ac:dyDescent="0.25">
      <c r="A6" s="418" t="s">
        <v>299</v>
      </c>
      <c r="B6" s="418"/>
    </row>
    <row r="7" spans="1:4" s="419" customFormat="1" ht="21" x14ac:dyDescent="0.25">
      <c r="A7" s="418" t="s">
        <v>300</v>
      </c>
      <c r="B7" s="418"/>
    </row>
    <row r="8" spans="1:4" s="419" customFormat="1" ht="21" x14ac:dyDescent="0.25">
      <c r="A8" s="418" t="s">
        <v>301</v>
      </c>
      <c r="B8" s="418"/>
    </row>
    <row r="9" spans="1:4" s="419" customFormat="1" ht="21" x14ac:dyDescent="0.25">
      <c r="A9" s="418" t="s">
        <v>302</v>
      </c>
      <c r="B9" s="418"/>
    </row>
    <row r="10" spans="1:4" s="419" customFormat="1" ht="21" x14ac:dyDescent="0.25">
      <c r="A10" s="418" t="s">
        <v>303</v>
      </c>
      <c r="B10" s="418"/>
    </row>
    <row r="11" spans="1:4" s="419" customFormat="1" ht="21" x14ac:dyDescent="0.25">
      <c r="A11" s="418" t="s">
        <v>304</v>
      </c>
      <c r="B11" s="418"/>
      <c r="C11" s="420"/>
      <c r="D11" s="421"/>
    </row>
    <row r="12" spans="1:4" s="419" customFormat="1" ht="21" x14ac:dyDescent="0.25">
      <c r="A12" s="418" t="s">
        <v>305</v>
      </c>
      <c r="B12" s="418"/>
      <c r="C12" s="420"/>
    </row>
    <row r="13" spans="1:4" s="419" customFormat="1" ht="15" customHeight="1" x14ac:dyDescent="0.25">
      <c r="A13" s="418" t="s">
        <v>306</v>
      </c>
      <c r="B13" s="418"/>
      <c r="C13" s="420"/>
    </row>
    <row r="14" spans="1:4" s="419" customFormat="1" ht="15" customHeight="1" x14ac:dyDescent="0.25">
      <c r="A14" s="418" t="s">
        <v>307</v>
      </c>
      <c r="B14" s="418"/>
      <c r="C14" s="420"/>
    </row>
    <row r="15" spans="1:4" s="419" customFormat="1" ht="21" x14ac:dyDescent="0.25">
      <c r="A15" s="418" t="s">
        <v>308</v>
      </c>
      <c r="B15" s="418"/>
      <c r="C15" s="420"/>
    </row>
    <row r="16" spans="1:4" s="419" customFormat="1" ht="21" x14ac:dyDescent="0.25">
      <c r="A16" s="418" t="s">
        <v>309</v>
      </c>
      <c r="B16" s="418"/>
      <c r="C16" s="420"/>
    </row>
    <row r="17" spans="1:3" s="419" customFormat="1" ht="21" x14ac:dyDescent="0.25">
      <c r="A17" s="418" t="s">
        <v>310</v>
      </c>
      <c r="B17" s="418"/>
      <c r="C17" s="420"/>
    </row>
    <row r="18" spans="1:3" s="419" customFormat="1" ht="21" x14ac:dyDescent="0.25">
      <c r="A18" s="418" t="s">
        <v>311</v>
      </c>
      <c r="B18" s="418"/>
      <c r="C18" s="420"/>
    </row>
    <row r="19" spans="1:3" s="419" customFormat="1" ht="21" x14ac:dyDescent="0.25">
      <c r="A19" s="418" t="s">
        <v>312</v>
      </c>
      <c r="B19" s="418"/>
      <c r="C19" s="420"/>
    </row>
    <row r="20" spans="1:3" s="419" customFormat="1" ht="21" x14ac:dyDescent="0.25">
      <c r="A20" s="418" t="s">
        <v>313</v>
      </c>
      <c r="B20" s="418"/>
      <c r="C20" s="420"/>
    </row>
    <row r="21" spans="1:3" s="419" customFormat="1" ht="21" x14ac:dyDescent="0.25">
      <c r="A21" s="418" t="s">
        <v>314</v>
      </c>
      <c r="B21" s="418"/>
      <c r="C21" s="420"/>
    </row>
    <row r="22" spans="1:3" s="419" customFormat="1" ht="21" x14ac:dyDescent="0.25">
      <c r="A22" s="418" t="s">
        <v>315</v>
      </c>
      <c r="B22" s="418"/>
      <c r="C22" s="420"/>
    </row>
    <row r="23" spans="1:3" s="419" customFormat="1" ht="21" x14ac:dyDescent="0.25">
      <c r="A23" s="418" t="s">
        <v>316</v>
      </c>
      <c r="B23" s="418"/>
      <c r="C23" s="420"/>
    </row>
    <row r="24" spans="1:3" s="419" customFormat="1" ht="21" x14ac:dyDescent="0.25">
      <c r="A24" s="418" t="s">
        <v>317</v>
      </c>
      <c r="B24" s="418"/>
      <c r="C24" s="420"/>
    </row>
    <row r="25" spans="1:3" s="419" customFormat="1" ht="21" x14ac:dyDescent="0.25">
      <c r="A25" s="418" t="s">
        <v>318</v>
      </c>
      <c r="B25" s="418"/>
      <c r="C25" s="420"/>
    </row>
    <row r="26" spans="1:3" s="419" customFormat="1" ht="21" x14ac:dyDescent="0.25">
      <c r="A26" s="418" t="s">
        <v>319</v>
      </c>
      <c r="B26" s="418"/>
      <c r="C26" s="420"/>
    </row>
    <row r="27" spans="1:3" s="419" customFormat="1" ht="21" x14ac:dyDescent="0.25">
      <c r="A27" s="418"/>
      <c r="B27" s="418"/>
      <c r="C27" s="420"/>
    </row>
    <row r="28" spans="1:3" s="419" customFormat="1" ht="21" x14ac:dyDescent="0.25">
      <c r="C28" s="420"/>
    </row>
    <row r="29" spans="1:3" s="419" customFormat="1" ht="21" x14ac:dyDescent="0.25">
      <c r="C29" s="420"/>
    </row>
    <row r="30" spans="1:3" s="419" customFormat="1" ht="21" x14ac:dyDescent="0.25">
      <c r="C30" s="420"/>
    </row>
    <row r="31" spans="1:3" s="419" customFormat="1" ht="21" x14ac:dyDescent="0.25">
      <c r="C31" s="420"/>
    </row>
    <row r="32" spans="1:3" s="419" customFormat="1" ht="21" x14ac:dyDescent="0.25">
      <c r="C32" s="420"/>
    </row>
  </sheetData>
  <mergeCells count="24">
    <mergeCell ref="A27:B27"/>
    <mergeCell ref="A25:B25"/>
    <mergeCell ref="A26:B26"/>
    <mergeCell ref="A4:B4"/>
    <mergeCell ref="A5:B5"/>
    <mergeCell ref="A6:B6"/>
    <mergeCell ref="A7:B7"/>
    <mergeCell ref="A20:B20"/>
    <mergeCell ref="A21:B21"/>
    <mergeCell ref="A22:B22"/>
    <mergeCell ref="A23:B23"/>
    <mergeCell ref="A24:B24"/>
    <mergeCell ref="A15:B15"/>
    <mergeCell ref="A16:B16"/>
    <mergeCell ref="A17:B17"/>
    <mergeCell ref="A18:B18"/>
    <mergeCell ref="A19:B19"/>
    <mergeCell ref="A13:B13"/>
    <mergeCell ref="A14:B14"/>
    <mergeCell ref="A12:B12"/>
    <mergeCell ref="A8:B8"/>
    <mergeCell ref="A9:B9"/>
    <mergeCell ref="A10:B10"/>
    <mergeCell ref="A11:B11"/>
  </mergeCells>
  <hyperlinks>
    <hyperlink ref="A8:B8" location="'Abacate formação (1)'!A1" display="Abacate - formação"/>
    <hyperlink ref="A10:B10" location="'Abacaxi produção (1)'!A1" display="Abacaxi - produção"/>
    <hyperlink ref="A11:B11" location="'Acerola formação (1)'!A1" display="Acerola - formação"/>
    <hyperlink ref="A12:B12" location="'Acerola produção (1)'!A1" display="Acerola - produção"/>
    <hyperlink ref="A13:B13" location="'Banana formação (1)'!A1" display="Banana - formação"/>
    <hyperlink ref="A14:B14" location="'Banana produção (1)'!A1" display="Banana - produção"/>
    <hyperlink ref="A15:B15" location="'Citros formação (1)'!A1" display="Citros - formação"/>
    <hyperlink ref="A16:B16" location="'Citros produção (1)'!A1" display="Citros - produção"/>
    <hyperlink ref="A17:B17" location="'Goiaba formação (1)'!A1" display="Goiaba - formação"/>
    <hyperlink ref="A18:B18" location="'Goiaba produção (1)'!A1" display="Goiaba - produção"/>
    <hyperlink ref="A19:B19" location="'Graviola formação (1)'!A1" display="Graviola - formação"/>
    <hyperlink ref="A20:B20" location="'Graviola produção (1)'!A1" display="Graviola -produção"/>
    <hyperlink ref="A21:B21" location="'Mamão produção (1)'!A1" display="Mamão - produção"/>
    <hyperlink ref="A22:B22" location="'Manga formação (1)'!A1" display="Manga - formação"/>
    <hyperlink ref="A23:B23" location="'Manga produção (1)'!A1" display="Manga - produção"/>
    <hyperlink ref="A24:B24" location="'Maracujá produção (1)'!A1" display="Maracujá - produção"/>
    <hyperlink ref="A25:B25" location="'Pitaya formação (1)'!A1" display="Pitaya - formação"/>
    <hyperlink ref="A26:B26" location="'Pitaya produção (1)'!A1" display="Pitaya - produção"/>
    <hyperlink ref="A4:B4" location="'Análise de solo (1)'!A1" display="Análise de solo"/>
    <hyperlink ref="A6:B6" location="'Espaçamentos (1)'!A1" display="Espaçamentos"/>
    <hyperlink ref="A5:B5" location="'Análise foliar (1)'!A1" display="Análise foliar"/>
    <hyperlink ref="A7:B7" location="'Adubos e corretivos (1)'!A1" display="Adubos e corretivos"/>
    <hyperlink ref="A9:B9" location="'Abacate produção (1)'!A1" display="Abacate - produção"/>
  </hyperlinks>
  <pageMargins left="0.511811024" right="0.511811024" top="0.78740157499999996" bottom="0.78740157499999996" header="0.31496062000000002" footer="0.31496062000000002"/>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134"/>
  <sheetViews>
    <sheetView zoomScale="40" zoomScaleNormal="40" workbookViewId="0">
      <pane ySplit="2" topLeftCell="A42" activePane="bottomLeft" state="frozen"/>
      <selection activeCell="AB69" sqref="AB69"/>
      <selection pane="bottomLeft" sqref="A1:XFD1048576"/>
    </sheetView>
  </sheetViews>
  <sheetFormatPr defaultColWidth="11.42578125" defaultRowHeight="18" x14ac:dyDescent="0.25"/>
  <cols>
    <col min="1" max="1" width="11.42578125" style="69"/>
    <col min="2" max="2" width="25.140625" style="69" customWidth="1"/>
    <col min="3" max="3" width="76.7109375" style="69" bestFit="1" customWidth="1"/>
    <col min="4" max="4" width="17.28515625" style="69" bestFit="1" customWidth="1"/>
    <col min="5" max="5" width="36.140625" style="69" bestFit="1" customWidth="1"/>
    <col min="6" max="6" width="11" style="69" bestFit="1" customWidth="1"/>
    <col min="7" max="7" width="13.28515625" style="69" bestFit="1" customWidth="1"/>
    <col min="8" max="9" width="11" style="69" bestFit="1" customWidth="1"/>
    <col min="10" max="10" width="11.5703125" style="69" bestFit="1" customWidth="1"/>
    <col min="11" max="11" width="12.140625" style="69" bestFit="1" customWidth="1"/>
    <col min="12" max="12" width="31.42578125" style="69" bestFit="1" customWidth="1"/>
    <col min="13" max="13" width="11.5703125" style="69" bestFit="1" customWidth="1"/>
    <col min="14" max="14" width="9.28515625" style="69" bestFit="1" customWidth="1"/>
    <col min="15" max="16" width="8.7109375" style="69" bestFit="1" customWidth="1"/>
    <col min="17" max="17" width="9.28515625" style="69" bestFit="1" customWidth="1"/>
    <col min="18" max="19" width="8.7109375" style="69" bestFit="1" customWidth="1"/>
    <col min="20" max="20" width="37.28515625" style="69" bestFit="1" customWidth="1"/>
    <col min="21" max="21" width="29.85546875" style="69" bestFit="1" customWidth="1"/>
    <col min="22" max="22" width="30.42578125" style="69" bestFit="1" customWidth="1"/>
    <col min="23" max="24" width="11.42578125" style="69"/>
    <col min="25" max="25" width="65" style="69" bestFit="1" customWidth="1"/>
    <col min="26" max="30" width="11.42578125" style="69"/>
    <col min="31" max="31" width="13" style="69" bestFit="1" customWidth="1"/>
    <col min="32" max="44" width="11.42578125" style="69"/>
    <col min="45" max="45" width="65" style="69" bestFit="1" customWidth="1"/>
    <col min="46" max="16384" width="11.42578125" style="69"/>
  </cols>
  <sheetData>
    <row r="1" spans="2:25" x14ac:dyDescent="0.25">
      <c r="B1" s="259" t="s">
        <v>124</v>
      </c>
      <c r="C1" s="259" t="s">
        <v>76</v>
      </c>
      <c r="D1" s="259" t="s">
        <v>77</v>
      </c>
      <c r="E1" s="259" t="s">
        <v>78</v>
      </c>
      <c r="F1" s="259"/>
      <c r="G1" s="259"/>
      <c r="H1" s="259"/>
      <c r="I1" s="259"/>
      <c r="J1" s="259"/>
      <c r="K1" s="259"/>
      <c r="L1" s="259"/>
      <c r="M1" s="259"/>
      <c r="N1" s="259"/>
      <c r="O1" s="259"/>
      <c r="P1" s="259"/>
      <c r="Q1" s="259"/>
      <c r="R1" s="259"/>
      <c r="S1" s="259"/>
      <c r="T1" s="259"/>
      <c r="U1" s="259"/>
      <c r="V1" s="259"/>
    </row>
    <row r="2" spans="2:25" x14ac:dyDescent="0.25">
      <c r="B2" s="259"/>
      <c r="C2" s="259"/>
      <c r="D2" s="259"/>
      <c r="E2" s="234" t="s">
        <v>33</v>
      </c>
      <c r="F2" s="234" t="s">
        <v>79</v>
      </c>
      <c r="G2" s="234" t="s">
        <v>66</v>
      </c>
      <c r="H2" s="234" t="s">
        <v>80</v>
      </c>
      <c r="I2" s="234" t="s">
        <v>67</v>
      </c>
      <c r="J2" s="234" t="s">
        <v>81</v>
      </c>
      <c r="K2" s="234" t="s">
        <v>82</v>
      </c>
      <c r="L2" s="234" t="s">
        <v>83</v>
      </c>
      <c r="M2" s="234" t="s">
        <v>84</v>
      </c>
      <c r="N2" s="234" t="s">
        <v>85</v>
      </c>
      <c r="O2" s="234" t="s">
        <v>86</v>
      </c>
      <c r="P2" s="234" t="s">
        <v>87</v>
      </c>
      <c r="Q2" s="234" t="s">
        <v>88</v>
      </c>
      <c r="R2" s="234" t="s">
        <v>89</v>
      </c>
      <c r="S2" s="234" t="s">
        <v>106</v>
      </c>
      <c r="T2" s="234" t="s">
        <v>90</v>
      </c>
      <c r="U2" s="234" t="s">
        <v>91</v>
      </c>
      <c r="V2" s="234" t="s">
        <v>92</v>
      </c>
    </row>
    <row r="3" spans="2:25" ht="18" customHeight="1" x14ac:dyDescent="0.25">
      <c r="B3" s="260" t="s">
        <v>202</v>
      </c>
      <c r="C3" s="73" t="s">
        <v>422</v>
      </c>
      <c r="D3" s="99">
        <f>70/25</f>
        <v>2.8</v>
      </c>
      <c r="E3" s="75">
        <v>45</v>
      </c>
      <c r="F3" s="75"/>
      <c r="G3" s="75"/>
      <c r="H3" s="75"/>
      <c r="I3" s="75"/>
      <c r="J3" s="75"/>
      <c r="K3" s="75"/>
      <c r="L3" s="75"/>
      <c r="M3" s="75"/>
      <c r="N3" s="75"/>
      <c r="O3" s="75"/>
      <c r="P3" s="75"/>
      <c r="Q3" s="75"/>
      <c r="R3" s="75"/>
      <c r="S3" s="75"/>
      <c r="T3" s="75">
        <v>45</v>
      </c>
      <c r="U3" s="75">
        <v>0</v>
      </c>
      <c r="V3" s="75"/>
    </row>
    <row r="4" spans="2:25" x14ac:dyDescent="0.25">
      <c r="B4" s="260"/>
      <c r="C4" s="76" t="s">
        <v>95</v>
      </c>
      <c r="D4" s="100">
        <f>43/25</f>
        <v>1.72</v>
      </c>
      <c r="E4" s="77">
        <v>20</v>
      </c>
      <c r="F4" s="77"/>
      <c r="G4" s="77"/>
      <c r="H4" s="77"/>
      <c r="I4" s="77"/>
      <c r="J4" s="77"/>
      <c r="K4" s="77"/>
      <c r="L4" s="77">
        <v>24</v>
      </c>
      <c r="M4" s="77"/>
      <c r="N4" s="77"/>
      <c r="O4" s="77"/>
      <c r="P4" s="77"/>
      <c r="Q4" s="77"/>
      <c r="R4" s="77"/>
      <c r="S4" s="77"/>
      <c r="T4" s="77">
        <v>20</v>
      </c>
      <c r="U4" s="77">
        <v>0</v>
      </c>
      <c r="V4" s="77"/>
      <c r="X4" s="416" t="s">
        <v>280</v>
      </c>
      <c r="Y4" s="416"/>
    </row>
    <row r="5" spans="2:25" x14ac:dyDescent="0.25">
      <c r="B5" s="260"/>
      <c r="C5" s="73" t="s">
        <v>93</v>
      </c>
      <c r="D5" s="99"/>
      <c r="E5" s="75">
        <v>29</v>
      </c>
      <c r="F5" s="75"/>
      <c r="G5" s="75"/>
      <c r="H5" s="75"/>
      <c r="I5" s="75"/>
      <c r="J5" s="75"/>
      <c r="K5" s="75">
        <v>1</v>
      </c>
      <c r="L5" s="75">
        <v>1</v>
      </c>
      <c r="M5" s="75"/>
      <c r="N5" s="75"/>
      <c r="O5" s="75">
        <v>1</v>
      </c>
      <c r="P5" s="75"/>
      <c r="Q5" s="75"/>
      <c r="R5" s="75"/>
      <c r="S5" s="75"/>
      <c r="T5" s="75">
        <v>14.5</v>
      </c>
      <c r="U5" s="75">
        <v>14.5</v>
      </c>
      <c r="V5" s="75">
        <v>1.5</v>
      </c>
    </row>
    <row r="6" spans="2:25" x14ac:dyDescent="0.25">
      <c r="B6" s="260"/>
      <c r="C6" s="76" t="s">
        <v>185</v>
      </c>
      <c r="D6" s="100">
        <f>64/25</f>
        <v>2.56</v>
      </c>
      <c r="E6" s="77">
        <v>15</v>
      </c>
      <c r="F6" s="77"/>
      <c r="G6" s="77"/>
      <c r="H6" s="77"/>
      <c r="I6" s="77"/>
      <c r="J6" s="77">
        <v>19</v>
      </c>
      <c r="K6" s="77"/>
      <c r="L6" s="77"/>
      <c r="M6" s="77"/>
      <c r="N6" s="77"/>
      <c r="O6" s="77"/>
      <c r="P6" s="77"/>
      <c r="Q6" s="77"/>
      <c r="R6" s="77"/>
      <c r="S6" s="77"/>
      <c r="T6" s="77">
        <v>1</v>
      </c>
      <c r="U6" s="77">
        <v>14</v>
      </c>
      <c r="V6" s="77">
        <v>1.18</v>
      </c>
    </row>
    <row r="7" spans="2:25" x14ac:dyDescent="0.25">
      <c r="B7" s="260"/>
      <c r="C7" s="73" t="s">
        <v>94</v>
      </c>
      <c r="D7" s="99">
        <v>4.5999999999999996</v>
      </c>
      <c r="E7" s="75">
        <v>11</v>
      </c>
      <c r="F7" s="75"/>
      <c r="G7" s="75"/>
      <c r="H7" s="75"/>
      <c r="I7" s="75"/>
      <c r="J7" s="75"/>
      <c r="K7" s="75">
        <v>9.5</v>
      </c>
      <c r="L7" s="75"/>
      <c r="M7" s="75"/>
      <c r="N7" s="75"/>
      <c r="O7" s="75"/>
      <c r="P7" s="75"/>
      <c r="Q7" s="75"/>
      <c r="R7" s="75"/>
      <c r="S7" s="75"/>
      <c r="T7" s="75">
        <v>0</v>
      </c>
      <c r="U7" s="75">
        <v>11</v>
      </c>
      <c r="V7" s="75">
        <v>0.9</v>
      </c>
    </row>
    <row r="8" spans="2:25" x14ac:dyDescent="0.25">
      <c r="B8" s="260"/>
      <c r="C8" s="76" t="s">
        <v>423</v>
      </c>
      <c r="D8" s="100">
        <f>148/25</f>
        <v>5.92</v>
      </c>
      <c r="E8" s="77">
        <v>12</v>
      </c>
      <c r="F8" s="77"/>
      <c r="G8" s="77"/>
      <c r="H8" s="77">
        <v>38</v>
      </c>
      <c r="I8" s="77"/>
      <c r="J8" s="77"/>
      <c r="K8" s="77"/>
      <c r="L8" s="77"/>
      <c r="M8" s="77"/>
      <c r="N8" s="77"/>
      <c r="O8" s="77"/>
      <c r="P8" s="77"/>
      <c r="Q8" s="77"/>
      <c r="R8" s="77"/>
      <c r="S8" s="77"/>
      <c r="T8" s="77">
        <v>0</v>
      </c>
      <c r="U8" s="77">
        <v>12</v>
      </c>
      <c r="V8" s="77">
        <v>1.28</v>
      </c>
    </row>
    <row r="9" spans="2:25" x14ac:dyDescent="0.25">
      <c r="B9" s="260"/>
      <c r="C9" s="73" t="s">
        <v>192</v>
      </c>
      <c r="D9" s="99">
        <f>84/50</f>
        <v>1.68</v>
      </c>
      <c r="E9" s="75"/>
      <c r="F9" s="75">
        <v>7.86</v>
      </c>
      <c r="G9" s="75">
        <v>18</v>
      </c>
      <c r="H9" s="75"/>
      <c r="I9" s="75"/>
      <c r="J9" s="75"/>
      <c r="K9" s="75"/>
      <c r="L9" s="75"/>
      <c r="M9" s="75"/>
      <c r="N9" s="75"/>
      <c r="O9" s="75"/>
      <c r="P9" s="75"/>
      <c r="Q9" s="75"/>
      <c r="R9" s="75"/>
      <c r="S9" s="75"/>
      <c r="T9" s="75"/>
      <c r="U9" s="75"/>
      <c r="V9" s="75"/>
    </row>
    <row r="10" spans="2:25" x14ac:dyDescent="0.25">
      <c r="B10" s="260"/>
      <c r="C10" s="76" t="s">
        <v>193</v>
      </c>
      <c r="D10" s="100">
        <f>3800/1000</f>
        <v>3.8</v>
      </c>
      <c r="E10" s="77"/>
      <c r="F10" s="77">
        <v>17.91</v>
      </c>
      <c r="G10" s="77">
        <v>41</v>
      </c>
      <c r="H10" s="77"/>
      <c r="I10" s="77"/>
      <c r="J10" s="77"/>
      <c r="K10" s="77"/>
      <c r="L10" s="77"/>
      <c r="M10" s="77"/>
      <c r="N10" s="77"/>
      <c r="O10" s="77"/>
      <c r="P10" s="77"/>
      <c r="Q10" s="77"/>
      <c r="R10" s="77"/>
      <c r="S10" s="77"/>
      <c r="T10" s="77"/>
      <c r="U10" s="77"/>
      <c r="V10" s="77"/>
    </row>
    <row r="11" spans="2:25" x14ac:dyDescent="0.25">
      <c r="B11" s="260"/>
      <c r="C11" s="73" t="s">
        <v>184</v>
      </c>
      <c r="D11" s="99">
        <f>87/25</f>
        <v>3.48</v>
      </c>
      <c r="E11" s="75"/>
      <c r="F11" s="75"/>
      <c r="G11" s="75"/>
      <c r="H11" s="75">
        <v>50</v>
      </c>
      <c r="I11" s="75">
        <v>60</v>
      </c>
      <c r="J11" s="75"/>
      <c r="K11" s="75"/>
      <c r="L11" s="75"/>
      <c r="M11" s="75"/>
      <c r="N11" s="75"/>
      <c r="O11" s="75"/>
      <c r="P11" s="75"/>
      <c r="Q11" s="75"/>
      <c r="R11" s="75"/>
      <c r="S11" s="75"/>
      <c r="T11" s="75">
        <v>0</v>
      </c>
      <c r="U11" s="75">
        <v>0</v>
      </c>
      <c r="V11" s="75">
        <v>1.7</v>
      </c>
    </row>
    <row r="12" spans="2:25" x14ac:dyDescent="0.25">
      <c r="B12" s="260"/>
      <c r="C12" s="76" t="s">
        <v>424</v>
      </c>
      <c r="D12" s="100">
        <f>133/25</f>
        <v>5.32</v>
      </c>
      <c r="E12" s="77"/>
      <c r="F12" s="77"/>
      <c r="G12" s="77"/>
      <c r="H12" s="77">
        <v>43</v>
      </c>
      <c r="I12" s="77">
        <v>52</v>
      </c>
      <c r="J12" s="77"/>
      <c r="K12" s="77"/>
      <c r="L12" s="77">
        <v>17</v>
      </c>
      <c r="M12" s="77"/>
      <c r="N12" s="77"/>
      <c r="O12" s="77"/>
      <c r="P12" s="77"/>
      <c r="Q12" s="77"/>
      <c r="R12" s="77"/>
      <c r="S12" s="77"/>
      <c r="T12" s="77">
        <v>0</v>
      </c>
      <c r="U12" s="77">
        <v>0</v>
      </c>
      <c r="V12" s="77">
        <v>1.2</v>
      </c>
    </row>
    <row r="13" spans="2:25" x14ac:dyDescent="0.25">
      <c r="B13" s="260"/>
      <c r="C13" s="73" t="s">
        <v>425</v>
      </c>
      <c r="D13" s="99">
        <f>225/25</f>
        <v>9</v>
      </c>
      <c r="E13" s="75"/>
      <c r="F13" s="75"/>
      <c r="G13" s="75"/>
      <c r="H13" s="75">
        <v>43</v>
      </c>
      <c r="I13" s="75">
        <v>52</v>
      </c>
      <c r="J13" s="75"/>
      <c r="K13" s="75"/>
      <c r="L13" s="75"/>
      <c r="M13" s="75"/>
      <c r="N13" s="75"/>
      <c r="O13" s="75"/>
      <c r="P13" s="75"/>
      <c r="Q13" s="75"/>
      <c r="R13" s="75"/>
      <c r="S13" s="75"/>
      <c r="T13" s="75">
        <v>0</v>
      </c>
      <c r="U13" s="75">
        <v>0</v>
      </c>
      <c r="V13" s="75"/>
    </row>
    <row r="14" spans="2:25" x14ac:dyDescent="0.25">
      <c r="B14" s="260"/>
      <c r="C14" s="76" t="s">
        <v>426</v>
      </c>
      <c r="D14" s="100">
        <f>138/25</f>
        <v>5.52</v>
      </c>
      <c r="E14" s="77">
        <v>12</v>
      </c>
      <c r="F14" s="77">
        <v>27</v>
      </c>
      <c r="G14" s="77">
        <v>62</v>
      </c>
      <c r="H14" s="77"/>
      <c r="I14" s="77"/>
      <c r="J14" s="77"/>
      <c r="K14" s="77"/>
      <c r="L14" s="77"/>
      <c r="M14" s="77"/>
      <c r="N14" s="77"/>
      <c r="O14" s="77"/>
      <c r="P14" s="77"/>
      <c r="Q14" s="77"/>
      <c r="R14" s="77"/>
      <c r="S14" s="77"/>
      <c r="T14" s="77">
        <v>12</v>
      </c>
      <c r="U14" s="77">
        <v>0</v>
      </c>
      <c r="V14" s="77">
        <v>0.95</v>
      </c>
    </row>
    <row r="15" spans="2:25" x14ac:dyDescent="0.25">
      <c r="B15" s="260"/>
      <c r="C15" s="73" t="s">
        <v>427</v>
      </c>
      <c r="D15" s="99">
        <f>223/25</f>
        <v>8.92</v>
      </c>
      <c r="E15" s="75"/>
      <c r="F15" s="75">
        <v>23</v>
      </c>
      <c r="G15" s="75">
        <v>53</v>
      </c>
      <c r="H15" s="75">
        <v>28</v>
      </c>
      <c r="I15" s="75">
        <v>34</v>
      </c>
      <c r="J15" s="75"/>
      <c r="K15" s="75"/>
      <c r="L15" s="75"/>
      <c r="M15" s="75"/>
      <c r="N15" s="75"/>
      <c r="O15" s="75"/>
      <c r="P15" s="75"/>
      <c r="Q15" s="75"/>
      <c r="R15" s="75"/>
      <c r="S15" s="75"/>
      <c r="T15" s="75">
        <v>0</v>
      </c>
      <c r="U15" s="75">
        <v>0</v>
      </c>
      <c r="V15" s="75">
        <v>0.7</v>
      </c>
    </row>
    <row r="16" spans="2:25" x14ac:dyDescent="0.25">
      <c r="B16" s="260"/>
      <c r="C16" s="76"/>
      <c r="D16" s="100"/>
      <c r="E16" s="77"/>
      <c r="F16" s="77"/>
      <c r="G16" s="77"/>
      <c r="H16" s="77"/>
      <c r="I16" s="77"/>
      <c r="J16" s="77"/>
      <c r="K16" s="77"/>
      <c r="L16" s="77"/>
      <c r="M16" s="77"/>
      <c r="N16" s="77"/>
      <c r="O16" s="77"/>
      <c r="P16" s="77"/>
      <c r="Q16" s="77"/>
      <c r="R16" s="77"/>
      <c r="S16" s="77"/>
      <c r="T16" s="77"/>
      <c r="U16" s="77"/>
      <c r="V16" s="77"/>
    </row>
    <row r="17" spans="2:22" x14ac:dyDescent="0.25">
      <c r="B17" s="260"/>
      <c r="C17" s="73"/>
      <c r="D17" s="99"/>
      <c r="E17" s="75"/>
      <c r="F17" s="75"/>
      <c r="G17" s="75"/>
      <c r="H17" s="75"/>
      <c r="I17" s="75"/>
      <c r="J17" s="75"/>
      <c r="K17" s="75"/>
      <c r="L17" s="75"/>
      <c r="M17" s="75"/>
      <c r="N17" s="75"/>
      <c r="O17" s="75"/>
      <c r="P17" s="75"/>
      <c r="Q17" s="75"/>
      <c r="R17" s="75"/>
      <c r="S17" s="75"/>
      <c r="T17" s="75"/>
      <c r="U17" s="75"/>
      <c r="V17" s="75"/>
    </row>
    <row r="18" spans="2:22" x14ac:dyDescent="0.25">
      <c r="B18" s="261" t="s">
        <v>201</v>
      </c>
      <c r="C18" s="76" t="s">
        <v>428</v>
      </c>
      <c r="D18" s="100">
        <v>1.88</v>
      </c>
      <c r="E18" s="77">
        <v>3</v>
      </c>
      <c r="F18" s="77">
        <v>7.87</v>
      </c>
      <c r="G18" s="77">
        <v>18</v>
      </c>
      <c r="H18" s="77">
        <v>4.2</v>
      </c>
      <c r="I18" s="77">
        <v>5</v>
      </c>
      <c r="J18" s="77"/>
      <c r="K18" s="77"/>
      <c r="L18" s="77"/>
      <c r="M18" s="77"/>
      <c r="N18" s="77"/>
      <c r="O18" s="77"/>
      <c r="P18" s="77"/>
      <c r="Q18" s="77"/>
      <c r="R18" s="77"/>
      <c r="S18" s="77"/>
      <c r="T18" s="77"/>
      <c r="U18" s="77"/>
      <c r="V18" s="77"/>
    </row>
    <row r="19" spans="2:22" x14ac:dyDescent="0.25">
      <c r="B19" s="261"/>
      <c r="C19" s="73" t="s">
        <v>432</v>
      </c>
      <c r="D19" s="99">
        <f>93/50</f>
        <v>1.86</v>
      </c>
      <c r="E19" s="75">
        <v>4</v>
      </c>
      <c r="F19" s="75">
        <v>6.15</v>
      </c>
      <c r="G19" s="75">
        <v>14</v>
      </c>
      <c r="H19" s="75">
        <v>6.65</v>
      </c>
      <c r="I19" s="75">
        <v>8</v>
      </c>
      <c r="J19" s="75"/>
      <c r="K19" s="75"/>
      <c r="L19" s="75"/>
      <c r="M19" s="75"/>
      <c r="N19" s="75"/>
      <c r="O19" s="75"/>
      <c r="P19" s="75"/>
      <c r="Q19" s="75"/>
      <c r="R19" s="75"/>
      <c r="S19" s="75"/>
      <c r="T19" s="75"/>
      <c r="U19" s="75"/>
      <c r="V19" s="75"/>
    </row>
    <row r="20" spans="2:22" x14ac:dyDescent="0.25">
      <c r="B20" s="261"/>
      <c r="C20" s="76" t="s">
        <v>433</v>
      </c>
      <c r="D20" s="100">
        <f>126/50</f>
        <v>2.52</v>
      </c>
      <c r="E20" s="77">
        <v>4</v>
      </c>
      <c r="F20" s="77">
        <v>13.1</v>
      </c>
      <c r="G20" s="77">
        <v>30</v>
      </c>
      <c r="H20" s="77">
        <v>13.3</v>
      </c>
      <c r="I20" s="77">
        <v>16</v>
      </c>
      <c r="J20" s="77"/>
      <c r="K20" s="77"/>
      <c r="L20" s="77"/>
      <c r="M20" s="77"/>
      <c r="N20" s="77"/>
      <c r="O20" s="77"/>
      <c r="P20" s="77"/>
      <c r="Q20" s="77"/>
      <c r="R20" s="77"/>
      <c r="S20" s="77"/>
      <c r="T20" s="77"/>
      <c r="U20" s="77"/>
      <c r="V20" s="77"/>
    </row>
    <row r="21" spans="2:22" x14ac:dyDescent="0.25">
      <c r="B21" s="261"/>
      <c r="C21" s="73" t="s">
        <v>434</v>
      </c>
      <c r="D21" s="99">
        <f>100/50</f>
        <v>2</v>
      </c>
      <c r="E21" s="75">
        <v>5</v>
      </c>
      <c r="F21" s="75">
        <v>10.95</v>
      </c>
      <c r="G21" s="75">
        <v>25</v>
      </c>
      <c r="H21" s="75">
        <v>12.45</v>
      </c>
      <c r="I21" s="75">
        <v>15</v>
      </c>
      <c r="J21" s="75"/>
      <c r="K21" s="75"/>
      <c r="L21" s="75"/>
      <c r="M21" s="75"/>
      <c r="N21" s="75"/>
      <c r="O21" s="75"/>
      <c r="P21" s="75"/>
      <c r="Q21" s="75"/>
      <c r="R21" s="75"/>
      <c r="S21" s="75"/>
      <c r="T21" s="75"/>
      <c r="U21" s="75"/>
      <c r="V21" s="75"/>
    </row>
    <row r="22" spans="2:22" x14ac:dyDescent="0.25">
      <c r="B22" s="261"/>
      <c r="C22" s="76" t="s">
        <v>454</v>
      </c>
      <c r="D22" s="100">
        <f>122/50</f>
        <v>2.44</v>
      </c>
      <c r="E22" s="77">
        <v>4</v>
      </c>
      <c r="F22" s="77">
        <v>13.1</v>
      </c>
      <c r="G22" s="77">
        <v>30</v>
      </c>
      <c r="H22" s="77">
        <v>8.3000000000000007</v>
      </c>
      <c r="I22" s="77">
        <v>10</v>
      </c>
      <c r="J22" s="77"/>
      <c r="K22" s="77"/>
      <c r="L22" s="77"/>
      <c r="M22" s="77"/>
      <c r="N22" s="77"/>
      <c r="O22" s="77"/>
      <c r="P22" s="77"/>
      <c r="Q22" s="77"/>
      <c r="R22" s="77"/>
      <c r="S22" s="77"/>
      <c r="T22" s="77"/>
      <c r="U22" s="77"/>
      <c r="V22" s="77"/>
    </row>
    <row r="23" spans="2:22" x14ac:dyDescent="0.25">
      <c r="B23" s="261"/>
      <c r="C23" s="73" t="s">
        <v>455</v>
      </c>
      <c r="D23" s="99"/>
      <c r="E23" s="75"/>
      <c r="F23" s="75">
        <v>7.87</v>
      </c>
      <c r="G23" s="75">
        <v>18</v>
      </c>
      <c r="H23" s="75"/>
      <c r="I23" s="75"/>
      <c r="J23" s="75"/>
      <c r="K23" s="75"/>
      <c r="L23" s="75"/>
      <c r="M23" s="75"/>
      <c r="N23" s="75"/>
      <c r="O23" s="75"/>
      <c r="P23" s="75"/>
      <c r="Q23" s="75"/>
      <c r="R23" s="75"/>
      <c r="S23" s="75"/>
      <c r="T23" s="75"/>
      <c r="U23" s="75"/>
      <c r="V23" s="75"/>
    </row>
    <row r="24" spans="2:22" x14ac:dyDescent="0.25">
      <c r="B24" s="261"/>
      <c r="C24" s="76" t="s">
        <v>435</v>
      </c>
      <c r="D24" s="100">
        <f>210/50</f>
        <v>4.2</v>
      </c>
      <c r="E24" s="77">
        <v>8</v>
      </c>
      <c r="F24" s="77">
        <v>10.5</v>
      </c>
      <c r="G24" s="77">
        <v>24</v>
      </c>
      <c r="H24" s="77">
        <v>6.65</v>
      </c>
      <c r="I24" s="77">
        <v>8</v>
      </c>
      <c r="J24" s="77"/>
      <c r="K24" s="77"/>
      <c r="L24" s="77"/>
      <c r="M24" s="77"/>
      <c r="N24" s="77"/>
      <c r="O24" s="77"/>
      <c r="P24" s="77"/>
      <c r="Q24" s="77"/>
      <c r="R24" s="77"/>
      <c r="S24" s="77"/>
      <c r="T24" s="77"/>
      <c r="U24" s="77"/>
      <c r="V24" s="77"/>
    </row>
    <row r="25" spans="2:22" x14ac:dyDescent="0.25">
      <c r="B25" s="261"/>
      <c r="C25" s="73" t="s">
        <v>436</v>
      </c>
      <c r="D25" s="99">
        <f>126/50</f>
        <v>2.52</v>
      </c>
      <c r="E25" s="75">
        <v>4</v>
      </c>
      <c r="F25" s="75">
        <v>11.35</v>
      </c>
      <c r="G25" s="75">
        <v>26</v>
      </c>
      <c r="H25" s="75">
        <v>8.3000000000000007</v>
      </c>
      <c r="I25" s="75">
        <v>10</v>
      </c>
      <c r="J25" s="75"/>
      <c r="K25" s="75"/>
      <c r="L25" s="75"/>
      <c r="M25" s="75"/>
      <c r="N25" s="75"/>
      <c r="O25" s="75"/>
      <c r="P25" s="75"/>
      <c r="Q25" s="75"/>
      <c r="R25" s="75"/>
      <c r="S25" s="75"/>
      <c r="T25" s="75"/>
      <c r="U25" s="75"/>
      <c r="V25" s="75"/>
    </row>
    <row r="26" spans="2:22" x14ac:dyDescent="0.25">
      <c r="B26" s="261"/>
      <c r="C26" s="76"/>
      <c r="D26" s="100"/>
      <c r="E26" s="77"/>
      <c r="F26" s="77"/>
      <c r="G26" s="77"/>
      <c r="H26" s="77"/>
      <c r="I26" s="77"/>
      <c r="J26" s="77"/>
      <c r="K26" s="77"/>
      <c r="L26" s="77"/>
      <c r="M26" s="77"/>
      <c r="N26" s="77"/>
      <c r="O26" s="77"/>
      <c r="P26" s="77"/>
      <c r="Q26" s="77"/>
      <c r="R26" s="77"/>
      <c r="S26" s="77"/>
      <c r="T26" s="77"/>
      <c r="U26" s="77"/>
      <c r="V26" s="77"/>
    </row>
    <row r="27" spans="2:22" x14ac:dyDescent="0.25">
      <c r="B27" s="261"/>
      <c r="C27" s="73" t="s">
        <v>437</v>
      </c>
      <c r="D27" s="99">
        <f>136/50</f>
        <v>2.72</v>
      </c>
      <c r="E27" s="75">
        <v>12</v>
      </c>
      <c r="F27" s="75">
        <v>1.31</v>
      </c>
      <c r="G27" s="75">
        <v>3</v>
      </c>
      <c r="H27" s="75">
        <v>20</v>
      </c>
      <c r="I27" s="75">
        <v>24</v>
      </c>
      <c r="J27" s="75"/>
      <c r="K27" s="75"/>
      <c r="L27" s="75"/>
      <c r="M27" s="75"/>
      <c r="N27" s="75"/>
      <c r="O27" s="75"/>
      <c r="P27" s="75"/>
      <c r="Q27" s="75"/>
      <c r="R27" s="75"/>
      <c r="S27" s="75"/>
      <c r="T27" s="75"/>
      <c r="U27" s="75"/>
      <c r="V27" s="75"/>
    </row>
    <row r="28" spans="2:22" x14ac:dyDescent="0.25">
      <c r="B28" s="261"/>
      <c r="C28" s="76" t="s">
        <v>194</v>
      </c>
      <c r="D28" s="100">
        <f>57/25</f>
        <v>2.2799999999999998</v>
      </c>
      <c r="E28" s="77">
        <v>13</v>
      </c>
      <c r="F28" s="77">
        <v>1.31</v>
      </c>
      <c r="G28" s="77">
        <v>3</v>
      </c>
      <c r="H28" s="77">
        <v>20.8</v>
      </c>
      <c r="I28" s="77">
        <v>25</v>
      </c>
      <c r="J28" s="77"/>
      <c r="K28" s="77"/>
      <c r="L28" s="77"/>
      <c r="M28" s="77"/>
      <c r="N28" s="77"/>
      <c r="O28" s="77"/>
      <c r="P28" s="77"/>
      <c r="Q28" s="77"/>
      <c r="R28" s="77"/>
      <c r="S28" s="77"/>
      <c r="T28" s="77"/>
      <c r="U28" s="77"/>
      <c r="V28" s="77"/>
    </row>
    <row r="29" spans="2:22" x14ac:dyDescent="0.25">
      <c r="B29" s="261"/>
      <c r="C29" s="73" t="s">
        <v>438</v>
      </c>
      <c r="D29" s="99">
        <f>100/50</f>
        <v>2</v>
      </c>
      <c r="E29" s="75">
        <v>10</v>
      </c>
      <c r="F29" s="75">
        <v>4.4000000000000004</v>
      </c>
      <c r="G29" s="75">
        <v>10</v>
      </c>
      <c r="H29" s="75">
        <v>8.3000000000000007</v>
      </c>
      <c r="I29" s="75">
        <v>10</v>
      </c>
      <c r="J29" s="75"/>
      <c r="K29" s="75"/>
      <c r="L29" s="75"/>
      <c r="M29" s="75"/>
      <c r="N29" s="75"/>
      <c r="O29" s="75"/>
      <c r="P29" s="75"/>
      <c r="Q29" s="75"/>
      <c r="R29" s="75"/>
      <c r="S29" s="75"/>
      <c r="T29" s="75"/>
      <c r="U29" s="75"/>
      <c r="V29" s="75"/>
    </row>
    <row r="30" spans="2:22" x14ac:dyDescent="0.25">
      <c r="B30" s="261"/>
      <c r="C30" s="76" t="s">
        <v>439</v>
      </c>
      <c r="D30" s="100">
        <f>114/50</f>
        <v>2.2799999999999998</v>
      </c>
      <c r="E30" s="77">
        <v>20</v>
      </c>
      <c r="F30" s="77"/>
      <c r="G30" s="77"/>
      <c r="H30" s="77">
        <v>16.600000000000001</v>
      </c>
      <c r="I30" s="77">
        <v>20</v>
      </c>
      <c r="J30" s="77"/>
      <c r="K30" s="77"/>
      <c r="L30" s="77"/>
      <c r="M30" s="77"/>
      <c r="N30" s="77"/>
      <c r="O30" s="77"/>
      <c r="P30" s="77"/>
      <c r="Q30" s="77"/>
      <c r="R30" s="77"/>
      <c r="S30" s="77"/>
      <c r="T30" s="77"/>
      <c r="U30" s="77"/>
      <c r="V30" s="77"/>
    </row>
    <row r="31" spans="2:22" x14ac:dyDescent="0.25">
      <c r="B31" s="261"/>
      <c r="C31" s="73" t="s">
        <v>440</v>
      </c>
      <c r="D31" s="99">
        <f>168/50</f>
        <v>3.36</v>
      </c>
      <c r="E31" s="75">
        <v>7</v>
      </c>
      <c r="F31" s="75"/>
      <c r="G31" s="75"/>
      <c r="H31" s="75">
        <v>24.89</v>
      </c>
      <c r="I31" s="75">
        <v>30</v>
      </c>
      <c r="J31" s="75">
        <v>12</v>
      </c>
      <c r="K31" s="75"/>
      <c r="L31" s="75"/>
      <c r="M31" s="75"/>
      <c r="N31" s="75"/>
      <c r="O31" s="75"/>
      <c r="P31" s="75"/>
      <c r="Q31" s="75"/>
      <c r="R31" s="75"/>
      <c r="S31" s="75"/>
      <c r="T31" s="75"/>
      <c r="U31" s="75"/>
      <c r="V31" s="75"/>
    </row>
    <row r="32" spans="2:22" x14ac:dyDescent="0.25">
      <c r="B32" s="261"/>
      <c r="C32" s="76"/>
      <c r="D32" s="100"/>
      <c r="E32" s="77"/>
      <c r="F32" s="77"/>
      <c r="G32" s="77"/>
      <c r="H32" s="77"/>
      <c r="I32" s="77"/>
      <c r="J32" s="77"/>
      <c r="K32" s="77"/>
      <c r="L32" s="77"/>
      <c r="M32" s="77"/>
      <c r="N32" s="77"/>
      <c r="O32" s="77"/>
      <c r="P32" s="77"/>
      <c r="Q32" s="77"/>
      <c r="R32" s="77"/>
      <c r="S32" s="77"/>
      <c r="T32" s="77"/>
      <c r="U32" s="77"/>
      <c r="V32" s="77"/>
    </row>
    <row r="33" spans="2:22" x14ac:dyDescent="0.25">
      <c r="B33" s="261"/>
      <c r="C33" s="73"/>
      <c r="D33" s="99"/>
      <c r="E33" s="75"/>
      <c r="F33" s="75"/>
      <c r="G33" s="75"/>
      <c r="H33" s="75"/>
      <c r="I33" s="75"/>
      <c r="J33" s="75"/>
      <c r="K33" s="75"/>
      <c r="L33" s="75"/>
      <c r="M33" s="75"/>
      <c r="N33" s="75"/>
      <c r="O33" s="75"/>
      <c r="P33" s="75"/>
      <c r="Q33" s="75"/>
      <c r="R33" s="75"/>
      <c r="S33" s="75"/>
      <c r="T33" s="75"/>
      <c r="U33" s="75"/>
      <c r="V33" s="75"/>
    </row>
    <row r="34" spans="2:22" x14ac:dyDescent="0.25">
      <c r="B34" s="262" t="s">
        <v>254</v>
      </c>
      <c r="C34" s="76" t="s">
        <v>145</v>
      </c>
      <c r="D34" s="100">
        <v>0.25</v>
      </c>
      <c r="E34" s="77">
        <v>3</v>
      </c>
      <c r="F34" s="77">
        <v>1.31</v>
      </c>
      <c r="G34" s="77">
        <v>3</v>
      </c>
      <c r="H34" s="77">
        <v>1.665</v>
      </c>
      <c r="I34" s="77">
        <v>2</v>
      </c>
      <c r="J34" s="77"/>
      <c r="K34" s="77"/>
      <c r="L34" s="77"/>
      <c r="M34" s="77"/>
      <c r="N34" s="77"/>
      <c r="O34" s="77"/>
      <c r="P34" s="77"/>
      <c r="Q34" s="77"/>
      <c r="R34" s="77"/>
      <c r="S34" s="77"/>
      <c r="T34" s="77"/>
      <c r="U34" s="77"/>
      <c r="V34" s="77"/>
    </row>
    <row r="35" spans="2:22" x14ac:dyDescent="0.25">
      <c r="B35" s="262"/>
      <c r="C35" s="73" t="s">
        <v>153</v>
      </c>
      <c r="D35" s="99">
        <v>0.25</v>
      </c>
      <c r="E35" s="75">
        <v>1</v>
      </c>
      <c r="F35" s="75">
        <v>0.4366666666666667</v>
      </c>
      <c r="G35" s="75">
        <v>1</v>
      </c>
      <c r="H35" s="75">
        <v>0.55500000000000005</v>
      </c>
      <c r="I35" s="75">
        <v>0.7</v>
      </c>
      <c r="J35" s="75"/>
      <c r="K35" s="75"/>
      <c r="L35" s="75"/>
      <c r="M35" s="75"/>
      <c r="N35" s="75"/>
      <c r="O35" s="75"/>
      <c r="P35" s="75"/>
      <c r="Q35" s="75"/>
      <c r="R35" s="75"/>
      <c r="S35" s="75"/>
      <c r="T35" s="75"/>
      <c r="U35" s="75"/>
      <c r="V35" s="75"/>
    </row>
    <row r="36" spans="2:22" x14ac:dyDescent="0.25">
      <c r="B36" s="262"/>
      <c r="C36" s="76" t="s">
        <v>156</v>
      </c>
      <c r="D36" s="100"/>
      <c r="E36" s="77">
        <v>1</v>
      </c>
      <c r="F36" s="77"/>
      <c r="G36" s="77"/>
      <c r="H36" s="77"/>
      <c r="I36" s="77"/>
      <c r="J36" s="77"/>
      <c r="K36" s="77"/>
      <c r="L36" s="77"/>
      <c r="M36" s="77"/>
      <c r="N36" s="77"/>
      <c r="O36" s="77"/>
      <c r="P36" s="77"/>
      <c r="Q36" s="77"/>
      <c r="R36" s="77"/>
      <c r="S36" s="77"/>
      <c r="T36" s="77"/>
      <c r="U36" s="77"/>
      <c r="V36" s="77"/>
    </row>
    <row r="37" spans="2:22" x14ac:dyDescent="0.25">
      <c r="B37" s="262"/>
      <c r="C37" s="73" t="s">
        <v>160</v>
      </c>
      <c r="D37" s="99"/>
      <c r="E37" s="75">
        <v>3</v>
      </c>
      <c r="F37" s="75">
        <v>2.63</v>
      </c>
      <c r="G37" s="75">
        <v>6</v>
      </c>
      <c r="H37" s="75">
        <v>3.32</v>
      </c>
      <c r="I37" s="75">
        <v>4</v>
      </c>
      <c r="J37" s="75"/>
      <c r="K37" s="75"/>
      <c r="L37" s="75"/>
      <c r="M37" s="75"/>
      <c r="N37" s="75"/>
      <c r="O37" s="75"/>
      <c r="P37" s="75"/>
      <c r="Q37" s="75"/>
      <c r="R37" s="75"/>
      <c r="S37" s="75"/>
      <c r="T37" s="75"/>
      <c r="U37" s="75"/>
      <c r="V37" s="75"/>
    </row>
    <row r="38" spans="2:22" x14ac:dyDescent="0.25">
      <c r="B38" s="262"/>
      <c r="C38" s="76" t="s">
        <v>195</v>
      </c>
      <c r="D38" s="100"/>
      <c r="E38" s="77">
        <v>1.7</v>
      </c>
      <c r="F38" s="77">
        <v>0.77800000000000002</v>
      </c>
      <c r="G38" s="77">
        <v>1.8</v>
      </c>
      <c r="H38" s="77">
        <v>0.93</v>
      </c>
      <c r="I38" s="77">
        <v>1.1000000000000001</v>
      </c>
      <c r="J38" s="77">
        <v>3.5</v>
      </c>
      <c r="K38" s="77">
        <v>0.69</v>
      </c>
      <c r="L38" s="77">
        <v>0.54</v>
      </c>
      <c r="M38" s="77">
        <v>2.05E-5</v>
      </c>
      <c r="N38" s="77">
        <v>4.2999999999999999E-4</v>
      </c>
      <c r="O38" s="77"/>
      <c r="P38" s="77">
        <v>4.6900000000000002E-4</v>
      </c>
      <c r="Q38" s="77"/>
      <c r="R38" s="77">
        <v>5.9700000000000001E-5</v>
      </c>
      <c r="S38" s="77"/>
      <c r="T38" s="77"/>
      <c r="U38" s="77"/>
      <c r="V38" s="77"/>
    </row>
    <row r="39" spans="2:22" x14ac:dyDescent="0.25">
      <c r="B39" s="262"/>
      <c r="C39" s="73" t="s">
        <v>196</v>
      </c>
      <c r="D39" s="99"/>
      <c r="E39" s="75">
        <v>2.57</v>
      </c>
      <c r="F39" s="75">
        <v>0.55500000000000005</v>
      </c>
      <c r="G39" s="75">
        <v>1.3</v>
      </c>
      <c r="H39" s="75">
        <v>1.25</v>
      </c>
      <c r="I39" s="75">
        <v>1.5</v>
      </c>
      <c r="J39" s="75">
        <v>4.3</v>
      </c>
      <c r="K39" s="75">
        <v>0.6</v>
      </c>
      <c r="L39" s="75">
        <v>0.6</v>
      </c>
      <c r="M39" s="75">
        <v>9.2E-6</v>
      </c>
      <c r="N39" s="75">
        <v>3.9199999999999999E-4</v>
      </c>
      <c r="O39" s="75"/>
      <c r="P39" s="75">
        <v>4.55E-4</v>
      </c>
      <c r="Q39" s="75"/>
      <c r="R39" s="75">
        <v>7.7200000000000006E-5</v>
      </c>
      <c r="S39" s="75"/>
      <c r="T39" s="75"/>
      <c r="U39" s="75"/>
      <c r="V39" s="75"/>
    </row>
    <row r="40" spans="2:22" x14ac:dyDescent="0.25">
      <c r="B40" s="262"/>
      <c r="C40" s="76" t="s">
        <v>197</v>
      </c>
      <c r="D40" s="100"/>
      <c r="E40" s="77">
        <v>1.8</v>
      </c>
      <c r="F40" s="77">
        <v>0.62</v>
      </c>
      <c r="G40" s="77">
        <v>1.4</v>
      </c>
      <c r="H40" s="77">
        <v>1.34</v>
      </c>
      <c r="I40" s="77">
        <v>1.6</v>
      </c>
      <c r="J40" s="77">
        <v>2.4500000000000002</v>
      </c>
      <c r="K40" s="77">
        <v>0.5</v>
      </c>
      <c r="L40" s="77">
        <v>0.42</v>
      </c>
      <c r="M40" s="77">
        <v>3.7400000000000001E-5</v>
      </c>
      <c r="N40" s="77">
        <v>2.5399999999999999E-4</v>
      </c>
      <c r="O40" s="77"/>
      <c r="P40" s="77">
        <v>4.6500000000000003E-4</v>
      </c>
      <c r="Q40" s="77"/>
      <c r="R40" s="77">
        <v>3.339E-3</v>
      </c>
      <c r="S40" s="77"/>
      <c r="T40" s="77"/>
      <c r="U40" s="77"/>
      <c r="V40" s="77"/>
    </row>
    <row r="41" spans="2:22" x14ac:dyDescent="0.25">
      <c r="B41" s="262"/>
      <c r="C41" s="73" t="s">
        <v>154</v>
      </c>
      <c r="D41" s="99"/>
      <c r="E41" s="75">
        <v>3</v>
      </c>
      <c r="F41" s="75">
        <v>2.19</v>
      </c>
      <c r="G41" s="75">
        <v>5</v>
      </c>
      <c r="H41" s="75">
        <v>3.32</v>
      </c>
      <c r="I41" s="75">
        <v>4</v>
      </c>
      <c r="J41" s="75"/>
      <c r="K41" s="75"/>
      <c r="L41" s="75"/>
      <c r="M41" s="75"/>
      <c r="N41" s="75"/>
      <c r="O41" s="75"/>
      <c r="P41" s="75"/>
      <c r="Q41" s="75"/>
      <c r="R41" s="75"/>
      <c r="S41" s="75"/>
      <c r="T41" s="75"/>
      <c r="U41" s="75"/>
      <c r="V41" s="75"/>
    </row>
    <row r="42" spans="2:22" x14ac:dyDescent="0.25">
      <c r="B42" s="262"/>
      <c r="C42" s="76" t="s">
        <v>159</v>
      </c>
      <c r="D42" s="100"/>
      <c r="E42" s="77">
        <v>3</v>
      </c>
      <c r="F42" s="77">
        <v>2.63</v>
      </c>
      <c r="G42" s="77">
        <v>6</v>
      </c>
      <c r="H42" s="77">
        <v>3.32</v>
      </c>
      <c r="I42" s="77">
        <v>4</v>
      </c>
      <c r="J42" s="77"/>
      <c r="K42" s="77"/>
      <c r="L42" s="77"/>
      <c r="M42" s="77"/>
      <c r="N42" s="77"/>
      <c r="O42" s="77"/>
      <c r="P42" s="77"/>
      <c r="Q42" s="77"/>
      <c r="R42" s="77"/>
      <c r="S42" s="77"/>
      <c r="T42" s="77"/>
      <c r="U42" s="77"/>
      <c r="V42" s="77"/>
    </row>
    <row r="43" spans="2:22" x14ac:dyDescent="0.25">
      <c r="B43" s="262"/>
      <c r="C43" s="73" t="s">
        <v>161</v>
      </c>
      <c r="D43" s="99"/>
      <c r="E43" s="75">
        <v>3</v>
      </c>
      <c r="F43" s="75">
        <v>2.63</v>
      </c>
      <c r="G43" s="75">
        <v>6</v>
      </c>
      <c r="H43" s="75">
        <v>3.32</v>
      </c>
      <c r="I43" s="75">
        <v>4</v>
      </c>
      <c r="J43" s="75"/>
      <c r="K43" s="75"/>
      <c r="L43" s="75"/>
      <c r="M43" s="75"/>
      <c r="N43" s="75"/>
      <c r="O43" s="75"/>
      <c r="P43" s="75"/>
      <c r="Q43" s="75"/>
      <c r="R43" s="75"/>
      <c r="S43" s="75"/>
      <c r="T43" s="75"/>
      <c r="U43" s="75"/>
      <c r="V43" s="75"/>
    </row>
    <row r="44" spans="2:22" x14ac:dyDescent="0.25">
      <c r="B44" s="262"/>
      <c r="C44" s="76" t="s">
        <v>155</v>
      </c>
      <c r="D44" s="100"/>
      <c r="E44" s="77"/>
      <c r="F44" s="77"/>
      <c r="G44" s="77"/>
      <c r="H44" s="77"/>
      <c r="I44" s="77"/>
      <c r="J44" s="77"/>
      <c r="K44" s="77"/>
      <c r="L44" s="77"/>
      <c r="M44" s="77"/>
      <c r="N44" s="77"/>
      <c r="O44" s="77"/>
      <c r="P44" s="77"/>
      <c r="Q44" s="77"/>
      <c r="R44" s="77"/>
      <c r="S44" s="77"/>
      <c r="T44" s="77"/>
      <c r="U44" s="77"/>
      <c r="V44" s="77"/>
    </row>
    <row r="45" spans="2:22" x14ac:dyDescent="0.25">
      <c r="B45" s="262"/>
      <c r="C45" s="73" t="s">
        <v>157</v>
      </c>
      <c r="D45" s="99"/>
      <c r="E45" s="75">
        <v>9.1</v>
      </c>
      <c r="F45" s="75"/>
      <c r="G45" s="75"/>
      <c r="H45" s="75"/>
      <c r="I45" s="75"/>
      <c r="J45" s="75"/>
      <c r="K45" s="75"/>
      <c r="L45" s="75"/>
      <c r="M45" s="75"/>
      <c r="N45" s="75"/>
      <c r="O45" s="75"/>
      <c r="P45" s="75"/>
      <c r="Q45" s="75"/>
      <c r="R45" s="75"/>
      <c r="S45" s="75"/>
      <c r="T45" s="75"/>
      <c r="U45" s="75"/>
      <c r="V45" s="75"/>
    </row>
    <row r="46" spans="2:22" x14ac:dyDescent="0.25">
      <c r="B46" s="262"/>
      <c r="C46" s="76" t="s">
        <v>158</v>
      </c>
      <c r="D46" s="100"/>
      <c r="E46" s="77">
        <v>5</v>
      </c>
      <c r="F46" s="77"/>
      <c r="G46" s="77"/>
      <c r="H46" s="77"/>
      <c r="I46" s="77"/>
      <c r="J46" s="77"/>
      <c r="K46" s="77"/>
      <c r="L46" s="77"/>
      <c r="M46" s="77"/>
      <c r="N46" s="77"/>
      <c r="O46" s="77"/>
      <c r="P46" s="77"/>
      <c r="Q46" s="77"/>
      <c r="R46" s="77"/>
      <c r="S46" s="77"/>
      <c r="T46" s="77"/>
      <c r="U46" s="77"/>
      <c r="V46" s="77"/>
    </row>
    <row r="47" spans="2:22" ht="18" customHeight="1" x14ac:dyDescent="0.25">
      <c r="B47" s="262"/>
      <c r="C47" s="73" t="s">
        <v>162</v>
      </c>
      <c r="D47" s="99"/>
      <c r="E47" s="75">
        <v>8.5</v>
      </c>
      <c r="F47" s="75"/>
      <c r="G47" s="75"/>
      <c r="H47" s="75"/>
      <c r="I47" s="75"/>
      <c r="J47" s="75"/>
      <c r="K47" s="75"/>
      <c r="L47" s="75"/>
      <c r="M47" s="75"/>
      <c r="N47" s="75"/>
      <c r="O47" s="75"/>
      <c r="P47" s="75"/>
      <c r="Q47" s="75"/>
      <c r="R47" s="75"/>
      <c r="S47" s="75"/>
      <c r="T47" s="75"/>
      <c r="U47" s="75"/>
      <c r="V47" s="75"/>
    </row>
    <row r="48" spans="2:22" x14ac:dyDescent="0.25">
      <c r="B48" s="262"/>
      <c r="C48" s="76" t="s">
        <v>408</v>
      </c>
      <c r="D48" s="100"/>
      <c r="E48" s="77">
        <v>0</v>
      </c>
      <c r="F48" s="77">
        <v>18.2</v>
      </c>
      <c r="G48" s="77">
        <v>42</v>
      </c>
      <c r="H48" s="77"/>
      <c r="I48" s="77"/>
      <c r="J48" s="77">
        <v>39.5</v>
      </c>
      <c r="K48" s="77"/>
      <c r="L48" s="77"/>
      <c r="M48" s="77"/>
      <c r="N48" s="77"/>
      <c r="O48" s="77"/>
      <c r="P48" s="77"/>
      <c r="Q48" s="77"/>
      <c r="R48" s="77"/>
      <c r="S48" s="77"/>
      <c r="T48" s="77">
        <v>7.5</v>
      </c>
      <c r="U48" s="77"/>
      <c r="V48" s="77"/>
    </row>
    <row r="49" spans="2:22" x14ac:dyDescent="0.25">
      <c r="B49" s="262"/>
      <c r="C49" s="73" t="s">
        <v>203</v>
      </c>
      <c r="D49" s="99">
        <f>93/40</f>
        <v>2.3250000000000002</v>
      </c>
      <c r="E49" s="75"/>
      <c r="F49" s="75">
        <v>7.6440000000000001</v>
      </c>
      <c r="G49" s="75">
        <v>17.5</v>
      </c>
      <c r="H49" s="75"/>
      <c r="I49" s="75"/>
      <c r="J49" s="75">
        <v>18</v>
      </c>
      <c r="K49" s="75">
        <v>7</v>
      </c>
      <c r="L49" s="75"/>
      <c r="M49" s="75">
        <v>0.1</v>
      </c>
      <c r="N49" s="75">
        <v>0.3</v>
      </c>
      <c r="O49" s="75">
        <v>5.5</v>
      </c>
      <c r="P49" s="75">
        <v>0.5</v>
      </c>
      <c r="Q49" s="75"/>
      <c r="R49" s="75"/>
      <c r="S49" s="75">
        <v>10</v>
      </c>
      <c r="T49" s="75"/>
      <c r="U49" s="75"/>
      <c r="V49" s="75"/>
    </row>
    <row r="50" spans="2:22" x14ac:dyDescent="0.25">
      <c r="B50" s="262"/>
      <c r="C50" s="76" t="s">
        <v>148</v>
      </c>
      <c r="D50" s="100">
        <f>145/50</f>
        <v>2.9</v>
      </c>
      <c r="E50" s="77"/>
      <c r="F50" s="77"/>
      <c r="G50" s="77"/>
      <c r="H50" s="77">
        <v>17.45</v>
      </c>
      <c r="I50" s="77">
        <v>21</v>
      </c>
      <c r="J50" s="77">
        <v>10</v>
      </c>
      <c r="K50" s="77">
        <v>21</v>
      </c>
      <c r="L50" s="77"/>
      <c r="M50" s="77"/>
      <c r="N50" s="77"/>
      <c r="O50" s="77"/>
      <c r="P50" s="77"/>
      <c r="Q50" s="77"/>
      <c r="R50" s="77"/>
      <c r="S50" s="77"/>
      <c r="T50" s="77"/>
      <c r="U50" s="77"/>
      <c r="V50" s="77"/>
    </row>
    <row r="51" spans="2:22" x14ac:dyDescent="0.25">
      <c r="B51" s="262"/>
      <c r="C51" s="73" t="s">
        <v>429</v>
      </c>
      <c r="D51" s="99">
        <f>49/25</f>
        <v>1.96</v>
      </c>
      <c r="E51" s="75"/>
      <c r="F51" s="75">
        <v>0</v>
      </c>
      <c r="G51" s="75"/>
      <c r="H51" s="75"/>
      <c r="I51" s="75"/>
      <c r="J51" s="75">
        <v>32</v>
      </c>
      <c r="K51" s="75">
        <v>2</v>
      </c>
      <c r="L51" s="75"/>
      <c r="M51" s="75"/>
      <c r="N51" s="75"/>
      <c r="O51" s="75"/>
      <c r="P51" s="75"/>
      <c r="Q51" s="75"/>
      <c r="R51" s="75"/>
      <c r="S51" s="75"/>
      <c r="T51" s="75"/>
      <c r="U51" s="75"/>
      <c r="V51" s="75"/>
    </row>
    <row r="52" spans="2:22" x14ac:dyDescent="0.25">
      <c r="B52" s="262"/>
      <c r="C52" s="77" t="s">
        <v>441</v>
      </c>
      <c r="D52" s="77">
        <f>76/50</f>
        <v>1.52</v>
      </c>
      <c r="E52" s="77">
        <v>6</v>
      </c>
      <c r="F52" s="77"/>
      <c r="G52" s="77"/>
      <c r="H52" s="77"/>
      <c r="I52" s="77"/>
      <c r="J52" s="77"/>
      <c r="K52" s="77"/>
      <c r="L52" s="77"/>
      <c r="M52" s="77"/>
      <c r="N52" s="77"/>
      <c r="O52" s="77"/>
      <c r="P52" s="77"/>
      <c r="Q52" s="77"/>
      <c r="R52" s="77"/>
      <c r="S52" s="77"/>
      <c r="T52" s="77"/>
      <c r="U52" s="77"/>
      <c r="V52" s="77"/>
    </row>
    <row r="53" spans="2:22" x14ac:dyDescent="0.25">
      <c r="B53" s="262"/>
      <c r="C53" s="73" t="s">
        <v>430</v>
      </c>
      <c r="D53" s="99">
        <v>1.6</v>
      </c>
      <c r="E53" s="75"/>
      <c r="F53" s="75"/>
      <c r="G53" s="75"/>
      <c r="H53" s="75"/>
      <c r="I53" s="75"/>
      <c r="J53" s="75"/>
      <c r="K53" s="75">
        <v>9.5</v>
      </c>
      <c r="L53" s="75">
        <v>12</v>
      </c>
      <c r="M53" s="75"/>
      <c r="N53" s="75"/>
      <c r="O53" s="75"/>
      <c r="P53" s="75"/>
      <c r="Q53" s="75"/>
      <c r="R53" s="75"/>
      <c r="S53" s="75"/>
      <c r="T53" s="75"/>
      <c r="U53" s="75"/>
      <c r="V53" s="75"/>
    </row>
    <row r="54" spans="2:22" x14ac:dyDescent="0.25">
      <c r="B54" s="261" t="s">
        <v>136</v>
      </c>
      <c r="C54" s="76" t="s">
        <v>105</v>
      </c>
      <c r="D54" s="100"/>
      <c r="E54" s="77"/>
      <c r="F54" s="77"/>
      <c r="G54" s="77"/>
      <c r="H54" s="77">
        <v>6.65</v>
      </c>
      <c r="I54" s="77">
        <v>8</v>
      </c>
      <c r="J54" s="77">
        <v>1.5</v>
      </c>
      <c r="K54" s="77">
        <v>0.2</v>
      </c>
      <c r="L54" s="77"/>
      <c r="M54" s="77">
        <v>6.4999999999999994E-5</v>
      </c>
      <c r="N54" s="77">
        <v>6.4999999999999994E-5</v>
      </c>
      <c r="O54" s="77">
        <v>1.25E-4</v>
      </c>
      <c r="P54" s="77">
        <v>1.4E-5</v>
      </c>
      <c r="Q54" s="77">
        <v>7.9999999999999996E-6</v>
      </c>
      <c r="R54" s="77"/>
      <c r="S54" s="77">
        <v>54</v>
      </c>
      <c r="T54" s="77"/>
      <c r="U54" s="77"/>
      <c r="V54" s="77"/>
    </row>
    <row r="55" spans="2:22" x14ac:dyDescent="0.25">
      <c r="B55" s="261"/>
      <c r="C55" s="73" t="s">
        <v>149</v>
      </c>
      <c r="D55" s="99"/>
      <c r="E55" s="75"/>
      <c r="F55" s="75">
        <v>12.67</v>
      </c>
      <c r="G55" s="75">
        <v>29</v>
      </c>
      <c r="H55" s="75"/>
      <c r="I55" s="75"/>
      <c r="J55" s="75"/>
      <c r="K55" s="75"/>
      <c r="L55" s="75"/>
      <c r="M55" s="75"/>
      <c r="N55" s="75"/>
      <c r="O55" s="75"/>
      <c r="P55" s="75"/>
      <c r="Q55" s="75"/>
      <c r="R55" s="75"/>
      <c r="S55" s="75"/>
      <c r="T55" s="75"/>
      <c r="U55" s="75"/>
      <c r="V55" s="75"/>
    </row>
    <row r="56" spans="2:22" x14ac:dyDescent="0.25">
      <c r="B56" s="261"/>
      <c r="C56" s="76" t="s">
        <v>150</v>
      </c>
      <c r="D56" s="100"/>
      <c r="E56" s="77"/>
      <c r="F56" s="77">
        <v>13.11</v>
      </c>
      <c r="G56" s="77">
        <v>30</v>
      </c>
      <c r="H56" s="77"/>
      <c r="I56" s="77"/>
      <c r="J56" s="77"/>
      <c r="K56" s="77"/>
      <c r="L56" s="77"/>
      <c r="M56" s="77"/>
      <c r="N56" s="77"/>
      <c r="O56" s="77"/>
      <c r="P56" s="77"/>
      <c r="Q56" s="77"/>
      <c r="R56" s="77"/>
      <c r="S56" s="77"/>
      <c r="T56" s="77"/>
      <c r="U56" s="77"/>
      <c r="V56" s="77"/>
    </row>
    <row r="57" spans="2:22" x14ac:dyDescent="0.25">
      <c r="B57" s="261"/>
      <c r="C57" s="73" t="s">
        <v>151</v>
      </c>
      <c r="D57" s="99"/>
      <c r="E57" s="75"/>
      <c r="F57" s="75">
        <v>11.8</v>
      </c>
      <c r="G57" s="75">
        <v>27</v>
      </c>
      <c r="H57" s="75"/>
      <c r="I57" s="75"/>
      <c r="J57" s="75"/>
      <c r="K57" s="75"/>
      <c r="L57" s="75"/>
      <c r="M57" s="75"/>
      <c r="N57" s="75"/>
      <c r="O57" s="75"/>
      <c r="P57" s="75"/>
      <c r="Q57" s="75"/>
      <c r="R57" s="75"/>
      <c r="S57" s="75"/>
      <c r="T57" s="75"/>
      <c r="U57" s="75"/>
      <c r="V57" s="75"/>
    </row>
    <row r="58" spans="2:22" x14ac:dyDescent="0.25">
      <c r="B58" s="261"/>
      <c r="C58" s="76" t="s">
        <v>152</v>
      </c>
      <c r="D58" s="100"/>
      <c r="E58" s="77"/>
      <c r="F58" s="77">
        <v>6.1150000000000002</v>
      </c>
      <c r="G58" s="77">
        <v>14</v>
      </c>
      <c r="H58" s="77"/>
      <c r="I58" s="77"/>
      <c r="J58" s="77"/>
      <c r="K58" s="77"/>
      <c r="L58" s="77"/>
      <c r="M58" s="77"/>
      <c r="N58" s="77"/>
      <c r="O58" s="77"/>
      <c r="P58" s="77"/>
      <c r="Q58" s="77"/>
      <c r="R58" s="77"/>
      <c r="S58" s="77"/>
      <c r="T58" s="77"/>
      <c r="U58" s="77"/>
      <c r="V58" s="77"/>
    </row>
    <row r="59" spans="2:22" x14ac:dyDescent="0.25">
      <c r="B59" s="261"/>
      <c r="C59" s="73" t="s">
        <v>146</v>
      </c>
      <c r="D59" s="99"/>
      <c r="E59" s="75"/>
      <c r="F59" s="75">
        <v>6.1150000000000002</v>
      </c>
      <c r="G59" s="75">
        <v>14</v>
      </c>
      <c r="H59" s="75"/>
      <c r="I59" s="75"/>
      <c r="J59" s="75">
        <v>12</v>
      </c>
      <c r="K59" s="75"/>
      <c r="L59" s="75"/>
      <c r="M59" s="75"/>
      <c r="N59" s="75"/>
      <c r="O59" s="75"/>
      <c r="P59" s="75"/>
      <c r="Q59" s="75"/>
      <c r="R59" s="75"/>
      <c r="S59" s="75"/>
      <c r="T59" s="75"/>
      <c r="U59" s="75"/>
      <c r="V59" s="75"/>
    </row>
    <row r="60" spans="2:22" x14ac:dyDescent="0.25">
      <c r="B60" s="261"/>
      <c r="C60" s="76" t="s">
        <v>255</v>
      </c>
      <c r="D60" s="100"/>
      <c r="E60" s="77"/>
      <c r="F60" s="77"/>
      <c r="G60" s="77"/>
      <c r="H60" s="77">
        <v>18.27</v>
      </c>
      <c r="I60" s="77">
        <v>22</v>
      </c>
      <c r="J60" s="77"/>
      <c r="K60" s="77">
        <v>11</v>
      </c>
      <c r="L60" s="77">
        <v>22</v>
      </c>
      <c r="M60" s="77"/>
      <c r="N60" s="77"/>
      <c r="O60" s="77"/>
      <c r="P60" s="77"/>
      <c r="Q60" s="77"/>
      <c r="R60" s="77"/>
      <c r="S60" s="77"/>
      <c r="T60" s="77"/>
      <c r="U60" s="77"/>
      <c r="V60" s="77"/>
    </row>
    <row r="61" spans="2:22" x14ac:dyDescent="0.25">
      <c r="B61" s="261"/>
      <c r="C61" s="73"/>
      <c r="D61" s="99"/>
      <c r="E61" s="75"/>
      <c r="F61" s="75"/>
      <c r="G61" s="75"/>
      <c r="H61" s="75"/>
      <c r="I61" s="75"/>
      <c r="J61" s="75"/>
      <c r="K61" s="75"/>
      <c r="L61" s="75"/>
      <c r="M61" s="75"/>
      <c r="N61" s="75"/>
      <c r="O61" s="75"/>
      <c r="P61" s="75"/>
      <c r="Q61" s="75"/>
      <c r="R61" s="75"/>
      <c r="S61" s="75"/>
      <c r="T61" s="75"/>
      <c r="U61" s="75"/>
      <c r="V61" s="75"/>
    </row>
    <row r="62" spans="2:22" x14ac:dyDescent="0.25">
      <c r="B62" s="261"/>
      <c r="C62" s="76"/>
      <c r="D62" s="100"/>
      <c r="E62" s="77"/>
      <c r="F62" s="77"/>
      <c r="G62" s="77"/>
      <c r="H62" s="77"/>
      <c r="I62" s="77"/>
      <c r="J62" s="77"/>
      <c r="K62" s="77"/>
      <c r="L62" s="77"/>
      <c r="M62" s="77"/>
      <c r="N62" s="77"/>
      <c r="O62" s="77"/>
      <c r="P62" s="77"/>
      <c r="Q62" s="77"/>
      <c r="R62" s="77"/>
      <c r="S62" s="77"/>
      <c r="T62" s="77"/>
      <c r="U62" s="77"/>
      <c r="V62" s="77"/>
    </row>
    <row r="63" spans="2:22" x14ac:dyDescent="0.25">
      <c r="B63" s="260" t="s">
        <v>256</v>
      </c>
      <c r="C63" s="73" t="s">
        <v>142</v>
      </c>
      <c r="D63" s="99">
        <f>120/1000</f>
        <v>0.12</v>
      </c>
      <c r="E63" s="75"/>
      <c r="F63" s="75">
        <v>4.4999999999999998E-2</v>
      </c>
      <c r="G63" s="75">
        <v>0.1</v>
      </c>
      <c r="H63" s="75">
        <v>4.32</v>
      </c>
      <c r="I63" s="75">
        <v>5.2</v>
      </c>
      <c r="J63" s="75">
        <v>1.2587412587412588</v>
      </c>
      <c r="K63" s="75">
        <v>1.1627906976744187</v>
      </c>
      <c r="L63" s="75"/>
      <c r="M63" s="75"/>
      <c r="N63" s="75"/>
      <c r="O63" s="75"/>
      <c r="P63" s="75"/>
      <c r="Q63" s="75"/>
      <c r="R63" s="75"/>
      <c r="S63" s="75"/>
      <c r="T63" s="75"/>
      <c r="U63" s="75"/>
      <c r="V63" s="75"/>
    </row>
    <row r="64" spans="2:22" x14ac:dyDescent="0.25">
      <c r="B64" s="260"/>
      <c r="C64" s="76" t="s">
        <v>143</v>
      </c>
      <c r="D64" s="100"/>
      <c r="E64" s="77"/>
      <c r="F64" s="77">
        <v>4.4999999999999998E-2</v>
      </c>
      <c r="G64" s="77">
        <v>0.1</v>
      </c>
      <c r="H64" s="77">
        <v>2.1949999999999998</v>
      </c>
      <c r="I64" s="77">
        <v>2.6</v>
      </c>
      <c r="J64" s="77">
        <v>18.741258741258743</v>
      </c>
      <c r="K64" s="77">
        <v>12.44186046511628</v>
      </c>
      <c r="L64" s="77"/>
      <c r="M64" s="77"/>
      <c r="N64" s="77"/>
      <c r="O64" s="77"/>
      <c r="P64" s="77"/>
      <c r="Q64" s="77"/>
      <c r="R64" s="77"/>
      <c r="S64" s="77">
        <v>43.8</v>
      </c>
      <c r="T64" s="77"/>
      <c r="U64" s="77"/>
      <c r="V64" s="77"/>
    </row>
    <row r="65" spans="2:22" x14ac:dyDescent="0.25">
      <c r="B65" s="260"/>
      <c r="C65" s="73" t="s">
        <v>144</v>
      </c>
      <c r="D65" s="99"/>
      <c r="E65" s="75"/>
      <c r="F65" s="75"/>
      <c r="G65" s="75"/>
      <c r="H65" s="75">
        <v>4.99</v>
      </c>
      <c r="I65" s="75">
        <v>6</v>
      </c>
      <c r="J65" s="75">
        <v>4.1958041958041958</v>
      </c>
      <c r="K65" s="75">
        <v>0.83056478405315615</v>
      </c>
      <c r="L65" s="75"/>
      <c r="M65" s="75"/>
      <c r="N65" s="75"/>
      <c r="O65" s="75"/>
      <c r="P65" s="75"/>
      <c r="Q65" s="75"/>
      <c r="R65" s="75"/>
      <c r="S65" s="75"/>
      <c r="T65" s="75"/>
      <c r="U65" s="75"/>
      <c r="V65" s="75"/>
    </row>
    <row r="66" spans="2:22" x14ac:dyDescent="0.25">
      <c r="B66" s="260"/>
      <c r="C66" s="76" t="s">
        <v>147</v>
      </c>
      <c r="D66" s="100"/>
      <c r="E66" s="77"/>
      <c r="F66" s="77">
        <v>8.7999999999999995E-2</v>
      </c>
      <c r="G66" s="77">
        <v>0.2</v>
      </c>
      <c r="H66" s="77">
        <v>2.83</v>
      </c>
      <c r="I66" s="77">
        <v>3.4</v>
      </c>
      <c r="J66" s="77">
        <v>2.5174825174825175</v>
      </c>
      <c r="K66" s="77">
        <v>7.6411960132890364</v>
      </c>
      <c r="L66" s="77"/>
      <c r="M66" s="77"/>
      <c r="N66" s="77"/>
      <c r="O66" s="77"/>
      <c r="P66" s="77"/>
      <c r="Q66" s="77"/>
      <c r="R66" s="77"/>
      <c r="S66" s="77">
        <v>57.8</v>
      </c>
      <c r="T66" s="77"/>
      <c r="U66" s="77"/>
      <c r="V66" s="77"/>
    </row>
    <row r="67" spans="2:22" x14ac:dyDescent="0.25">
      <c r="B67" s="260"/>
      <c r="C67" s="73" t="s">
        <v>141</v>
      </c>
      <c r="D67" s="99"/>
      <c r="E67" s="75"/>
      <c r="F67" s="75">
        <v>1.5069999999999999</v>
      </c>
      <c r="G67" s="75">
        <v>3.5</v>
      </c>
      <c r="H67" s="75">
        <v>3.3250000000000002</v>
      </c>
      <c r="I67" s="75">
        <v>4</v>
      </c>
      <c r="J67" s="75">
        <v>2.86</v>
      </c>
      <c r="K67" s="75"/>
      <c r="L67" s="75"/>
      <c r="M67" s="75"/>
      <c r="N67" s="75"/>
      <c r="O67" s="75"/>
      <c r="P67" s="75"/>
      <c r="Q67" s="75"/>
      <c r="R67" s="75"/>
      <c r="S67" s="75"/>
      <c r="T67" s="75"/>
      <c r="U67" s="75"/>
      <c r="V67" s="75"/>
    </row>
    <row r="68" spans="2:22" x14ac:dyDescent="0.25">
      <c r="B68" s="260"/>
      <c r="C68" s="76"/>
      <c r="D68" s="100"/>
      <c r="E68" s="77"/>
      <c r="F68" s="77"/>
      <c r="G68" s="77"/>
      <c r="H68" s="77"/>
      <c r="I68" s="77"/>
      <c r="J68" s="77"/>
      <c r="K68" s="77"/>
      <c r="L68" s="77"/>
      <c r="M68" s="77"/>
      <c r="N68" s="77"/>
      <c r="O68" s="77"/>
      <c r="P68" s="77"/>
      <c r="Q68" s="77"/>
      <c r="R68" s="77"/>
      <c r="S68" s="77"/>
      <c r="T68" s="77"/>
      <c r="U68" s="77"/>
      <c r="V68" s="77"/>
    </row>
    <row r="69" spans="2:22" x14ac:dyDescent="0.25">
      <c r="B69" s="260"/>
      <c r="C69" s="73"/>
      <c r="D69" s="99"/>
      <c r="E69" s="75"/>
      <c r="F69" s="75"/>
      <c r="G69" s="75"/>
      <c r="H69" s="75"/>
      <c r="I69" s="75"/>
      <c r="J69" s="75"/>
      <c r="K69" s="75"/>
      <c r="L69" s="75"/>
      <c r="M69" s="75"/>
      <c r="N69" s="75"/>
      <c r="O69" s="75"/>
      <c r="P69" s="75"/>
      <c r="Q69" s="75"/>
      <c r="R69" s="75"/>
      <c r="S69" s="75"/>
      <c r="T69" s="75"/>
      <c r="U69" s="75"/>
      <c r="V69" s="75"/>
    </row>
    <row r="70" spans="2:22" x14ac:dyDescent="0.25">
      <c r="B70" s="260"/>
      <c r="C70" s="76"/>
      <c r="D70" s="100"/>
      <c r="E70" s="77"/>
      <c r="F70" s="77"/>
      <c r="G70" s="77"/>
      <c r="H70" s="77"/>
      <c r="I70" s="77"/>
      <c r="J70" s="77"/>
      <c r="K70" s="77"/>
      <c r="L70" s="77"/>
      <c r="M70" s="77"/>
      <c r="N70" s="77"/>
      <c r="O70" s="77"/>
      <c r="P70" s="77"/>
      <c r="Q70" s="77"/>
      <c r="R70" s="77"/>
      <c r="S70" s="77"/>
      <c r="T70" s="77"/>
      <c r="U70" s="77"/>
      <c r="V70" s="77"/>
    </row>
    <row r="71" spans="2:22" x14ac:dyDescent="0.25">
      <c r="B71" s="260"/>
      <c r="C71" s="73"/>
      <c r="D71" s="99"/>
      <c r="E71" s="75"/>
      <c r="F71" s="75"/>
      <c r="G71" s="75"/>
      <c r="H71" s="75"/>
      <c r="I71" s="75"/>
      <c r="J71" s="75"/>
      <c r="K71" s="75"/>
      <c r="L71" s="75"/>
      <c r="M71" s="75"/>
      <c r="N71" s="75"/>
      <c r="O71" s="75"/>
      <c r="P71" s="75"/>
      <c r="Q71" s="75"/>
      <c r="R71" s="75"/>
      <c r="S71" s="75"/>
      <c r="T71" s="75"/>
      <c r="U71" s="75"/>
      <c r="V71" s="75"/>
    </row>
    <row r="72" spans="2:22" x14ac:dyDescent="0.25">
      <c r="B72" s="260"/>
      <c r="C72" s="76"/>
      <c r="D72" s="100"/>
      <c r="E72" s="77"/>
      <c r="F72" s="77"/>
      <c r="G72" s="77"/>
      <c r="H72" s="77"/>
      <c r="I72" s="77"/>
      <c r="J72" s="77"/>
      <c r="K72" s="77"/>
      <c r="L72" s="77"/>
      <c r="M72" s="77"/>
      <c r="N72" s="77"/>
      <c r="O72" s="77"/>
      <c r="P72" s="77"/>
      <c r="Q72" s="77"/>
      <c r="R72" s="77"/>
      <c r="S72" s="77"/>
      <c r="T72" s="77"/>
      <c r="U72" s="77"/>
      <c r="V72" s="77"/>
    </row>
    <row r="73" spans="2:22" x14ac:dyDescent="0.25">
      <c r="B73" s="262" t="s">
        <v>123</v>
      </c>
      <c r="C73" s="73" t="s">
        <v>285</v>
      </c>
      <c r="D73" s="99">
        <f>138/25</f>
        <v>5.52</v>
      </c>
      <c r="E73" s="75">
        <v>0</v>
      </c>
      <c r="F73" s="75">
        <v>0</v>
      </c>
      <c r="G73" s="75">
        <v>0</v>
      </c>
      <c r="H73" s="75">
        <v>0</v>
      </c>
      <c r="I73" s="75">
        <v>0</v>
      </c>
      <c r="J73" s="75">
        <v>0</v>
      </c>
      <c r="K73" s="75">
        <v>0</v>
      </c>
      <c r="L73" s="75">
        <v>0</v>
      </c>
      <c r="M73" s="75">
        <v>17.5</v>
      </c>
      <c r="N73" s="75">
        <v>0</v>
      </c>
      <c r="O73" s="75">
        <v>0</v>
      </c>
      <c r="P73" s="75">
        <v>0</v>
      </c>
      <c r="Q73" s="75">
        <v>0</v>
      </c>
      <c r="R73" s="75">
        <v>0</v>
      </c>
      <c r="S73" s="75"/>
      <c r="T73" s="75"/>
      <c r="U73" s="75"/>
      <c r="V73" s="75"/>
    </row>
    <row r="74" spans="2:22" x14ac:dyDescent="0.25">
      <c r="B74" s="262"/>
      <c r="C74" s="76" t="s">
        <v>431</v>
      </c>
      <c r="D74" s="100">
        <f>96/25</f>
        <v>3.84</v>
      </c>
      <c r="E74" s="77"/>
      <c r="F74" s="77"/>
      <c r="G74" s="77"/>
      <c r="H74" s="77"/>
      <c r="I74" s="77"/>
      <c r="J74" s="77"/>
      <c r="K74" s="77"/>
      <c r="L74" s="77"/>
      <c r="M74" s="77">
        <v>10.5</v>
      </c>
      <c r="N74" s="77"/>
      <c r="O74" s="77"/>
      <c r="P74" s="77"/>
      <c r="Q74" s="77"/>
      <c r="R74" s="77"/>
      <c r="S74" s="77"/>
      <c r="T74" s="77"/>
      <c r="U74" s="77"/>
      <c r="V74" s="77"/>
    </row>
    <row r="75" spans="2:22" x14ac:dyDescent="0.25">
      <c r="B75" s="262"/>
      <c r="C75" s="73" t="s">
        <v>443</v>
      </c>
      <c r="D75" s="99">
        <v>40</v>
      </c>
      <c r="E75" s="75"/>
      <c r="F75" s="75"/>
      <c r="G75" s="75"/>
      <c r="H75" s="75"/>
      <c r="I75" s="75"/>
      <c r="J75" s="75"/>
      <c r="K75" s="75">
        <v>1.5</v>
      </c>
      <c r="L75" s="75">
        <v>10</v>
      </c>
      <c r="M75" s="75">
        <v>2</v>
      </c>
      <c r="N75" s="75">
        <v>5</v>
      </c>
      <c r="O75" s="75">
        <v>6</v>
      </c>
      <c r="P75" s="75"/>
      <c r="Q75" s="75">
        <v>0.5</v>
      </c>
      <c r="R75" s="75"/>
      <c r="S75" s="75"/>
      <c r="T75" s="75"/>
      <c r="U75" s="75"/>
      <c r="V75" s="75"/>
    </row>
    <row r="76" spans="2:22" x14ac:dyDescent="0.25">
      <c r="B76" s="262"/>
      <c r="C76" s="76" t="s">
        <v>444</v>
      </c>
      <c r="D76" s="100">
        <f>77*2</f>
        <v>154</v>
      </c>
      <c r="E76" s="77"/>
      <c r="F76" s="77"/>
      <c r="G76" s="77"/>
      <c r="H76" s="77"/>
      <c r="I76" s="77"/>
      <c r="J76" s="77"/>
      <c r="K76" s="77"/>
      <c r="L76" s="77"/>
      <c r="M76" s="77"/>
      <c r="N76" s="77"/>
      <c r="O76" s="77"/>
      <c r="P76" s="77"/>
      <c r="Q76" s="77">
        <v>39</v>
      </c>
      <c r="R76" s="77"/>
      <c r="S76" s="77"/>
      <c r="T76" s="77"/>
      <c r="U76" s="77"/>
      <c r="V76" s="77"/>
    </row>
    <row r="77" spans="2:22" x14ac:dyDescent="0.25">
      <c r="B77" s="262"/>
      <c r="C77" s="73" t="s">
        <v>231</v>
      </c>
      <c r="D77" s="99">
        <f>276/25</f>
        <v>11.04</v>
      </c>
      <c r="E77" s="75"/>
      <c r="F77" s="75"/>
      <c r="G77" s="75"/>
      <c r="H77" s="75"/>
      <c r="I77" s="75"/>
      <c r="J77" s="75"/>
      <c r="K77" s="75"/>
      <c r="L77" s="75">
        <v>12</v>
      </c>
      <c r="M77" s="75"/>
      <c r="N77" s="75"/>
      <c r="O77" s="75"/>
      <c r="P77" s="75">
        <v>25</v>
      </c>
      <c r="Q77" s="75"/>
      <c r="R77" s="75"/>
      <c r="S77" s="75"/>
      <c r="T77" s="75"/>
      <c r="U77" s="75"/>
      <c r="V77" s="75"/>
    </row>
    <row r="78" spans="2:22" x14ac:dyDescent="0.25">
      <c r="B78" s="262"/>
      <c r="C78" s="76" t="s">
        <v>96</v>
      </c>
      <c r="D78" s="100">
        <f>168/25</f>
        <v>6.72</v>
      </c>
      <c r="E78" s="77"/>
      <c r="F78" s="77"/>
      <c r="G78" s="77"/>
      <c r="H78" s="77"/>
      <c r="I78" s="77"/>
      <c r="J78" s="77"/>
      <c r="K78" s="77"/>
      <c r="L78" s="77">
        <v>21</v>
      </c>
      <c r="M78" s="77"/>
      <c r="N78" s="77">
        <v>26</v>
      </c>
      <c r="O78" s="77"/>
      <c r="P78" s="77"/>
      <c r="Q78" s="77"/>
      <c r="R78" s="77"/>
      <c r="S78" s="77"/>
      <c r="T78" s="77"/>
      <c r="U78" s="77"/>
      <c r="V78" s="77"/>
    </row>
    <row r="79" spans="2:22" x14ac:dyDescent="0.25">
      <c r="B79" s="262"/>
      <c r="C79" s="73" t="s">
        <v>97</v>
      </c>
      <c r="D79" s="99">
        <f>154/25</f>
        <v>6.16</v>
      </c>
      <c r="E79" s="75"/>
      <c r="F79" s="75"/>
      <c r="G79" s="75"/>
      <c r="H79" s="75"/>
      <c r="I79" s="75"/>
      <c r="J79" s="75"/>
      <c r="K79" s="75"/>
      <c r="L79" s="75">
        <v>17</v>
      </c>
      <c r="M79" s="75"/>
      <c r="N79" s="75"/>
      <c r="O79" s="75">
        <v>35</v>
      </c>
      <c r="P79" s="75"/>
      <c r="Q79" s="75"/>
      <c r="R79" s="75"/>
      <c r="S79" s="75"/>
      <c r="T79" s="75"/>
      <c r="U79" s="75"/>
      <c r="V79" s="75"/>
    </row>
    <row r="80" spans="2:22" x14ac:dyDescent="0.25">
      <c r="B80" s="262"/>
      <c r="C80" s="76" t="s">
        <v>445</v>
      </c>
      <c r="D80" s="100">
        <v>78</v>
      </c>
      <c r="E80" s="77"/>
      <c r="F80" s="77"/>
      <c r="G80" s="77"/>
      <c r="H80" s="77"/>
      <c r="I80" s="77"/>
      <c r="J80" s="77"/>
      <c r="K80" s="77"/>
      <c r="L80" s="77"/>
      <c r="M80" s="77"/>
      <c r="N80" s="77"/>
      <c r="O80" s="77"/>
      <c r="P80" s="77"/>
      <c r="Q80" s="77"/>
      <c r="R80" s="77">
        <v>6</v>
      </c>
      <c r="S80" s="77"/>
      <c r="T80" s="77"/>
      <c r="U80" s="77"/>
      <c r="V80" s="77"/>
    </row>
    <row r="81" spans="2:22" x14ac:dyDescent="0.25">
      <c r="B81" s="262"/>
      <c r="C81" s="73" t="s">
        <v>137</v>
      </c>
      <c r="D81" s="99"/>
      <c r="E81" s="75"/>
      <c r="F81" s="75"/>
      <c r="G81" s="75"/>
      <c r="H81" s="75"/>
      <c r="I81" s="75"/>
      <c r="J81" s="75"/>
      <c r="K81" s="75"/>
      <c r="L81" s="75">
        <v>3.9</v>
      </c>
      <c r="M81" s="75">
        <v>1.8</v>
      </c>
      <c r="N81" s="75">
        <v>2</v>
      </c>
      <c r="O81" s="75">
        <v>9</v>
      </c>
      <c r="P81" s="75">
        <v>0.85</v>
      </c>
      <c r="Q81" s="75"/>
      <c r="R81" s="75"/>
      <c r="S81" s="75"/>
      <c r="T81" s="75"/>
      <c r="U81" s="75"/>
      <c r="V81" s="75"/>
    </row>
    <row r="82" spans="2:22" x14ac:dyDescent="0.25">
      <c r="B82" s="262"/>
      <c r="C82" s="76" t="s">
        <v>421</v>
      </c>
      <c r="D82" s="100">
        <v>2.72</v>
      </c>
      <c r="E82" s="77"/>
      <c r="F82" s="77"/>
      <c r="G82" s="77"/>
      <c r="H82" s="77"/>
      <c r="I82" s="77"/>
      <c r="J82" s="77">
        <v>1.5</v>
      </c>
      <c r="K82" s="77"/>
      <c r="L82" s="77">
        <v>3.2</v>
      </c>
      <c r="M82" s="77">
        <v>1.8</v>
      </c>
      <c r="N82" s="77">
        <v>2.1</v>
      </c>
      <c r="O82" s="77">
        <v>9</v>
      </c>
      <c r="P82" s="77">
        <v>0.85</v>
      </c>
      <c r="Q82" s="77">
        <v>0.1</v>
      </c>
      <c r="R82" s="77"/>
      <c r="S82" s="77"/>
      <c r="T82" s="77"/>
      <c r="U82" s="77"/>
      <c r="V82" s="77"/>
    </row>
    <row r="83" spans="2:22" x14ac:dyDescent="0.25">
      <c r="B83" s="78"/>
      <c r="C83" s="79" t="s">
        <v>129</v>
      </c>
      <c r="D83" s="79"/>
      <c r="E83" s="80">
        <v>32</v>
      </c>
      <c r="F83" s="80">
        <v>15</v>
      </c>
      <c r="G83" s="80">
        <v>94</v>
      </c>
    </row>
    <row r="84" spans="2:22" x14ac:dyDescent="0.25">
      <c r="B84" s="78"/>
      <c r="C84" s="79" t="s">
        <v>130</v>
      </c>
      <c r="D84" s="79"/>
      <c r="E84" s="80">
        <v>51.6</v>
      </c>
      <c r="F84" s="80">
        <v>2</v>
      </c>
      <c r="G84" s="80">
        <v>82.1</v>
      </c>
    </row>
    <row r="85" spans="2:22" x14ac:dyDescent="0.25">
      <c r="B85" s="263" t="s">
        <v>124</v>
      </c>
      <c r="C85" s="263" t="s">
        <v>76</v>
      </c>
      <c r="D85" s="263" t="s">
        <v>77</v>
      </c>
      <c r="E85" s="263" t="s">
        <v>78</v>
      </c>
      <c r="F85" s="263"/>
      <c r="G85" s="263"/>
      <c r="H85" s="263"/>
      <c r="I85" s="70"/>
      <c r="J85" s="70"/>
      <c r="K85" s="70"/>
      <c r="L85" s="70"/>
    </row>
    <row r="86" spans="2:22" ht="36" x14ac:dyDescent="0.25">
      <c r="B86" s="263"/>
      <c r="C86" s="263"/>
      <c r="D86" s="263"/>
      <c r="E86" s="232" t="s">
        <v>98</v>
      </c>
      <c r="F86" s="232" t="s">
        <v>99</v>
      </c>
      <c r="G86" s="232" t="s">
        <v>100</v>
      </c>
      <c r="H86" s="232" t="s">
        <v>176</v>
      </c>
      <c r="I86" s="70"/>
      <c r="J86" s="70"/>
      <c r="K86" s="70"/>
      <c r="L86" s="70"/>
    </row>
    <row r="87" spans="2:22" x14ac:dyDescent="0.25">
      <c r="B87" s="265" t="s">
        <v>166</v>
      </c>
      <c r="C87" s="81" t="s">
        <v>125</v>
      </c>
      <c r="D87" s="82"/>
      <c r="E87" s="82">
        <v>51.8</v>
      </c>
      <c r="F87" s="82">
        <v>1</v>
      </c>
      <c r="G87" s="82">
        <v>90.16</v>
      </c>
      <c r="H87" s="82">
        <f t="shared" ref="H87:H99" si="0">E87+F87</f>
        <v>52.8</v>
      </c>
      <c r="I87" s="70"/>
      <c r="J87" s="70"/>
      <c r="K87" s="70"/>
      <c r="L87" s="70"/>
    </row>
    <row r="88" spans="2:22" x14ac:dyDescent="0.25">
      <c r="B88" s="265"/>
      <c r="C88" s="81" t="s">
        <v>126</v>
      </c>
      <c r="D88" s="82"/>
      <c r="E88" s="82">
        <v>28.8</v>
      </c>
      <c r="F88" s="82">
        <v>17.399999999999999</v>
      </c>
      <c r="G88" s="82">
        <v>89.01</v>
      </c>
      <c r="H88" s="82">
        <f t="shared" si="0"/>
        <v>46.2</v>
      </c>
      <c r="I88" s="70"/>
      <c r="J88" s="70"/>
      <c r="K88" s="70"/>
      <c r="L88" s="70"/>
    </row>
    <row r="89" spans="2:22" x14ac:dyDescent="0.25">
      <c r="B89" s="265"/>
      <c r="C89" s="81" t="s">
        <v>127</v>
      </c>
      <c r="D89" s="82"/>
      <c r="E89" s="82">
        <v>41.78</v>
      </c>
      <c r="F89" s="82">
        <v>2.2200000000000002</v>
      </c>
      <c r="G89" s="82">
        <v>80.239999999999995</v>
      </c>
      <c r="H89" s="82">
        <f t="shared" si="0"/>
        <v>44</v>
      </c>
      <c r="I89" s="70"/>
      <c r="J89" s="70"/>
      <c r="K89" s="70"/>
      <c r="L89" s="70"/>
    </row>
    <row r="90" spans="2:22" x14ac:dyDescent="0.25">
      <c r="B90" s="265"/>
      <c r="C90" s="81" t="s">
        <v>128</v>
      </c>
      <c r="D90" s="82"/>
      <c r="E90" s="82">
        <v>28</v>
      </c>
      <c r="F90" s="82">
        <v>15</v>
      </c>
      <c r="G90" s="82">
        <v>80</v>
      </c>
      <c r="H90" s="82">
        <f t="shared" si="0"/>
        <v>43</v>
      </c>
      <c r="I90" s="70"/>
      <c r="J90" s="70"/>
      <c r="K90" s="70"/>
      <c r="L90" s="70"/>
    </row>
    <row r="91" spans="2:22" x14ac:dyDescent="0.25">
      <c r="B91" s="265"/>
      <c r="C91" s="81" t="s">
        <v>129</v>
      </c>
      <c r="D91" s="82"/>
      <c r="E91" s="82">
        <v>32</v>
      </c>
      <c r="F91" s="82">
        <v>15</v>
      </c>
      <c r="G91" s="82">
        <v>94</v>
      </c>
      <c r="H91" s="82">
        <f t="shared" si="0"/>
        <v>47</v>
      </c>
      <c r="I91" s="70"/>
      <c r="J91" s="70"/>
      <c r="K91" s="70"/>
      <c r="L91" s="70"/>
    </row>
    <row r="92" spans="2:22" x14ac:dyDescent="0.25">
      <c r="B92" s="265"/>
      <c r="C92" s="81" t="s">
        <v>130</v>
      </c>
      <c r="D92" s="82"/>
      <c r="E92" s="82">
        <v>51.6</v>
      </c>
      <c r="F92" s="82">
        <v>2</v>
      </c>
      <c r="G92" s="82">
        <v>82.1</v>
      </c>
      <c r="H92" s="82">
        <f t="shared" si="0"/>
        <v>53.6</v>
      </c>
      <c r="I92" s="70"/>
      <c r="J92" s="70"/>
      <c r="K92" s="70"/>
      <c r="L92" s="268" t="s">
        <v>410</v>
      </c>
      <c r="M92" s="268"/>
      <c r="N92" s="269">
        <v>44004</v>
      </c>
      <c r="O92" s="270"/>
    </row>
    <row r="93" spans="2:22" x14ac:dyDescent="0.25">
      <c r="B93" s="265"/>
      <c r="C93" s="81" t="s">
        <v>131</v>
      </c>
      <c r="D93" s="82"/>
      <c r="E93" s="82">
        <v>29.7</v>
      </c>
      <c r="F93" s="82">
        <v>21.6</v>
      </c>
      <c r="G93" s="82">
        <v>99.3</v>
      </c>
      <c r="H93" s="82">
        <f t="shared" si="0"/>
        <v>51.3</v>
      </c>
      <c r="I93" s="70"/>
      <c r="J93" s="70"/>
      <c r="K93" s="70"/>
    </row>
    <row r="94" spans="2:22" x14ac:dyDescent="0.25">
      <c r="B94" s="265"/>
      <c r="C94" s="81" t="s">
        <v>409</v>
      </c>
      <c r="D94" s="82"/>
      <c r="E94" s="82">
        <v>40</v>
      </c>
      <c r="F94" s="82">
        <v>20</v>
      </c>
      <c r="G94" s="82">
        <v>96</v>
      </c>
      <c r="H94" s="82">
        <f t="shared" si="0"/>
        <v>60</v>
      </c>
      <c r="I94" s="70"/>
      <c r="J94" s="70"/>
      <c r="K94" s="70"/>
      <c r="L94" s="268" t="s">
        <v>411</v>
      </c>
      <c r="M94" s="268"/>
      <c r="N94" s="269" t="s">
        <v>412</v>
      </c>
      <c r="O94" s="270"/>
    </row>
    <row r="95" spans="2:22" x14ac:dyDescent="0.25">
      <c r="B95" s="265"/>
      <c r="C95" s="81" t="s">
        <v>132</v>
      </c>
      <c r="D95" s="82"/>
      <c r="E95" s="82">
        <v>34.299999999999997</v>
      </c>
      <c r="F95" s="82">
        <v>16.2</v>
      </c>
      <c r="G95" s="82">
        <v>95.25</v>
      </c>
      <c r="H95" s="82">
        <f t="shared" si="0"/>
        <v>50.5</v>
      </c>
      <c r="I95" s="70"/>
      <c r="J95" s="70"/>
      <c r="K95" s="70"/>
      <c r="L95" s="70"/>
    </row>
    <row r="96" spans="2:22" x14ac:dyDescent="0.25">
      <c r="B96" s="265"/>
      <c r="C96" s="81" t="s">
        <v>135</v>
      </c>
      <c r="D96" s="82"/>
      <c r="E96" s="82">
        <v>53.2</v>
      </c>
      <c r="F96" s="82">
        <v>1</v>
      </c>
      <c r="G96" s="82">
        <v>90.52</v>
      </c>
      <c r="H96" s="82">
        <f t="shared" si="0"/>
        <v>54.2</v>
      </c>
      <c r="I96" s="70"/>
      <c r="J96" s="70"/>
      <c r="K96" s="70"/>
      <c r="L96" s="268" t="s">
        <v>413</v>
      </c>
      <c r="M96" s="268"/>
      <c r="N96" s="269" t="s">
        <v>414</v>
      </c>
      <c r="O96" s="270"/>
    </row>
    <row r="97" spans="2:15" x14ac:dyDescent="0.25">
      <c r="B97" s="265"/>
      <c r="C97" s="81" t="s">
        <v>442</v>
      </c>
      <c r="D97" s="82">
        <f>28/50</f>
        <v>0.56000000000000005</v>
      </c>
      <c r="E97" s="82">
        <v>36</v>
      </c>
      <c r="F97" s="82">
        <v>9</v>
      </c>
      <c r="G97" s="82">
        <v>64.599999999999994</v>
      </c>
      <c r="H97" s="82">
        <f t="shared" si="0"/>
        <v>45</v>
      </c>
      <c r="I97" s="70"/>
      <c r="J97" s="70"/>
      <c r="K97" s="70"/>
      <c r="L97" s="70"/>
    </row>
    <row r="98" spans="2:15" x14ac:dyDescent="0.25">
      <c r="B98" s="265"/>
      <c r="C98" s="81" t="s">
        <v>134</v>
      </c>
      <c r="D98" s="82"/>
      <c r="E98" s="82">
        <v>48</v>
      </c>
      <c r="F98" s="82">
        <v>5</v>
      </c>
      <c r="G98" s="82">
        <v>90.62</v>
      </c>
      <c r="H98" s="82">
        <f t="shared" si="0"/>
        <v>53</v>
      </c>
      <c r="I98" s="70"/>
      <c r="J98" s="70"/>
      <c r="K98" s="70"/>
      <c r="L98" s="268" t="s">
        <v>415</v>
      </c>
      <c r="M98" s="268"/>
      <c r="N98" s="269" t="s">
        <v>416</v>
      </c>
      <c r="O98" s="270"/>
    </row>
    <row r="99" spans="2:15" x14ac:dyDescent="0.25">
      <c r="B99" s="265"/>
      <c r="C99" s="81" t="s">
        <v>133</v>
      </c>
      <c r="D99" s="82"/>
      <c r="E99" s="82">
        <v>36</v>
      </c>
      <c r="F99" s="82">
        <v>15</v>
      </c>
      <c r="G99" s="82">
        <v>92.54</v>
      </c>
      <c r="H99" s="82">
        <f t="shared" si="0"/>
        <v>51</v>
      </c>
      <c r="I99" s="70"/>
      <c r="J99" s="70"/>
      <c r="K99" s="70"/>
      <c r="L99" s="70"/>
      <c r="M99" s="83"/>
    </row>
    <row r="100" spans="2:15" x14ac:dyDescent="0.25">
      <c r="B100" s="70"/>
      <c r="C100" s="70"/>
      <c r="D100" s="70"/>
      <c r="E100" s="70"/>
      <c r="F100" s="70"/>
      <c r="G100" s="70"/>
      <c r="H100" s="70"/>
      <c r="I100" s="70"/>
      <c r="J100" s="70"/>
      <c r="K100" s="70"/>
      <c r="L100" s="70"/>
      <c r="M100" s="71"/>
    </row>
    <row r="101" spans="2:15" x14ac:dyDescent="0.25">
      <c r="B101" s="70"/>
      <c r="C101" s="70"/>
      <c r="D101" s="70"/>
      <c r="E101" s="70"/>
      <c r="F101" s="70"/>
      <c r="G101" s="70"/>
      <c r="H101" s="70"/>
      <c r="I101" s="70"/>
      <c r="J101" s="70"/>
      <c r="K101" s="70"/>
      <c r="L101" s="70"/>
      <c r="M101" s="71"/>
    </row>
    <row r="102" spans="2:15" x14ac:dyDescent="0.25">
      <c r="B102" s="266" t="s">
        <v>124</v>
      </c>
      <c r="C102" s="266" t="s">
        <v>76</v>
      </c>
      <c r="D102" s="266" t="s">
        <v>77</v>
      </c>
      <c r="E102" s="266" t="s">
        <v>257</v>
      </c>
      <c r="F102" s="266"/>
      <c r="G102" s="266"/>
      <c r="H102" s="70"/>
      <c r="I102" s="70"/>
      <c r="J102" s="70"/>
      <c r="K102" s="70"/>
      <c r="L102" s="70"/>
      <c r="M102" s="71"/>
    </row>
    <row r="103" spans="2:15" x14ac:dyDescent="0.25">
      <c r="B103" s="266"/>
      <c r="C103" s="266"/>
      <c r="D103" s="266"/>
      <c r="E103" s="233" t="s">
        <v>81</v>
      </c>
      <c r="F103" s="233" t="s">
        <v>82</v>
      </c>
      <c r="G103" s="233" t="s">
        <v>83</v>
      </c>
      <c r="H103" s="70"/>
      <c r="I103" s="70"/>
      <c r="J103" s="70"/>
      <c r="K103" s="70"/>
      <c r="L103" s="70"/>
      <c r="M103" s="71"/>
    </row>
    <row r="104" spans="2:15" x14ac:dyDescent="0.25">
      <c r="B104" s="267" t="s">
        <v>138</v>
      </c>
      <c r="C104" s="72" t="s">
        <v>167</v>
      </c>
      <c r="D104" s="72"/>
      <c r="E104" s="72">
        <v>15</v>
      </c>
      <c r="F104" s="72"/>
      <c r="G104" s="72">
        <v>20</v>
      </c>
      <c r="H104" s="70"/>
      <c r="I104" s="70"/>
      <c r="J104" s="70"/>
      <c r="K104" s="70"/>
      <c r="L104" s="70"/>
      <c r="M104" s="71"/>
    </row>
    <row r="105" spans="2:15" x14ac:dyDescent="0.25">
      <c r="B105" s="267"/>
      <c r="C105" s="73" t="s">
        <v>168</v>
      </c>
      <c r="D105" s="73"/>
      <c r="E105" s="73">
        <v>16</v>
      </c>
      <c r="F105" s="73"/>
      <c r="G105" s="73">
        <v>20</v>
      </c>
      <c r="H105" s="70"/>
      <c r="I105" s="70"/>
      <c r="J105" s="70"/>
      <c r="K105" s="70"/>
      <c r="L105" s="70"/>
      <c r="M105" s="71"/>
    </row>
    <row r="106" spans="2:15" x14ac:dyDescent="0.25">
      <c r="B106" s="267"/>
      <c r="C106" s="73" t="s">
        <v>169</v>
      </c>
      <c r="D106" s="73">
        <f>19/25</f>
        <v>0.76</v>
      </c>
      <c r="E106" s="73">
        <v>14</v>
      </c>
      <c r="F106" s="73"/>
      <c r="G106" s="73">
        <v>17</v>
      </c>
      <c r="H106" s="70"/>
      <c r="I106" s="70"/>
      <c r="J106" s="70"/>
      <c r="K106" s="70"/>
      <c r="L106" s="70"/>
      <c r="M106" s="71"/>
    </row>
    <row r="107" spans="2:15" x14ac:dyDescent="0.25">
      <c r="B107" s="267"/>
      <c r="C107" s="73" t="s">
        <v>139</v>
      </c>
      <c r="D107" s="73"/>
      <c r="E107" s="73">
        <v>9.9</v>
      </c>
      <c r="F107" s="73"/>
      <c r="G107" s="73">
        <v>20.3</v>
      </c>
      <c r="H107" s="70"/>
      <c r="I107" s="70"/>
      <c r="J107" s="70"/>
      <c r="K107" s="70"/>
      <c r="L107" s="70"/>
      <c r="M107" s="71"/>
    </row>
    <row r="108" spans="2:15" x14ac:dyDescent="0.25">
      <c r="B108" s="267"/>
      <c r="C108" s="73" t="s">
        <v>140</v>
      </c>
      <c r="D108" s="73"/>
      <c r="E108" s="73">
        <v>13</v>
      </c>
      <c r="F108" s="73"/>
      <c r="G108" s="73">
        <v>16</v>
      </c>
      <c r="H108" s="70"/>
      <c r="I108" s="70"/>
      <c r="J108" s="70"/>
      <c r="K108" s="70"/>
      <c r="L108" s="70"/>
      <c r="M108" s="71"/>
    </row>
    <row r="109" spans="2:15" x14ac:dyDescent="0.25">
      <c r="B109" s="267"/>
      <c r="C109" s="73"/>
      <c r="D109" s="73"/>
      <c r="E109" s="73"/>
      <c r="F109" s="73"/>
      <c r="G109" s="73"/>
      <c r="H109" s="70"/>
      <c r="I109" s="70"/>
      <c r="J109" s="70"/>
      <c r="K109" s="70"/>
    </row>
    <row r="110" spans="2:15" x14ac:dyDescent="0.25">
      <c r="B110" s="267"/>
      <c r="C110" s="73"/>
      <c r="D110" s="73"/>
      <c r="E110" s="73"/>
      <c r="F110" s="73"/>
      <c r="G110" s="73"/>
      <c r="H110" s="70"/>
      <c r="I110" s="70"/>
      <c r="J110" s="70"/>
      <c r="K110" s="70"/>
    </row>
    <row r="111" spans="2:15" x14ac:dyDescent="0.25">
      <c r="B111" s="267"/>
      <c r="C111" s="73"/>
      <c r="D111" s="73"/>
      <c r="E111" s="73"/>
      <c r="F111" s="73"/>
      <c r="G111" s="73"/>
      <c r="H111" s="70"/>
      <c r="I111" s="70"/>
      <c r="J111" s="70"/>
      <c r="K111" s="70"/>
    </row>
    <row r="112" spans="2:15" x14ac:dyDescent="0.25">
      <c r="B112" s="267"/>
      <c r="C112" s="73"/>
      <c r="D112" s="73"/>
      <c r="E112" s="73"/>
      <c r="F112" s="73"/>
      <c r="G112" s="73"/>
      <c r="H112" s="70"/>
      <c r="I112" s="70"/>
      <c r="J112" s="70"/>
      <c r="K112" s="70"/>
    </row>
    <row r="113" spans="2:11" x14ac:dyDescent="0.25">
      <c r="B113" s="267"/>
      <c r="C113" s="73"/>
      <c r="D113" s="73"/>
      <c r="E113" s="73"/>
      <c r="F113" s="73"/>
      <c r="G113" s="73"/>
      <c r="H113" s="70"/>
      <c r="I113" s="70"/>
      <c r="J113" s="70"/>
      <c r="K113" s="70"/>
    </row>
    <row r="114" spans="2:11" x14ac:dyDescent="0.25">
      <c r="B114" s="70"/>
      <c r="C114" s="70"/>
      <c r="D114" s="70"/>
      <c r="E114" s="70"/>
      <c r="F114" s="70"/>
      <c r="G114" s="70"/>
      <c r="H114" s="70"/>
      <c r="I114" s="70"/>
      <c r="J114" s="70"/>
      <c r="K114" s="70"/>
    </row>
    <row r="115" spans="2:11" x14ac:dyDescent="0.25">
      <c r="B115" s="70"/>
      <c r="C115" s="70"/>
      <c r="D115" s="70"/>
      <c r="E115" s="70"/>
      <c r="F115" s="70"/>
      <c r="G115" s="70"/>
      <c r="H115" s="70"/>
      <c r="I115" s="70"/>
      <c r="J115" s="70"/>
      <c r="K115" s="70"/>
    </row>
    <row r="116" spans="2:11" ht="18" customHeight="1" x14ac:dyDescent="0.25">
      <c r="B116" s="74"/>
      <c r="C116" s="84"/>
      <c r="D116" s="70"/>
      <c r="E116" s="70"/>
      <c r="F116" s="70"/>
    </row>
    <row r="117" spans="2:11" x14ac:dyDescent="0.25">
      <c r="B117" s="264" t="s">
        <v>328</v>
      </c>
      <c r="C117" s="264"/>
      <c r="D117" s="70"/>
      <c r="E117" s="70"/>
      <c r="F117" s="70"/>
    </row>
    <row r="118" spans="2:11" ht="18" customHeight="1" x14ac:dyDescent="0.25">
      <c r="B118" s="85" t="s">
        <v>298</v>
      </c>
      <c r="C118" s="85" t="s">
        <v>333</v>
      </c>
      <c r="D118" s="70"/>
      <c r="E118" s="70"/>
      <c r="F118" s="70"/>
    </row>
    <row r="119" spans="2:11" x14ac:dyDescent="0.25">
      <c r="B119" s="86" t="s">
        <v>338</v>
      </c>
      <c r="C119" s="86">
        <v>60</v>
      </c>
      <c r="D119" s="70"/>
      <c r="E119" s="255" t="s">
        <v>420</v>
      </c>
      <c r="F119" s="104" t="s">
        <v>77</v>
      </c>
      <c r="J119" s="414" t="s">
        <v>490</v>
      </c>
      <c r="K119" s="414"/>
    </row>
    <row r="120" spans="2:11" x14ac:dyDescent="0.25">
      <c r="B120" s="86" t="s">
        <v>320</v>
      </c>
      <c r="C120" s="86">
        <v>50</v>
      </c>
      <c r="D120" s="70"/>
      <c r="E120" s="73" t="s">
        <v>259</v>
      </c>
      <c r="F120" s="99">
        <v>0.15</v>
      </c>
      <c r="J120" s="415" t="s">
        <v>33</v>
      </c>
      <c r="K120" s="415">
        <v>1</v>
      </c>
    </row>
    <row r="121" spans="2:11" ht="18" customHeight="1" x14ac:dyDescent="0.25">
      <c r="B121" s="86" t="s">
        <v>321</v>
      </c>
      <c r="C121" s="86">
        <v>70</v>
      </c>
      <c r="D121" s="70"/>
      <c r="E121" s="76" t="s">
        <v>266</v>
      </c>
      <c r="F121" s="100">
        <v>0.25</v>
      </c>
      <c r="J121" s="415" t="s">
        <v>66</v>
      </c>
      <c r="K121" s="415">
        <v>1</v>
      </c>
    </row>
    <row r="122" spans="2:11" ht="18" customHeight="1" x14ac:dyDescent="0.25">
      <c r="B122" s="86" t="s">
        <v>322</v>
      </c>
      <c r="C122" s="86">
        <v>70</v>
      </c>
      <c r="D122" s="70"/>
      <c r="E122" s="73" t="s">
        <v>145</v>
      </c>
      <c r="F122" s="99">
        <v>0.25</v>
      </c>
      <c r="J122" s="415" t="s">
        <v>67</v>
      </c>
      <c r="K122" s="415">
        <v>1</v>
      </c>
    </row>
    <row r="123" spans="2:11" x14ac:dyDescent="0.25">
      <c r="B123" s="86" t="s">
        <v>323</v>
      </c>
      <c r="C123" s="86">
        <v>70</v>
      </c>
      <c r="D123" s="70"/>
      <c r="E123" s="76" t="s">
        <v>265</v>
      </c>
      <c r="F123" s="100">
        <v>0.25</v>
      </c>
    </row>
    <row r="124" spans="2:11" x14ac:dyDescent="0.25">
      <c r="B124" s="86" t="s">
        <v>324</v>
      </c>
      <c r="C124" s="86">
        <v>70</v>
      </c>
      <c r="D124" s="70"/>
      <c r="E124" s="73" t="s">
        <v>258</v>
      </c>
      <c r="F124" s="99">
        <v>0.12</v>
      </c>
    </row>
    <row r="125" spans="2:11" ht="18" customHeight="1" x14ac:dyDescent="0.25">
      <c r="B125" s="86" t="s">
        <v>325</v>
      </c>
      <c r="C125" s="86">
        <v>60</v>
      </c>
      <c r="D125" s="70"/>
      <c r="E125" s="76" t="s">
        <v>260</v>
      </c>
      <c r="F125" s="100">
        <v>0.04</v>
      </c>
    </row>
    <row r="126" spans="2:11" x14ac:dyDescent="0.25">
      <c r="B126" s="86" t="s">
        <v>326</v>
      </c>
      <c r="C126" s="86">
        <v>80</v>
      </c>
      <c r="D126" s="70"/>
      <c r="E126" s="73" t="s">
        <v>261</v>
      </c>
      <c r="F126" s="99">
        <v>0.04</v>
      </c>
    </row>
    <row r="127" spans="2:11" x14ac:dyDescent="0.25">
      <c r="B127" s="86" t="s">
        <v>329</v>
      </c>
      <c r="C127" s="86">
        <v>70</v>
      </c>
      <c r="D127" s="70"/>
      <c r="E127" s="76" t="s">
        <v>262</v>
      </c>
      <c r="F127" s="100">
        <v>0.1</v>
      </c>
    </row>
    <row r="128" spans="2:11" x14ac:dyDescent="0.25">
      <c r="B128" s="86" t="s">
        <v>330</v>
      </c>
      <c r="C128" s="86">
        <v>70</v>
      </c>
      <c r="D128" s="70"/>
      <c r="E128" s="73" t="s">
        <v>263</v>
      </c>
      <c r="F128" s="99">
        <f>700/1000</f>
        <v>0.7</v>
      </c>
    </row>
    <row r="129" spans="2:6" x14ac:dyDescent="0.25">
      <c r="B129" s="87" t="s">
        <v>327</v>
      </c>
      <c r="C129" s="87">
        <v>60</v>
      </c>
      <c r="D129" s="70"/>
      <c r="E129" s="70"/>
      <c r="F129" s="70"/>
    </row>
    <row r="130" spans="2:6" x14ac:dyDescent="0.25">
      <c r="D130" s="70"/>
      <c r="E130" s="70"/>
      <c r="F130" s="70"/>
    </row>
    <row r="131" spans="2:6" x14ac:dyDescent="0.25">
      <c r="D131" s="70"/>
      <c r="E131" s="70"/>
      <c r="F131" s="70"/>
    </row>
    <row r="132" spans="2:6" x14ac:dyDescent="0.25">
      <c r="B132" s="74"/>
      <c r="C132" s="74"/>
      <c r="D132" s="70"/>
      <c r="E132" s="70"/>
      <c r="F132" s="70"/>
    </row>
    <row r="133" spans="2:6" x14ac:dyDescent="0.25">
      <c r="B133" s="74"/>
      <c r="C133" s="74"/>
      <c r="D133" s="70"/>
      <c r="E133" s="70"/>
      <c r="F133" s="70"/>
    </row>
    <row r="134" spans="2:6" x14ac:dyDescent="0.25">
      <c r="D134" s="70"/>
      <c r="E134" s="70"/>
      <c r="F134" s="70"/>
    </row>
  </sheetData>
  <mergeCells count="31">
    <mergeCell ref="J119:K119"/>
    <mergeCell ref="X4:Y4"/>
    <mergeCell ref="L98:M98"/>
    <mergeCell ref="N98:O98"/>
    <mergeCell ref="L92:M92"/>
    <mergeCell ref="N92:O92"/>
    <mergeCell ref="L94:M94"/>
    <mergeCell ref="N94:O94"/>
    <mergeCell ref="L96:M96"/>
    <mergeCell ref="N96:O96"/>
    <mergeCell ref="B117:C117"/>
    <mergeCell ref="D85:D86"/>
    <mergeCell ref="E85:H85"/>
    <mergeCell ref="B87:B99"/>
    <mergeCell ref="B63:B72"/>
    <mergeCell ref="B73:B82"/>
    <mergeCell ref="B102:B103"/>
    <mergeCell ref="C102:C103"/>
    <mergeCell ref="D102:D103"/>
    <mergeCell ref="E102:G102"/>
    <mergeCell ref="B104:B113"/>
    <mergeCell ref="B18:B33"/>
    <mergeCell ref="B34:B53"/>
    <mergeCell ref="B54:B62"/>
    <mergeCell ref="B85:B86"/>
    <mergeCell ref="C85:C86"/>
    <mergeCell ref="B1:B2"/>
    <mergeCell ref="C1:C2"/>
    <mergeCell ref="D1:D2"/>
    <mergeCell ref="E1:V1"/>
    <mergeCell ref="B3:B17"/>
  </mergeCells>
  <hyperlinks>
    <hyperlink ref="X4:Y4" location="'Apresentação (1)'!A1" display="Voltar"/>
  </hyperlink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124"/>
  <sheetViews>
    <sheetView zoomScale="50" zoomScaleNormal="50" workbookViewId="0">
      <selection activeCell="Y32" sqref="Y32"/>
    </sheetView>
  </sheetViews>
  <sheetFormatPr defaultRowHeight="20.25" customHeight="1" x14ac:dyDescent="0.25"/>
  <cols>
    <col min="1" max="1" width="2.42578125" style="10" customWidth="1"/>
    <col min="2" max="2" width="37.28515625" style="10" customWidth="1"/>
    <col min="3" max="3" width="29.5703125" style="10" customWidth="1"/>
    <col min="4" max="9" width="16.7109375" style="10" customWidth="1"/>
    <col min="10" max="16384" width="9.140625" style="10"/>
  </cols>
  <sheetData>
    <row r="1" spans="1:12" ht="20.25" customHeight="1" x14ac:dyDescent="0.25">
      <c r="B1" s="40"/>
      <c r="C1" s="40"/>
      <c r="D1" s="40"/>
      <c r="E1" s="40"/>
      <c r="F1" s="40"/>
      <c r="G1" s="40"/>
      <c r="H1" s="40"/>
      <c r="I1" s="40"/>
    </row>
    <row r="2" spans="1:12" ht="20.25" customHeight="1" x14ac:dyDescent="0.25">
      <c r="B2" s="40"/>
      <c r="C2" s="40"/>
      <c r="D2" s="40"/>
      <c r="E2" s="40"/>
      <c r="F2" s="40"/>
      <c r="G2" s="40"/>
      <c r="H2" s="40"/>
      <c r="I2" s="40"/>
    </row>
    <row r="3" spans="1:12" ht="20.25" customHeight="1" x14ac:dyDescent="0.25">
      <c r="B3" s="40"/>
      <c r="C3" s="40"/>
      <c r="D3" s="40"/>
      <c r="E3" s="40"/>
      <c r="F3" s="40"/>
      <c r="G3" s="40"/>
      <c r="H3" s="40"/>
      <c r="I3" s="40"/>
    </row>
    <row r="4" spans="1:12" ht="20.25" customHeight="1" x14ac:dyDescent="0.25">
      <c r="B4" s="40"/>
      <c r="C4" s="40"/>
      <c r="D4" s="40"/>
      <c r="E4" s="40"/>
      <c r="F4" s="40"/>
      <c r="G4" s="40"/>
      <c r="H4" s="40"/>
      <c r="I4" s="40"/>
    </row>
    <row r="5" spans="1:12" ht="20.25" customHeight="1" x14ac:dyDescent="0.25">
      <c r="B5" s="40"/>
      <c r="C5" s="40"/>
      <c r="D5" s="40"/>
      <c r="E5" s="40"/>
      <c r="F5" s="40"/>
      <c r="G5" s="40"/>
      <c r="H5" s="40"/>
      <c r="I5" s="40"/>
    </row>
    <row r="6" spans="1:12" ht="20.25" customHeight="1" x14ac:dyDescent="0.25">
      <c r="B6" s="40"/>
      <c r="C6" s="40"/>
      <c r="D6" s="40"/>
      <c r="E6" s="40"/>
      <c r="F6" s="40"/>
      <c r="G6" s="40"/>
      <c r="H6" s="40"/>
      <c r="I6" s="40"/>
    </row>
    <row r="7" spans="1:12" ht="20.25" customHeight="1" x14ac:dyDescent="0.25">
      <c r="B7" s="40"/>
      <c r="C7" s="40"/>
      <c r="D7" s="40"/>
      <c r="E7" s="40"/>
      <c r="F7" s="40"/>
      <c r="G7" s="40"/>
      <c r="H7" s="40"/>
      <c r="I7" s="40"/>
    </row>
    <row r="8" spans="1:12" ht="20.25" customHeight="1" thickBot="1" x14ac:dyDescent="0.3">
      <c r="B8" s="40"/>
      <c r="C8" s="40"/>
      <c r="D8" s="40"/>
      <c r="E8" s="40"/>
      <c r="F8" s="40"/>
      <c r="G8" s="40"/>
      <c r="H8" s="40"/>
      <c r="I8" s="40"/>
      <c r="K8" s="416" t="s">
        <v>280</v>
      </c>
      <c r="L8" s="416"/>
    </row>
    <row r="9" spans="1:12" ht="20.25" customHeight="1" thickBot="1" x14ac:dyDescent="0.3">
      <c r="A9" s="14"/>
      <c r="B9" s="283" t="s">
        <v>107</v>
      </c>
      <c r="C9" s="284"/>
      <c r="D9" s="284"/>
      <c r="E9" s="284"/>
      <c r="F9" s="284"/>
      <c r="G9" s="284"/>
      <c r="H9" s="284"/>
      <c r="I9" s="285"/>
    </row>
    <row r="10" spans="1:12" ht="20.25" customHeight="1" x14ac:dyDescent="0.25">
      <c r="B10" s="40"/>
      <c r="C10" s="40"/>
      <c r="D10" s="40"/>
      <c r="E10" s="40"/>
      <c r="F10" s="40"/>
      <c r="G10" s="40"/>
      <c r="H10" s="40"/>
      <c r="I10" s="40"/>
    </row>
    <row r="11" spans="1:12" ht="20.25" customHeight="1" x14ac:dyDescent="0.25">
      <c r="B11" s="44" t="s">
        <v>108</v>
      </c>
      <c r="C11" s="287"/>
      <c r="D11" s="287"/>
      <c r="E11" s="287"/>
      <c r="F11" s="287"/>
      <c r="G11" s="287"/>
      <c r="H11" s="287"/>
      <c r="I11" s="288"/>
    </row>
    <row r="12" spans="1:12" ht="20.25" customHeight="1" x14ac:dyDescent="0.25">
      <c r="B12" s="43" t="s">
        <v>109</v>
      </c>
      <c r="C12" s="286"/>
      <c r="D12" s="287"/>
      <c r="E12" s="287"/>
      <c r="F12" s="287"/>
      <c r="G12" s="287"/>
      <c r="H12" s="287"/>
      <c r="I12" s="288"/>
    </row>
    <row r="13" spans="1:12" ht="20.25" customHeight="1" x14ac:dyDescent="0.25">
      <c r="B13" s="43" t="s">
        <v>110</v>
      </c>
      <c r="C13" s="286"/>
      <c r="D13" s="287"/>
      <c r="E13" s="287"/>
      <c r="F13" s="287"/>
      <c r="G13" s="287"/>
      <c r="H13" s="287"/>
      <c r="I13" s="288"/>
    </row>
    <row r="14" spans="1:12" ht="20.25" customHeight="1" x14ac:dyDescent="0.25">
      <c r="B14" s="43" t="s">
        <v>111</v>
      </c>
      <c r="C14" s="286"/>
      <c r="D14" s="287"/>
      <c r="E14" s="287"/>
      <c r="F14" s="287"/>
      <c r="G14" s="288"/>
      <c r="H14" s="44" t="s">
        <v>112</v>
      </c>
      <c r="I14" s="41">
        <f ca="1">TODAY()</f>
        <v>44010</v>
      </c>
    </row>
    <row r="15" spans="1:12" ht="20.25" customHeight="1" thickBot="1" x14ac:dyDescent="0.3">
      <c r="B15" s="40"/>
      <c r="C15" s="40"/>
      <c r="D15" s="40"/>
      <c r="E15" s="40"/>
      <c r="F15" s="40"/>
      <c r="G15" s="40"/>
      <c r="H15" s="40"/>
      <c r="I15" s="40"/>
    </row>
    <row r="16" spans="1:12" ht="20.25" customHeight="1" thickBot="1" x14ac:dyDescent="0.3">
      <c r="B16" s="289" t="s">
        <v>339</v>
      </c>
      <c r="C16" s="290"/>
      <c r="D16" s="290"/>
      <c r="E16" s="290"/>
      <c r="F16" s="290"/>
      <c r="G16" s="290"/>
      <c r="H16" s="290"/>
      <c r="I16" s="291"/>
    </row>
    <row r="17" spans="2:9" ht="20.25" customHeight="1" x14ac:dyDescent="0.25">
      <c r="B17" s="271" t="s">
        <v>491</v>
      </c>
      <c r="C17" s="271"/>
      <c r="D17" s="271"/>
      <c r="E17" s="271"/>
      <c r="F17" s="271"/>
      <c r="G17" s="271"/>
      <c r="H17" s="271"/>
      <c r="I17" s="271"/>
    </row>
    <row r="18" spans="2:9" ht="20.25" customHeight="1" x14ac:dyDescent="0.25">
      <c r="B18" s="272"/>
      <c r="C18" s="272"/>
      <c r="D18" s="272"/>
      <c r="E18" s="272"/>
      <c r="F18" s="272"/>
      <c r="G18" s="272"/>
      <c r="H18" s="272"/>
      <c r="I18" s="272"/>
    </row>
    <row r="19" spans="2:9" ht="20.25" customHeight="1" x14ac:dyDescent="0.25">
      <c r="B19" s="272"/>
      <c r="C19" s="272"/>
      <c r="D19" s="272"/>
      <c r="E19" s="272"/>
      <c r="F19" s="272"/>
      <c r="G19" s="272"/>
      <c r="H19" s="272"/>
      <c r="I19" s="272"/>
    </row>
    <row r="20" spans="2:9" ht="20.25" customHeight="1" x14ac:dyDescent="0.25">
      <c r="B20" s="272"/>
      <c r="C20" s="272"/>
      <c r="D20" s="272"/>
      <c r="E20" s="272"/>
      <c r="F20" s="272"/>
      <c r="G20" s="272"/>
      <c r="H20" s="272"/>
      <c r="I20" s="272"/>
    </row>
    <row r="21" spans="2:9" ht="20.25" customHeight="1" x14ac:dyDescent="0.25">
      <c r="B21" s="272"/>
      <c r="C21" s="272"/>
      <c r="D21" s="272"/>
      <c r="E21" s="272"/>
      <c r="F21" s="272"/>
      <c r="G21" s="272"/>
      <c r="H21" s="272"/>
      <c r="I21" s="272"/>
    </row>
    <row r="22" spans="2:9" ht="20.25" customHeight="1" x14ac:dyDescent="0.25">
      <c r="B22" s="272"/>
      <c r="C22" s="272"/>
      <c r="D22" s="272"/>
      <c r="E22" s="272"/>
      <c r="F22" s="272"/>
      <c r="G22" s="272"/>
      <c r="H22" s="272"/>
      <c r="I22" s="272"/>
    </row>
    <row r="23" spans="2:9" ht="20.25" customHeight="1" x14ac:dyDescent="0.25">
      <c r="B23" s="272"/>
      <c r="C23" s="272"/>
      <c r="D23" s="272"/>
      <c r="E23" s="272"/>
      <c r="F23" s="272"/>
      <c r="G23" s="272"/>
      <c r="H23" s="272"/>
      <c r="I23" s="272"/>
    </row>
    <row r="24" spans="2:9" ht="20.25" customHeight="1" x14ac:dyDescent="0.25">
      <c r="B24" s="272"/>
      <c r="C24" s="272"/>
      <c r="D24" s="272"/>
      <c r="E24" s="272"/>
      <c r="F24" s="272"/>
      <c r="G24" s="272"/>
      <c r="H24" s="272"/>
      <c r="I24" s="272"/>
    </row>
    <row r="25" spans="2:9" ht="20.25" customHeight="1" x14ac:dyDescent="0.25">
      <c r="B25" s="272"/>
      <c r="C25" s="272"/>
      <c r="D25" s="272"/>
      <c r="E25" s="272"/>
      <c r="F25" s="272"/>
      <c r="G25" s="272"/>
      <c r="H25" s="272"/>
      <c r="I25" s="272"/>
    </row>
    <row r="26" spans="2:9" ht="20.25" customHeight="1" x14ac:dyDescent="0.25">
      <c r="B26" s="272"/>
      <c r="C26" s="272"/>
      <c r="D26" s="272"/>
      <c r="E26" s="272"/>
      <c r="F26" s="272"/>
      <c r="G26" s="272"/>
      <c r="H26" s="272"/>
      <c r="I26" s="272"/>
    </row>
    <row r="27" spans="2:9" ht="20.25" customHeight="1" x14ac:dyDescent="0.25">
      <c r="B27" s="272"/>
      <c r="C27" s="272"/>
      <c r="D27" s="272"/>
      <c r="E27" s="272"/>
      <c r="F27" s="272"/>
      <c r="G27" s="272"/>
      <c r="H27" s="272"/>
      <c r="I27" s="272"/>
    </row>
    <row r="28" spans="2:9" ht="20.25" customHeight="1" x14ac:dyDescent="0.25">
      <c r="B28" s="272"/>
      <c r="C28" s="272"/>
      <c r="D28" s="272"/>
      <c r="E28" s="272"/>
      <c r="F28" s="272"/>
      <c r="G28" s="272"/>
      <c r="H28" s="272"/>
      <c r="I28" s="272"/>
    </row>
    <row r="29" spans="2:9" ht="20.25" customHeight="1" x14ac:dyDescent="0.25">
      <c r="B29" s="272"/>
      <c r="C29" s="272"/>
      <c r="D29" s="272"/>
      <c r="E29" s="272"/>
      <c r="F29" s="272"/>
      <c r="G29" s="272"/>
      <c r="H29" s="272"/>
      <c r="I29" s="272"/>
    </row>
    <row r="30" spans="2:9" ht="20.25" customHeight="1" x14ac:dyDescent="0.25">
      <c r="B30" s="272"/>
      <c r="C30" s="272"/>
      <c r="D30" s="272"/>
      <c r="E30" s="272"/>
      <c r="F30" s="272"/>
      <c r="G30" s="272"/>
      <c r="H30" s="272"/>
      <c r="I30" s="272"/>
    </row>
    <row r="31" spans="2:9" ht="20.25" customHeight="1" x14ac:dyDescent="0.25">
      <c r="B31" s="272"/>
      <c r="C31" s="272"/>
      <c r="D31" s="272"/>
      <c r="E31" s="272"/>
      <c r="F31" s="272"/>
      <c r="G31" s="272"/>
      <c r="H31" s="272"/>
      <c r="I31" s="272"/>
    </row>
    <row r="32" spans="2:9" ht="20.25" customHeight="1" x14ac:dyDescent="0.25">
      <c r="B32" s="272"/>
      <c r="C32" s="272"/>
      <c r="D32" s="272"/>
      <c r="E32" s="272"/>
      <c r="F32" s="272"/>
      <c r="G32" s="272"/>
      <c r="H32" s="272"/>
      <c r="I32" s="272"/>
    </row>
    <row r="33" spans="2:10" ht="20.25" customHeight="1" x14ac:dyDescent="0.25">
      <c r="B33" s="272"/>
      <c r="C33" s="272"/>
      <c r="D33" s="272"/>
      <c r="E33" s="272"/>
      <c r="F33" s="272"/>
      <c r="G33" s="272"/>
      <c r="H33" s="272"/>
      <c r="I33" s="272"/>
    </row>
    <row r="34" spans="2:10" ht="20.25" customHeight="1" x14ac:dyDescent="0.25">
      <c r="B34" s="272"/>
      <c r="C34" s="272"/>
      <c r="D34" s="272"/>
      <c r="E34" s="272"/>
      <c r="F34" s="272"/>
      <c r="G34" s="272"/>
      <c r="H34" s="272"/>
      <c r="I34" s="272"/>
    </row>
    <row r="35" spans="2:10" ht="20.25" customHeight="1" x14ac:dyDescent="0.25">
      <c r="B35" s="272"/>
      <c r="C35" s="272"/>
      <c r="D35" s="272"/>
      <c r="E35" s="272"/>
      <c r="F35" s="272"/>
      <c r="G35" s="272"/>
      <c r="H35" s="272"/>
      <c r="I35" s="272"/>
    </row>
    <row r="36" spans="2:10" ht="20.25" customHeight="1" x14ac:dyDescent="0.25">
      <c r="B36" s="272"/>
      <c r="C36" s="272"/>
      <c r="D36" s="272"/>
      <c r="E36" s="272"/>
      <c r="F36" s="272"/>
      <c r="G36" s="272"/>
      <c r="H36" s="272"/>
      <c r="I36" s="272"/>
    </row>
    <row r="37" spans="2:10" ht="20.25" hidden="1" customHeight="1" x14ac:dyDescent="0.25">
      <c r="B37" s="272"/>
      <c r="C37" s="272"/>
      <c r="D37" s="272"/>
      <c r="E37" s="272"/>
      <c r="F37" s="272"/>
      <c r="G37" s="272"/>
      <c r="H37" s="272"/>
      <c r="I37" s="272"/>
    </row>
    <row r="38" spans="2:10" ht="20.25" customHeight="1" x14ac:dyDescent="0.25">
      <c r="B38" s="272"/>
      <c r="C38" s="272"/>
      <c r="D38" s="272"/>
      <c r="E38" s="272"/>
      <c r="F38" s="272"/>
      <c r="G38" s="272"/>
      <c r="H38" s="272"/>
      <c r="I38" s="272"/>
    </row>
    <row r="39" spans="2:10" ht="20.25" customHeight="1" x14ac:dyDescent="0.25">
      <c r="B39" s="272"/>
      <c r="C39" s="272"/>
      <c r="D39" s="272"/>
      <c r="E39" s="272"/>
      <c r="F39" s="272"/>
      <c r="G39" s="272"/>
      <c r="H39" s="272"/>
      <c r="I39" s="272"/>
    </row>
    <row r="40" spans="2:10" ht="20.25" customHeight="1" x14ac:dyDescent="0.25">
      <c r="B40" s="272"/>
      <c r="C40" s="272"/>
      <c r="D40" s="272"/>
      <c r="E40" s="272"/>
      <c r="F40" s="272"/>
      <c r="G40" s="272"/>
      <c r="H40" s="272"/>
      <c r="I40" s="272"/>
    </row>
    <row r="41" spans="2:10" ht="20.25" customHeight="1" x14ac:dyDescent="0.25">
      <c r="B41" s="272"/>
      <c r="C41" s="272"/>
      <c r="D41" s="272"/>
      <c r="E41" s="272"/>
      <c r="F41" s="272"/>
      <c r="G41" s="272"/>
      <c r="H41" s="272"/>
      <c r="I41" s="272"/>
      <c r="J41" s="45"/>
    </row>
    <row r="42" spans="2:10" ht="20.25" customHeight="1" x14ac:dyDescent="0.25">
      <c r="B42" s="272"/>
      <c r="C42" s="272"/>
      <c r="D42" s="272"/>
      <c r="E42" s="272"/>
      <c r="F42" s="272"/>
      <c r="G42" s="272"/>
      <c r="H42" s="272"/>
      <c r="I42" s="272"/>
    </row>
    <row r="43" spans="2:10" ht="20.25" customHeight="1" x14ac:dyDescent="0.25">
      <c r="B43" s="272"/>
      <c r="C43" s="272"/>
      <c r="D43" s="272"/>
      <c r="E43" s="272"/>
      <c r="F43" s="272"/>
      <c r="G43" s="272"/>
      <c r="H43" s="272"/>
      <c r="I43" s="272"/>
    </row>
    <row r="44" spans="2:10" ht="20.25" customHeight="1" x14ac:dyDescent="0.25">
      <c r="B44" s="272"/>
      <c r="C44" s="272"/>
      <c r="D44" s="272"/>
      <c r="E44" s="272"/>
      <c r="F44" s="272"/>
      <c r="G44" s="272"/>
      <c r="H44" s="272"/>
      <c r="I44" s="272"/>
    </row>
    <row r="45" spans="2:10" ht="20.25" customHeight="1" x14ac:dyDescent="0.25">
      <c r="B45" s="272"/>
      <c r="C45" s="272"/>
      <c r="D45" s="272"/>
      <c r="E45" s="272"/>
      <c r="F45" s="272"/>
      <c r="G45" s="272"/>
      <c r="H45" s="272"/>
      <c r="I45" s="272"/>
    </row>
    <row r="46" spans="2:10" ht="20.25" customHeight="1" x14ac:dyDescent="0.25">
      <c r="B46" s="272"/>
      <c r="C46" s="272"/>
      <c r="D46" s="272"/>
      <c r="E46" s="272"/>
      <c r="F46" s="272"/>
      <c r="G46" s="272"/>
      <c r="H46" s="272"/>
      <c r="I46" s="272"/>
    </row>
    <row r="47" spans="2:10" ht="20.25" customHeight="1" x14ac:dyDescent="0.25">
      <c r="B47" s="272"/>
      <c r="C47" s="272"/>
      <c r="D47" s="272"/>
      <c r="E47" s="272"/>
      <c r="F47" s="272"/>
      <c r="G47" s="272"/>
      <c r="H47" s="272"/>
      <c r="I47" s="272"/>
    </row>
    <row r="48" spans="2:10" ht="20.25" customHeight="1" x14ac:dyDescent="0.25">
      <c r="B48" s="272"/>
      <c r="C48" s="272"/>
      <c r="D48" s="272"/>
      <c r="E48" s="272"/>
      <c r="F48" s="272"/>
      <c r="G48" s="272"/>
      <c r="H48" s="272"/>
      <c r="I48" s="272"/>
    </row>
    <row r="49" spans="2:9" ht="20.25" customHeight="1" x14ac:dyDescent="0.25">
      <c r="B49" s="272"/>
      <c r="C49" s="272"/>
      <c r="D49" s="272"/>
      <c r="E49" s="272"/>
      <c r="F49" s="272"/>
      <c r="G49" s="272"/>
      <c r="H49" s="272"/>
      <c r="I49" s="272"/>
    </row>
    <row r="50" spans="2:9" ht="20.25" customHeight="1" x14ac:dyDescent="0.25">
      <c r="B50" s="272"/>
      <c r="C50" s="272"/>
      <c r="D50" s="272"/>
      <c r="E50" s="272"/>
      <c r="F50" s="272"/>
      <c r="G50" s="272"/>
      <c r="H50" s="272"/>
      <c r="I50" s="272"/>
    </row>
    <row r="51" spans="2:9" ht="20.25" customHeight="1" x14ac:dyDescent="0.25">
      <c r="B51" s="272"/>
      <c r="C51" s="272"/>
      <c r="D51" s="272"/>
      <c r="E51" s="272"/>
      <c r="F51" s="272"/>
      <c r="G51" s="272"/>
      <c r="H51" s="272"/>
      <c r="I51" s="272"/>
    </row>
    <row r="52" spans="2:9" ht="20.25" customHeight="1" x14ac:dyDescent="0.25">
      <c r="B52" s="272"/>
      <c r="C52" s="272"/>
      <c r="D52" s="272"/>
      <c r="E52" s="272"/>
      <c r="F52" s="272"/>
      <c r="G52" s="272"/>
      <c r="H52" s="272"/>
      <c r="I52" s="272"/>
    </row>
    <row r="53" spans="2:9" ht="20.25" customHeight="1" thickBot="1" x14ac:dyDescent="0.3">
      <c r="B53" s="272"/>
      <c r="C53" s="272"/>
      <c r="D53" s="272"/>
      <c r="E53" s="272"/>
      <c r="F53" s="272"/>
      <c r="G53" s="272"/>
      <c r="H53" s="272"/>
      <c r="I53" s="272"/>
    </row>
    <row r="54" spans="2:9" ht="20.25" hidden="1" customHeight="1" x14ac:dyDescent="0.25">
      <c r="B54" s="272"/>
      <c r="C54" s="272"/>
      <c r="D54" s="272"/>
      <c r="E54" s="272"/>
      <c r="F54" s="272"/>
      <c r="G54" s="272"/>
      <c r="H54" s="272"/>
      <c r="I54" s="272"/>
    </row>
    <row r="55" spans="2:9" ht="20.25" hidden="1" customHeight="1" x14ac:dyDescent="0.25">
      <c r="B55" s="272"/>
      <c r="C55" s="272"/>
      <c r="D55" s="272"/>
      <c r="E55" s="272"/>
      <c r="F55" s="272"/>
      <c r="G55" s="272"/>
      <c r="H55" s="272"/>
      <c r="I55" s="272"/>
    </row>
    <row r="56" spans="2:9" ht="20.25" hidden="1" customHeight="1" x14ac:dyDescent="0.25">
      <c r="B56" s="272"/>
      <c r="C56" s="272"/>
      <c r="D56" s="272"/>
      <c r="E56" s="272"/>
      <c r="F56" s="272"/>
      <c r="G56" s="272"/>
      <c r="H56" s="272"/>
      <c r="I56" s="272"/>
    </row>
    <row r="57" spans="2:9" ht="20.25" hidden="1" customHeight="1" x14ac:dyDescent="0.25">
      <c r="B57" s="272"/>
      <c r="C57" s="272"/>
      <c r="D57" s="272"/>
      <c r="E57" s="272"/>
      <c r="F57" s="272"/>
      <c r="G57" s="272"/>
      <c r="H57" s="272"/>
      <c r="I57" s="272"/>
    </row>
    <row r="58" spans="2:9" ht="20.25" hidden="1" customHeight="1" x14ac:dyDescent="0.25">
      <c r="B58" s="272"/>
      <c r="C58" s="272"/>
      <c r="D58" s="272"/>
      <c r="E58" s="272"/>
      <c r="F58" s="272"/>
      <c r="G58" s="272"/>
      <c r="H58" s="272"/>
      <c r="I58" s="272"/>
    </row>
    <row r="59" spans="2:9" ht="20.25" hidden="1" customHeight="1" x14ac:dyDescent="0.25">
      <c r="B59" s="272"/>
      <c r="C59" s="272"/>
      <c r="D59" s="272"/>
      <c r="E59" s="272"/>
      <c r="F59" s="272"/>
      <c r="G59" s="272"/>
      <c r="H59" s="272"/>
      <c r="I59" s="272"/>
    </row>
    <row r="60" spans="2:9" ht="20.25" hidden="1" customHeight="1" x14ac:dyDescent="0.25">
      <c r="B60" s="272"/>
      <c r="C60" s="272"/>
      <c r="D60" s="272"/>
      <c r="E60" s="272"/>
      <c r="F60" s="272"/>
      <c r="G60" s="272"/>
      <c r="H60" s="272"/>
      <c r="I60" s="272"/>
    </row>
    <row r="61" spans="2:9" ht="20.25" hidden="1" customHeight="1" x14ac:dyDescent="0.25">
      <c r="B61" s="272"/>
      <c r="C61" s="272"/>
      <c r="D61" s="272"/>
      <c r="E61" s="272"/>
      <c r="F61" s="272"/>
      <c r="G61" s="272"/>
      <c r="H61" s="272"/>
      <c r="I61" s="272"/>
    </row>
    <row r="62" spans="2:9" ht="20.25" hidden="1" customHeight="1" x14ac:dyDescent="0.25">
      <c r="B62" s="272"/>
      <c r="C62" s="272"/>
      <c r="D62" s="272"/>
      <c r="E62" s="272"/>
      <c r="F62" s="272"/>
      <c r="G62" s="272"/>
      <c r="H62" s="272"/>
      <c r="I62" s="272"/>
    </row>
    <row r="63" spans="2:9" ht="20.25" hidden="1" customHeight="1" thickBot="1" x14ac:dyDescent="0.3">
      <c r="B63" s="273"/>
      <c r="C63" s="273"/>
      <c r="D63" s="273"/>
      <c r="E63" s="273"/>
      <c r="F63" s="273"/>
      <c r="G63" s="273"/>
      <c r="H63" s="273"/>
      <c r="I63" s="273"/>
    </row>
    <row r="64" spans="2:9" ht="20.25" customHeight="1" x14ac:dyDescent="0.25">
      <c r="B64" s="274"/>
      <c r="C64" s="275"/>
      <c r="D64" s="275"/>
      <c r="E64" s="276"/>
      <c r="F64" s="274"/>
      <c r="G64" s="275"/>
      <c r="H64" s="275"/>
      <c r="I64" s="276"/>
    </row>
    <row r="65" spans="2:9" ht="20.25" customHeight="1" x14ac:dyDescent="0.25">
      <c r="B65" s="277"/>
      <c r="C65" s="278"/>
      <c r="D65" s="278"/>
      <c r="E65" s="279"/>
      <c r="F65" s="277"/>
      <c r="G65" s="278"/>
      <c r="H65" s="278"/>
      <c r="I65" s="279"/>
    </row>
    <row r="66" spans="2:9" ht="20.25" customHeight="1" thickBot="1" x14ac:dyDescent="0.3">
      <c r="B66" s="280"/>
      <c r="C66" s="281"/>
      <c r="D66" s="281"/>
      <c r="E66" s="282"/>
      <c r="F66" s="280"/>
      <c r="G66" s="281"/>
      <c r="H66" s="281"/>
      <c r="I66" s="282"/>
    </row>
    <row r="67" spans="2:9" ht="20.25" customHeight="1" thickBot="1" x14ac:dyDescent="0.3">
      <c r="B67" s="381" t="s">
        <v>120</v>
      </c>
      <c r="C67" s="382"/>
      <c r="D67" s="382"/>
      <c r="E67" s="383"/>
      <c r="F67" s="381" t="s">
        <v>121</v>
      </c>
      <c r="G67" s="382"/>
      <c r="H67" s="382"/>
      <c r="I67" s="384"/>
    </row>
    <row r="97" spans="1:3" ht="20.25" customHeight="1" x14ac:dyDescent="0.25">
      <c r="A97" s="30"/>
    </row>
    <row r="98" spans="1:3" ht="20.25" customHeight="1" x14ac:dyDescent="0.25">
      <c r="A98" s="42"/>
    </row>
    <row r="99" spans="1:3" ht="20.25" customHeight="1" x14ac:dyDescent="0.25">
      <c r="A99" s="42"/>
    </row>
    <row r="100" spans="1:3" ht="20.25" customHeight="1" x14ac:dyDescent="0.25">
      <c r="A100" s="45"/>
    </row>
    <row r="101" spans="1:3" ht="20.25" customHeight="1" x14ac:dyDescent="0.25">
      <c r="A101" s="45"/>
      <c r="B101" s="24"/>
      <c r="C101" s="24"/>
    </row>
    <row r="102" spans="1:3" ht="20.25" customHeight="1" x14ac:dyDescent="0.25">
      <c r="A102" s="45"/>
    </row>
    <row r="116" spans="3:4" ht="20.25" customHeight="1" x14ac:dyDescent="0.25">
      <c r="C116" s="45"/>
      <c r="D116" s="21"/>
    </row>
    <row r="117" spans="3:4" ht="20.25" customHeight="1" x14ac:dyDescent="0.25">
      <c r="C117" s="45"/>
    </row>
    <row r="118" spans="3:4" ht="20.25" customHeight="1" x14ac:dyDescent="0.25">
      <c r="C118" s="45"/>
    </row>
    <row r="119" spans="3:4" ht="20.25" customHeight="1" x14ac:dyDescent="0.25">
      <c r="C119" s="45"/>
    </row>
    <row r="120" spans="3:4" ht="20.25" customHeight="1" x14ac:dyDescent="0.25">
      <c r="C120" s="45"/>
    </row>
    <row r="121" spans="3:4" ht="20.25" customHeight="1" x14ac:dyDescent="0.25">
      <c r="C121" s="45"/>
    </row>
    <row r="122" spans="3:4" ht="20.25" customHeight="1" x14ac:dyDescent="0.25">
      <c r="C122" s="45"/>
      <c r="D122" s="45"/>
    </row>
    <row r="123" spans="3:4" ht="20.25" customHeight="1" x14ac:dyDescent="0.25">
      <c r="C123" s="45"/>
      <c r="D123" s="45"/>
    </row>
    <row r="124" spans="3:4" ht="20.25" customHeight="1" x14ac:dyDescent="0.25">
      <c r="C124" s="45"/>
      <c r="D124" s="45"/>
    </row>
  </sheetData>
  <mergeCells count="12">
    <mergeCell ref="B9:I9"/>
    <mergeCell ref="K8:L8"/>
    <mergeCell ref="C14:G14"/>
    <mergeCell ref="B16:I16"/>
    <mergeCell ref="C11:I11"/>
    <mergeCell ref="C12:I12"/>
    <mergeCell ref="C13:I13"/>
    <mergeCell ref="B17:I63"/>
    <mergeCell ref="B64:E66"/>
    <mergeCell ref="F64:I66"/>
    <mergeCell ref="B67:E67"/>
    <mergeCell ref="F67:I67"/>
  </mergeCells>
  <hyperlinks>
    <hyperlink ref="K8:L8" location="'Apresentação (1)'!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24"/>
  <sheetViews>
    <sheetView zoomScale="60" zoomScaleNormal="60" workbookViewId="0">
      <selection activeCell="R21" sqref="R21"/>
    </sheetView>
  </sheetViews>
  <sheetFormatPr defaultRowHeight="20.25" customHeight="1" x14ac:dyDescent="0.25"/>
  <cols>
    <col min="1" max="1" width="2.42578125" style="206" customWidth="1"/>
    <col min="2" max="2" width="37.28515625" style="206" customWidth="1"/>
    <col min="3" max="3" width="23.85546875" style="206" customWidth="1"/>
    <col min="4" max="4" width="19.85546875" style="206" customWidth="1"/>
    <col min="5" max="9" width="16.7109375" style="206" customWidth="1"/>
    <col min="10" max="10" width="9.140625" style="206"/>
    <col min="11" max="12" width="0" style="206" hidden="1" customWidth="1"/>
    <col min="13" max="13" width="11.85546875" style="206" hidden="1" customWidth="1"/>
    <col min="14" max="14" width="4.85546875" style="206" customWidth="1"/>
    <col min="15" max="15" width="22.7109375" style="206" customWidth="1"/>
    <col min="16" max="16" width="40.140625" style="206" customWidth="1"/>
    <col min="17" max="17" width="9.140625" style="206" customWidth="1"/>
    <col min="18" max="23" width="9.140625" style="206"/>
    <col min="24" max="24" width="255.42578125" style="206" customWidth="1"/>
    <col min="25" max="25" width="15" style="206" bestFit="1" customWidth="1"/>
    <col min="26" max="26" width="27" style="206" bestFit="1" customWidth="1"/>
    <col min="27" max="27" width="132.140625" style="206" bestFit="1" customWidth="1"/>
    <col min="28" max="28" width="45.28515625" style="206" bestFit="1" customWidth="1"/>
    <col min="29" max="31" width="255.42578125" style="206" customWidth="1"/>
    <col min="32" max="16384" width="9.140625" style="206"/>
  </cols>
  <sheetData>
    <row r="1" spans="1:17" ht="20.25" customHeight="1" x14ac:dyDescent="0.25">
      <c r="B1" s="40"/>
      <c r="C1" s="40"/>
      <c r="D1" s="40"/>
      <c r="E1" s="40"/>
      <c r="F1" s="40"/>
      <c r="G1" s="40"/>
      <c r="H1" s="40"/>
      <c r="I1" s="40"/>
    </row>
    <row r="2" spans="1:17" ht="20.25" customHeight="1" x14ac:dyDescent="0.25">
      <c r="B2" s="40"/>
      <c r="C2" s="40"/>
      <c r="D2" s="40"/>
      <c r="E2" s="40"/>
      <c r="F2" s="40"/>
      <c r="G2" s="40"/>
      <c r="H2" s="40"/>
      <c r="I2" s="40"/>
    </row>
    <row r="3" spans="1:17" ht="20.25" customHeight="1" x14ac:dyDescent="0.25">
      <c r="B3" s="40"/>
      <c r="C3" s="40"/>
      <c r="D3" s="40"/>
      <c r="E3" s="40"/>
      <c r="F3" s="40"/>
      <c r="G3" s="40"/>
      <c r="H3" s="40"/>
      <c r="I3" s="40"/>
    </row>
    <row r="4" spans="1:17" ht="20.25" customHeight="1" x14ac:dyDescent="0.25">
      <c r="B4" s="40"/>
      <c r="C4" s="40"/>
      <c r="D4" s="40"/>
      <c r="E4" s="40"/>
      <c r="F4" s="40"/>
      <c r="G4" s="40"/>
      <c r="H4" s="40"/>
      <c r="I4" s="40"/>
      <c r="N4" s="416" t="s">
        <v>280</v>
      </c>
      <c r="O4" s="416"/>
      <c r="P4" s="239"/>
      <c r="Q4" s="239"/>
    </row>
    <row r="5" spans="1:17" ht="20.25" customHeight="1" thickBot="1" x14ac:dyDescent="0.3">
      <c r="B5" s="40"/>
      <c r="C5" s="40"/>
      <c r="D5" s="40"/>
      <c r="E5" s="40"/>
      <c r="F5" s="40"/>
      <c r="G5" s="40"/>
      <c r="H5" s="40"/>
      <c r="I5" s="40"/>
    </row>
    <row r="6" spans="1:17" ht="20.25" customHeight="1" x14ac:dyDescent="0.25">
      <c r="B6" s="40"/>
      <c r="C6" s="40"/>
      <c r="D6" s="40"/>
      <c r="E6" s="40"/>
      <c r="F6" s="40"/>
      <c r="G6" s="40"/>
      <c r="H6" s="40"/>
      <c r="I6" s="40"/>
      <c r="N6" s="207"/>
      <c r="O6" s="201"/>
      <c r="P6" s="201"/>
      <c r="Q6" s="208"/>
    </row>
    <row r="7" spans="1:17" ht="20.25" customHeight="1" x14ac:dyDescent="0.25">
      <c r="B7" s="40"/>
      <c r="C7" s="40"/>
      <c r="D7" s="40"/>
      <c r="E7" s="40"/>
      <c r="F7" s="40"/>
      <c r="G7" s="40"/>
      <c r="H7" s="40"/>
      <c r="I7" s="40"/>
      <c r="N7" s="189"/>
      <c r="O7" s="332" t="s">
        <v>186</v>
      </c>
      <c r="P7" s="202" t="s">
        <v>485</v>
      </c>
      <c r="Q7" s="209"/>
    </row>
    <row r="8" spans="1:17" ht="20.25" customHeight="1" thickBot="1" x14ac:dyDescent="0.3">
      <c r="B8" s="40"/>
      <c r="C8" s="40"/>
      <c r="D8" s="40"/>
      <c r="E8" s="40"/>
      <c r="F8" s="40"/>
      <c r="G8" s="40"/>
      <c r="H8" s="40"/>
      <c r="I8" s="40"/>
      <c r="N8" s="189"/>
      <c r="O8" s="332"/>
      <c r="P8" s="5" t="s">
        <v>321</v>
      </c>
      <c r="Q8" s="209"/>
    </row>
    <row r="9" spans="1:17" ht="20.25" customHeight="1" thickBot="1" x14ac:dyDescent="0.3">
      <c r="A9" s="14"/>
      <c r="B9" s="283" t="s">
        <v>107</v>
      </c>
      <c r="C9" s="284"/>
      <c r="D9" s="284"/>
      <c r="E9" s="284"/>
      <c r="F9" s="284"/>
      <c r="G9" s="284"/>
      <c r="H9" s="284"/>
      <c r="I9" s="285"/>
      <c r="N9" s="210"/>
      <c r="O9" s="200"/>
      <c r="P9" s="200"/>
      <c r="Q9" s="211"/>
    </row>
    <row r="10" spans="1:17" ht="20.25" customHeight="1" x14ac:dyDescent="0.25">
      <c r="B10" s="40"/>
      <c r="C10" s="40"/>
      <c r="D10" s="40"/>
      <c r="E10" s="40"/>
      <c r="F10" s="40"/>
      <c r="G10" s="40"/>
      <c r="H10" s="40"/>
      <c r="I10" s="40"/>
    </row>
    <row r="11" spans="1:17" ht="18" x14ac:dyDescent="0.25">
      <c r="B11" s="204" t="s">
        <v>108</v>
      </c>
      <c r="C11" s="287"/>
      <c r="D11" s="287"/>
      <c r="E11" s="287"/>
      <c r="F11" s="287"/>
      <c r="G11" s="287"/>
      <c r="H11" s="287"/>
      <c r="I11" s="288"/>
    </row>
    <row r="12" spans="1:17" ht="18" x14ac:dyDescent="0.25">
      <c r="B12" s="185" t="s">
        <v>109</v>
      </c>
      <c r="C12" s="286"/>
      <c r="D12" s="287"/>
      <c r="E12" s="287"/>
      <c r="F12" s="287"/>
      <c r="G12" s="287"/>
      <c r="H12" s="287"/>
      <c r="I12" s="288"/>
    </row>
    <row r="13" spans="1:17" ht="18" x14ac:dyDescent="0.25">
      <c r="B13" s="185" t="s">
        <v>110</v>
      </c>
      <c r="C13" s="286"/>
      <c r="D13" s="287"/>
      <c r="E13" s="287"/>
      <c r="F13" s="287"/>
      <c r="G13" s="287"/>
      <c r="H13" s="287"/>
      <c r="I13" s="288"/>
    </row>
    <row r="14" spans="1:17" ht="18" x14ac:dyDescent="0.25">
      <c r="B14" s="185" t="s">
        <v>111</v>
      </c>
      <c r="C14" s="286"/>
      <c r="D14" s="287"/>
      <c r="E14" s="287"/>
      <c r="F14" s="287"/>
      <c r="G14" s="288"/>
      <c r="H14" s="204" t="s">
        <v>112</v>
      </c>
      <c r="I14" s="41">
        <f ca="1">TODAY()</f>
        <v>44010</v>
      </c>
    </row>
    <row r="15" spans="1:17" ht="18.75" thickBot="1" x14ac:dyDescent="0.3">
      <c r="B15" s="40"/>
      <c r="C15" s="40"/>
      <c r="D15" s="40"/>
      <c r="E15" s="40"/>
      <c r="F15" s="40"/>
      <c r="G15" s="40"/>
      <c r="H15" s="40"/>
      <c r="I15" s="40"/>
    </row>
    <row r="16" spans="1:17" ht="18.75" thickBot="1" x14ac:dyDescent="0.3">
      <c r="B16" s="374" t="s">
        <v>339</v>
      </c>
      <c r="C16" s="375"/>
      <c r="D16" s="375"/>
      <c r="E16" s="375"/>
      <c r="F16" s="375"/>
      <c r="G16" s="375"/>
      <c r="H16" s="375"/>
      <c r="I16" s="376"/>
    </row>
    <row r="17" spans="2:28" ht="18" x14ac:dyDescent="0.25">
      <c r="B17" s="377" t="s">
        <v>486</v>
      </c>
      <c r="C17" s="377"/>
      <c r="D17" s="377"/>
      <c r="E17" s="377"/>
      <c r="F17" s="377"/>
      <c r="G17" s="377"/>
      <c r="H17" s="377"/>
      <c r="I17" s="377"/>
    </row>
    <row r="18" spans="2:28" ht="18" x14ac:dyDescent="0.25">
      <c r="B18" s="378"/>
      <c r="C18" s="378"/>
      <c r="D18" s="378"/>
      <c r="E18" s="378"/>
      <c r="F18" s="378"/>
      <c r="G18" s="378"/>
      <c r="H18" s="378"/>
      <c r="I18" s="378"/>
    </row>
    <row r="19" spans="2:28" ht="18" x14ac:dyDescent="0.25">
      <c r="B19" s="378"/>
      <c r="C19" s="378"/>
      <c r="D19" s="378"/>
      <c r="E19" s="378"/>
      <c r="F19" s="378"/>
      <c r="G19" s="378"/>
      <c r="H19" s="378"/>
      <c r="I19" s="378"/>
    </row>
    <row r="20" spans="2:28" ht="18.75" thickBot="1" x14ac:dyDescent="0.3">
      <c r="B20" s="378"/>
      <c r="C20" s="378"/>
      <c r="D20" s="378"/>
      <c r="E20" s="378"/>
      <c r="F20" s="378"/>
      <c r="G20" s="378"/>
      <c r="H20" s="378"/>
      <c r="I20" s="378"/>
    </row>
    <row r="21" spans="2:28" ht="18.75" thickBot="1" x14ac:dyDescent="0.3">
      <c r="B21" s="374" t="str">
        <f>Z22</f>
        <v>Época</v>
      </c>
      <c r="C21" s="375"/>
      <c r="D21" s="375"/>
      <c r="E21" s="375"/>
      <c r="F21" s="375"/>
      <c r="G21" s="375"/>
      <c r="H21" s="375"/>
      <c r="I21" s="376"/>
    </row>
    <row r="22" spans="2:28" x14ac:dyDescent="0.25">
      <c r="B22" s="373" t="str">
        <f>VLOOKUP($P$8,$Y$23:$AB$32,2,0)</f>
        <v>Início da frutificação</v>
      </c>
      <c r="C22" s="373"/>
      <c r="D22" s="373"/>
      <c r="E22" s="373"/>
      <c r="F22" s="373"/>
      <c r="G22" s="373"/>
      <c r="H22" s="373"/>
      <c r="I22" s="373"/>
      <c r="Y22" s="228" t="s">
        <v>370</v>
      </c>
      <c r="Z22" s="228" t="s">
        <v>371</v>
      </c>
      <c r="AA22" s="228" t="s">
        <v>372</v>
      </c>
      <c r="AB22" s="228" t="s">
        <v>373</v>
      </c>
    </row>
    <row r="23" spans="2:28" ht="21" thickBot="1" x14ac:dyDescent="0.3">
      <c r="C23" s="229"/>
      <c r="D23" s="229"/>
      <c r="E23" s="229"/>
      <c r="F23" s="229"/>
      <c r="G23" s="229"/>
      <c r="H23" s="229"/>
      <c r="I23" s="229"/>
      <c r="Y23" s="230" t="s">
        <v>338</v>
      </c>
      <c r="Z23" s="230" t="s">
        <v>374</v>
      </c>
      <c r="AA23" s="230" t="s">
        <v>375</v>
      </c>
      <c r="AB23" s="230" t="s">
        <v>376</v>
      </c>
    </row>
    <row r="24" spans="2:28" ht="18.75" thickBot="1" x14ac:dyDescent="0.3">
      <c r="B24" s="374" t="str">
        <f>AA22</f>
        <v>Tipo de folha</v>
      </c>
      <c r="C24" s="375"/>
      <c r="D24" s="375"/>
      <c r="E24" s="375"/>
      <c r="F24" s="375"/>
      <c r="G24" s="375"/>
      <c r="H24" s="375"/>
      <c r="I24" s="376"/>
      <c r="Y24" s="230" t="s">
        <v>320</v>
      </c>
      <c r="Z24" s="230" t="s">
        <v>377</v>
      </c>
      <c r="AA24" s="230" t="s">
        <v>395</v>
      </c>
      <c r="AB24" s="230" t="s">
        <v>378</v>
      </c>
    </row>
    <row r="25" spans="2:28" x14ac:dyDescent="0.25">
      <c r="B25" s="373" t="str">
        <f>VLOOKUP($P$8,$Y$23:$AB$32,3,0)</f>
        <v>Folhas jovens, expandidas, coletadas nos quatro lados da planta.</v>
      </c>
      <c r="C25" s="373"/>
      <c r="D25" s="373"/>
      <c r="E25" s="373"/>
      <c r="F25" s="373"/>
      <c r="G25" s="373"/>
      <c r="H25" s="373"/>
      <c r="I25" s="373"/>
      <c r="Y25" s="230" t="s">
        <v>321</v>
      </c>
      <c r="Z25" s="230" t="s">
        <v>379</v>
      </c>
      <c r="AA25" s="230" t="s">
        <v>380</v>
      </c>
      <c r="AB25" s="230" t="s">
        <v>376</v>
      </c>
    </row>
    <row r="26" spans="2:28" ht="21" thickBot="1" x14ac:dyDescent="0.3">
      <c r="B26" s="229"/>
      <c r="C26" s="229"/>
      <c r="D26" s="229"/>
      <c r="E26" s="229"/>
      <c r="F26" s="229"/>
      <c r="G26" s="229"/>
      <c r="H26" s="229"/>
      <c r="I26" s="229"/>
      <c r="Y26" s="230" t="s">
        <v>322</v>
      </c>
      <c r="Z26" s="230" t="s">
        <v>381</v>
      </c>
      <c r="AA26" s="230" t="s">
        <v>394</v>
      </c>
      <c r="AB26" s="230" t="s">
        <v>378</v>
      </c>
    </row>
    <row r="27" spans="2:28" ht="18.75" thickBot="1" x14ac:dyDescent="0.3">
      <c r="B27" s="374" t="str">
        <f>AB22</f>
        <v>Número de folhas por gleba</v>
      </c>
      <c r="C27" s="375"/>
      <c r="D27" s="375"/>
      <c r="E27" s="375"/>
      <c r="F27" s="375"/>
      <c r="G27" s="375"/>
      <c r="H27" s="375"/>
      <c r="I27" s="376"/>
      <c r="Y27" s="230" t="s">
        <v>323</v>
      </c>
      <c r="Z27" s="230" t="s">
        <v>382</v>
      </c>
      <c r="AA27" s="230" t="s">
        <v>383</v>
      </c>
      <c r="AB27" s="230" t="s">
        <v>384</v>
      </c>
    </row>
    <row r="28" spans="2:28" x14ac:dyDescent="0.25">
      <c r="B28" s="373" t="str">
        <f>VLOOKUP($P$8,$Y$23:$AB$32,4,0)</f>
        <v>100 folhas, de 25 plantas</v>
      </c>
      <c r="C28" s="373"/>
      <c r="D28" s="373"/>
      <c r="E28" s="373"/>
      <c r="F28" s="373"/>
      <c r="G28" s="373"/>
      <c r="H28" s="373"/>
      <c r="I28" s="373"/>
      <c r="Y28" s="230" t="s">
        <v>324</v>
      </c>
      <c r="Z28" s="230" t="s">
        <v>379</v>
      </c>
      <c r="AA28" s="230" t="s">
        <v>385</v>
      </c>
      <c r="AB28" s="230" t="s">
        <v>386</v>
      </c>
    </row>
    <row r="29" spans="2:28" ht="18.75" thickBot="1" x14ac:dyDescent="0.3">
      <c r="Y29" s="230" t="s">
        <v>325</v>
      </c>
      <c r="Z29" s="230" t="s">
        <v>381</v>
      </c>
      <c r="AA29" s="230" t="s">
        <v>387</v>
      </c>
      <c r="AB29" s="230" t="s">
        <v>384</v>
      </c>
    </row>
    <row r="30" spans="2:28" ht="18.75" thickBot="1" x14ac:dyDescent="0.3">
      <c r="B30" s="374" t="s">
        <v>487</v>
      </c>
      <c r="C30" s="375"/>
      <c r="D30" s="375"/>
      <c r="E30" s="375"/>
      <c r="F30" s="375"/>
      <c r="G30" s="375"/>
      <c r="H30" s="375"/>
      <c r="I30" s="376"/>
      <c r="Y30" s="230" t="s">
        <v>326</v>
      </c>
      <c r="Z30" s="230" t="s">
        <v>381</v>
      </c>
      <c r="AA30" s="230" t="s">
        <v>388</v>
      </c>
      <c r="AB30" s="230" t="s">
        <v>389</v>
      </c>
    </row>
    <row r="31" spans="2:28" ht="18" customHeight="1" x14ac:dyDescent="0.25">
      <c r="B31" s="373" t="str">
        <f>VLOOKUP($P$8,$Y$23:$AB$32,4,0)</f>
        <v>100 folhas, de 25 plantas</v>
      </c>
      <c r="C31" s="373"/>
      <c r="D31" s="373"/>
      <c r="E31" s="373"/>
      <c r="F31" s="373"/>
      <c r="G31" s="373"/>
      <c r="H31" s="373"/>
      <c r="I31" s="373"/>
      <c r="Y31" s="230" t="s">
        <v>329</v>
      </c>
      <c r="Z31" s="230" t="s">
        <v>381</v>
      </c>
      <c r="AA31" s="230" t="s">
        <v>390</v>
      </c>
      <c r="AB31" s="230" t="s">
        <v>391</v>
      </c>
    </row>
    <row r="32" spans="2:28" ht="18" customHeight="1" thickBot="1" x14ac:dyDescent="0.3">
      <c r="Y32" s="230" t="s">
        <v>330</v>
      </c>
      <c r="Z32" s="230" t="s">
        <v>392</v>
      </c>
      <c r="AA32" s="230" t="s">
        <v>393</v>
      </c>
      <c r="AB32" s="230" t="s">
        <v>378</v>
      </c>
    </row>
    <row r="33" spans="2:10" ht="18.75" thickBot="1" x14ac:dyDescent="0.3">
      <c r="B33" s="374" t="s">
        <v>488</v>
      </c>
      <c r="C33" s="375"/>
      <c r="D33" s="375"/>
      <c r="E33" s="375"/>
      <c r="F33" s="375"/>
      <c r="G33" s="375"/>
      <c r="H33" s="375"/>
      <c r="I33" s="376"/>
    </row>
    <row r="34" spans="2:10" ht="18" x14ac:dyDescent="0.25">
      <c r="B34" s="379" t="s">
        <v>369</v>
      </c>
      <c r="C34" s="379"/>
      <c r="D34" s="379"/>
      <c r="E34" s="379"/>
      <c r="F34" s="379"/>
      <c r="G34" s="379"/>
      <c r="H34" s="379"/>
      <c r="I34" s="379"/>
    </row>
    <row r="35" spans="2:10" ht="18" x14ac:dyDescent="0.25">
      <c r="B35" s="379"/>
      <c r="C35" s="379"/>
      <c r="D35" s="379"/>
      <c r="E35" s="379"/>
      <c r="F35" s="379"/>
      <c r="G35" s="379"/>
      <c r="H35" s="379"/>
      <c r="I35" s="379"/>
    </row>
    <row r="36" spans="2:10" ht="20.25" customHeight="1" x14ac:dyDescent="0.25">
      <c r="B36" s="379"/>
      <c r="C36" s="379"/>
      <c r="D36" s="379"/>
      <c r="E36" s="379"/>
      <c r="F36" s="379"/>
      <c r="G36" s="379"/>
      <c r="H36" s="379"/>
      <c r="I36" s="379"/>
    </row>
    <row r="37" spans="2:10" ht="20.25" customHeight="1" x14ac:dyDescent="0.25">
      <c r="B37" s="379"/>
      <c r="C37" s="379"/>
      <c r="D37" s="379"/>
      <c r="E37" s="379"/>
      <c r="F37" s="379"/>
      <c r="G37" s="379"/>
      <c r="H37" s="379"/>
      <c r="I37" s="379"/>
    </row>
    <row r="38" spans="2:10" ht="20.25" customHeight="1" x14ac:dyDescent="0.25">
      <c r="B38" s="379"/>
      <c r="C38" s="379"/>
      <c r="D38" s="379"/>
      <c r="E38" s="379"/>
      <c r="F38" s="379"/>
      <c r="G38" s="379"/>
      <c r="H38" s="379"/>
      <c r="I38" s="379"/>
    </row>
    <row r="39" spans="2:10" ht="20.25" customHeight="1" x14ac:dyDescent="0.25">
      <c r="B39" s="379"/>
      <c r="C39" s="379"/>
      <c r="D39" s="379"/>
      <c r="E39" s="379"/>
      <c r="F39" s="379"/>
      <c r="G39" s="379"/>
      <c r="H39" s="379"/>
      <c r="I39" s="379"/>
    </row>
    <row r="40" spans="2:10" ht="20.25" customHeight="1" x14ac:dyDescent="0.25">
      <c r="B40" s="379"/>
      <c r="C40" s="379"/>
      <c r="D40" s="379"/>
      <c r="E40" s="379"/>
      <c r="F40" s="379"/>
      <c r="G40" s="379"/>
      <c r="H40" s="379"/>
      <c r="I40" s="379"/>
    </row>
    <row r="41" spans="2:10" ht="20.25" customHeight="1" x14ac:dyDescent="0.25">
      <c r="B41" s="379"/>
      <c r="C41" s="379"/>
      <c r="D41" s="379"/>
      <c r="E41" s="379"/>
      <c r="F41" s="379"/>
      <c r="G41" s="379"/>
      <c r="H41" s="379"/>
      <c r="I41" s="379"/>
      <c r="J41" s="188"/>
    </row>
    <row r="42" spans="2:10" ht="20.25" customHeight="1" x14ac:dyDescent="0.25">
      <c r="B42" s="379"/>
      <c r="C42" s="379"/>
      <c r="D42" s="379"/>
      <c r="E42" s="379"/>
      <c r="F42" s="379"/>
      <c r="G42" s="379"/>
      <c r="H42" s="379"/>
      <c r="I42" s="379"/>
    </row>
    <row r="43" spans="2:10" ht="20.25" customHeight="1" thickBot="1" x14ac:dyDescent="0.3">
      <c r="B43" s="380"/>
      <c r="C43" s="380"/>
      <c r="D43" s="380"/>
      <c r="E43" s="380"/>
      <c r="F43" s="380"/>
      <c r="G43" s="380"/>
      <c r="H43" s="380"/>
      <c r="I43" s="380"/>
    </row>
    <row r="44" spans="2:10" ht="20.25" customHeight="1" x14ac:dyDescent="0.25">
      <c r="B44" s="274"/>
      <c r="C44" s="275"/>
      <c r="D44" s="275"/>
      <c r="E44" s="276"/>
      <c r="F44" s="274"/>
      <c r="G44" s="275"/>
      <c r="H44" s="275"/>
      <c r="I44" s="276"/>
    </row>
    <row r="45" spans="2:10" ht="20.25" customHeight="1" x14ac:dyDescent="0.25">
      <c r="B45" s="277"/>
      <c r="C45" s="278"/>
      <c r="D45" s="278"/>
      <c r="E45" s="279"/>
      <c r="F45" s="277"/>
      <c r="G45" s="278"/>
      <c r="H45" s="278"/>
      <c r="I45" s="279"/>
    </row>
    <row r="46" spans="2:10" ht="20.25" customHeight="1" thickBot="1" x14ac:dyDescent="0.3">
      <c r="B46" s="280"/>
      <c r="C46" s="281"/>
      <c r="D46" s="281"/>
      <c r="E46" s="282"/>
      <c r="F46" s="280"/>
      <c r="G46" s="281"/>
      <c r="H46" s="281"/>
      <c r="I46" s="282"/>
    </row>
    <row r="47" spans="2:10" ht="20.25" customHeight="1" thickBot="1" x14ac:dyDescent="0.3">
      <c r="B47" s="381" t="s">
        <v>120</v>
      </c>
      <c r="C47" s="382"/>
      <c r="D47" s="382"/>
      <c r="E47" s="383"/>
      <c r="F47" s="381" t="s">
        <v>121</v>
      </c>
      <c r="G47" s="382"/>
      <c r="H47" s="382"/>
      <c r="I47" s="384"/>
    </row>
    <row r="48" spans="2:10" ht="20.25" customHeight="1" x14ac:dyDescent="0.25">
      <c r="B48" s="229"/>
      <c r="C48" s="229"/>
      <c r="D48" s="229"/>
      <c r="E48" s="229"/>
      <c r="F48" s="229"/>
      <c r="G48" s="229"/>
      <c r="H48" s="229"/>
      <c r="I48" s="229"/>
    </row>
    <row r="49" spans="2:9" ht="20.25" customHeight="1" x14ac:dyDescent="0.25">
      <c r="B49" s="229"/>
      <c r="C49" s="229"/>
      <c r="D49" s="229"/>
      <c r="E49" s="229"/>
      <c r="F49" s="229"/>
      <c r="G49" s="229"/>
      <c r="H49" s="229"/>
      <c r="I49" s="229"/>
    </row>
    <row r="50" spans="2:9" ht="20.25" customHeight="1" x14ac:dyDescent="0.25">
      <c r="B50" s="229"/>
      <c r="C50" s="229"/>
      <c r="D50" s="229"/>
      <c r="E50" s="229"/>
      <c r="F50" s="229"/>
      <c r="G50" s="229"/>
      <c r="H50" s="229"/>
      <c r="I50" s="229"/>
    </row>
    <row r="51" spans="2:9" ht="20.25" customHeight="1" x14ac:dyDescent="0.25">
      <c r="B51" s="229"/>
      <c r="C51" s="229"/>
      <c r="D51" s="229"/>
      <c r="E51" s="229"/>
      <c r="F51" s="229"/>
      <c r="G51" s="229"/>
      <c r="H51" s="229"/>
      <c r="I51" s="229"/>
    </row>
    <row r="52" spans="2:9" ht="20.25" customHeight="1" x14ac:dyDescent="0.25">
      <c r="B52" s="229"/>
      <c r="C52" s="229"/>
      <c r="D52" s="229"/>
      <c r="E52" s="229"/>
      <c r="F52" s="229"/>
      <c r="G52" s="229"/>
      <c r="H52" s="229"/>
      <c r="I52" s="229"/>
    </row>
    <row r="53" spans="2:9" ht="20.25" customHeight="1" x14ac:dyDescent="0.25">
      <c r="B53" s="229"/>
      <c r="C53" s="229"/>
      <c r="D53" s="229"/>
      <c r="E53" s="229"/>
      <c r="F53" s="229"/>
      <c r="G53" s="229"/>
      <c r="H53" s="229"/>
      <c r="I53" s="229"/>
    </row>
    <row r="97" spans="1:3" ht="20.25" customHeight="1" x14ac:dyDescent="0.25">
      <c r="A97" s="30"/>
    </row>
    <row r="98" spans="1:3" ht="20.25" customHeight="1" x14ac:dyDescent="0.25">
      <c r="A98" s="199"/>
    </row>
    <row r="99" spans="1:3" ht="20.25" customHeight="1" x14ac:dyDescent="0.25">
      <c r="A99" s="199"/>
    </row>
    <row r="100" spans="1:3" ht="20.25" customHeight="1" x14ac:dyDescent="0.25">
      <c r="A100" s="188"/>
    </row>
    <row r="101" spans="1:3" ht="20.25" customHeight="1" x14ac:dyDescent="0.25">
      <c r="A101" s="188"/>
      <c r="B101" s="24"/>
      <c r="C101" s="24"/>
    </row>
    <row r="102" spans="1:3" ht="20.25" customHeight="1" x14ac:dyDescent="0.25">
      <c r="A102" s="188"/>
    </row>
    <row r="116" spans="3:4" ht="20.25" customHeight="1" x14ac:dyDescent="0.25">
      <c r="C116" s="188"/>
      <c r="D116" s="21"/>
    </row>
    <row r="117" spans="3:4" ht="20.25" customHeight="1" x14ac:dyDescent="0.25">
      <c r="C117" s="188"/>
    </row>
    <row r="118" spans="3:4" ht="20.25" customHeight="1" x14ac:dyDescent="0.25">
      <c r="C118" s="188"/>
    </row>
    <row r="119" spans="3:4" ht="20.25" customHeight="1" x14ac:dyDescent="0.25">
      <c r="C119" s="188"/>
    </row>
    <row r="120" spans="3:4" ht="20.25" customHeight="1" x14ac:dyDescent="0.25">
      <c r="C120" s="188"/>
    </row>
    <row r="121" spans="3:4" ht="20.25" customHeight="1" x14ac:dyDescent="0.25">
      <c r="C121" s="188"/>
    </row>
    <row r="122" spans="3:4" ht="20.25" customHeight="1" x14ac:dyDescent="0.25">
      <c r="C122" s="188"/>
      <c r="D122" s="188"/>
    </row>
    <row r="123" spans="3:4" ht="20.25" customHeight="1" x14ac:dyDescent="0.25">
      <c r="C123" s="188"/>
      <c r="D123" s="188"/>
    </row>
    <row r="124" spans="3:4" ht="20.25" customHeight="1" x14ac:dyDescent="0.25">
      <c r="C124" s="188"/>
      <c r="D124" s="188"/>
    </row>
  </sheetData>
  <mergeCells count="23">
    <mergeCell ref="B34:I43"/>
    <mergeCell ref="B44:E46"/>
    <mergeCell ref="F44:I46"/>
    <mergeCell ref="B47:E47"/>
    <mergeCell ref="F47:I47"/>
    <mergeCell ref="B25:I25"/>
    <mergeCell ref="B27:I27"/>
    <mergeCell ref="B28:I28"/>
    <mergeCell ref="B30:I30"/>
    <mergeCell ref="O7:O8"/>
    <mergeCell ref="B9:I9"/>
    <mergeCell ref="C11:I11"/>
    <mergeCell ref="C12:I12"/>
    <mergeCell ref="C13:I13"/>
    <mergeCell ref="N4:O4"/>
    <mergeCell ref="B31:I31"/>
    <mergeCell ref="B33:I33"/>
    <mergeCell ref="C14:G14"/>
    <mergeCell ref="B16:I16"/>
    <mergeCell ref="B17:I20"/>
    <mergeCell ref="B21:I21"/>
    <mergeCell ref="B22:I22"/>
    <mergeCell ref="B24:I24"/>
  </mergeCells>
  <dataValidations count="1">
    <dataValidation type="list" allowBlank="1" showInputMessage="1" showErrorMessage="1" sqref="P8">
      <formula1>$T$29:$T$38</formula1>
    </dataValidation>
  </dataValidations>
  <hyperlinks>
    <hyperlink ref="N4:O4" location="'Apresentação (1)'!A1" display="Voltar"/>
  </hyperlinks>
  <pageMargins left="0.19685039370078741" right="0" top="0.59055118110236227" bottom="0.39370078740157483" header="0.19685039370078741" footer="0"/>
  <pageSetup paperSize="9" scale="58"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84"/>
  <sheetViews>
    <sheetView showGridLines="0" zoomScale="90" zoomScaleNormal="90" workbookViewId="0">
      <selection activeCell="J5" sqref="J5"/>
    </sheetView>
  </sheetViews>
  <sheetFormatPr defaultRowHeight="15" x14ac:dyDescent="0.25"/>
  <cols>
    <col min="2" max="2" width="13.42578125" customWidth="1"/>
    <col min="3" max="3" width="31" customWidth="1"/>
    <col min="4" max="4" width="10.5703125" customWidth="1"/>
    <col min="5" max="5" width="14.140625" customWidth="1"/>
    <col min="6" max="6" width="30" bestFit="1" customWidth="1"/>
    <col min="8" max="8" width="19.140625" style="223" customWidth="1"/>
    <col min="9" max="9" width="17.85546875" style="223" customWidth="1"/>
  </cols>
  <sheetData>
    <row r="3" spans="2:9" ht="20.25" x14ac:dyDescent="0.25">
      <c r="B3" s="217"/>
      <c r="C3" s="217"/>
      <c r="D3" s="217"/>
      <c r="E3" s="217"/>
      <c r="F3" s="217"/>
    </row>
    <row r="4" spans="2:9" ht="21" thickBot="1" x14ac:dyDescent="0.3">
      <c r="B4" s="217"/>
      <c r="C4" s="217"/>
      <c r="D4" s="217"/>
      <c r="E4" s="217"/>
      <c r="F4" s="217"/>
    </row>
    <row r="5" spans="2:9" ht="18" x14ac:dyDescent="0.25">
      <c r="B5" s="409" t="s">
        <v>334</v>
      </c>
      <c r="C5" s="400" t="s">
        <v>337</v>
      </c>
      <c r="D5" s="401"/>
      <c r="E5" s="401"/>
      <c r="F5" s="402"/>
      <c r="G5" s="48"/>
      <c r="H5" s="416" t="s">
        <v>280</v>
      </c>
      <c r="I5" s="416"/>
    </row>
    <row r="6" spans="2:9" ht="16.5" thickBot="1" x14ac:dyDescent="0.3">
      <c r="B6" s="410"/>
      <c r="C6" s="403"/>
      <c r="D6" s="404"/>
      <c r="E6" s="404"/>
      <c r="F6" s="405"/>
      <c r="G6" s="48"/>
      <c r="H6" s="222"/>
      <c r="I6" s="224"/>
    </row>
    <row r="7" spans="2:9" ht="16.5" thickBot="1" x14ac:dyDescent="0.3">
      <c r="B7" s="49"/>
      <c r="C7" s="218" t="s">
        <v>55</v>
      </c>
      <c r="D7" s="219" t="s">
        <v>335</v>
      </c>
      <c r="E7" s="221">
        <f>B7*391</f>
        <v>0</v>
      </c>
      <c r="F7" s="220" t="s">
        <v>336</v>
      </c>
      <c r="G7" s="48"/>
      <c r="H7" s="222"/>
      <c r="I7" s="224"/>
    </row>
    <row r="8" spans="2:9" ht="16.5" thickBot="1" x14ac:dyDescent="0.3">
      <c r="B8" s="49"/>
      <c r="C8" s="218" t="s">
        <v>464</v>
      </c>
      <c r="D8" s="219" t="s">
        <v>335</v>
      </c>
      <c r="E8" s="221">
        <f>B8*2.5</f>
        <v>0</v>
      </c>
      <c r="F8" s="220" t="s">
        <v>465</v>
      </c>
      <c r="G8" s="48"/>
      <c r="H8" s="222"/>
      <c r="I8" s="224"/>
    </row>
    <row r="9" spans="2:9" ht="15.75" thickBot="1" x14ac:dyDescent="0.3">
      <c r="B9" s="49"/>
      <c r="C9" s="218" t="s">
        <v>465</v>
      </c>
      <c r="D9" s="219" t="s">
        <v>335</v>
      </c>
      <c r="E9" s="221">
        <f>B9/2.5</f>
        <v>0</v>
      </c>
      <c r="F9" s="220" t="s">
        <v>464</v>
      </c>
      <c r="G9" s="48"/>
    </row>
    <row r="10" spans="2:9" ht="16.5" thickBot="1" x14ac:dyDescent="0.3">
      <c r="B10" s="49"/>
      <c r="C10" s="218" t="s">
        <v>466</v>
      </c>
      <c r="D10" s="219" t="s">
        <v>335</v>
      </c>
      <c r="E10" s="221">
        <f>B10*1.7</f>
        <v>0</v>
      </c>
      <c r="F10" s="220" t="s">
        <v>467</v>
      </c>
      <c r="G10" s="48"/>
      <c r="H10" s="222"/>
      <c r="I10" s="224"/>
    </row>
    <row r="11" spans="2:9" ht="15.75" thickBot="1" x14ac:dyDescent="0.3">
      <c r="B11" s="49"/>
      <c r="C11" s="220" t="s">
        <v>467</v>
      </c>
      <c r="D11" s="219" t="s">
        <v>335</v>
      </c>
      <c r="E11" s="221">
        <f>B11/1.7</f>
        <v>0</v>
      </c>
      <c r="F11" s="218" t="s">
        <v>466</v>
      </c>
      <c r="G11" s="48"/>
      <c r="I11" s="222"/>
    </row>
    <row r="12" spans="2:9" ht="16.5" thickBot="1" x14ac:dyDescent="0.3">
      <c r="B12" s="49"/>
      <c r="C12" s="218" t="s">
        <v>464</v>
      </c>
      <c r="D12" s="219" t="s">
        <v>335</v>
      </c>
      <c r="E12" s="221">
        <f>B12*1.4</f>
        <v>0</v>
      </c>
      <c r="F12" s="220" t="s">
        <v>468</v>
      </c>
      <c r="G12" s="48"/>
      <c r="H12" s="225"/>
      <c r="I12" s="224"/>
    </row>
    <row r="13" spans="2:9" ht="15.75" thickBot="1" x14ac:dyDescent="0.3">
      <c r="B13" s="49"/>
      <c r="C13" s="220" t="s">
        <v>468</v>
      </c>
      <c r="D13" s="219" t="s">
        <v>335</v>
      </c>
      <c r="E13" s="221">
        <f>B13/1.4</f>
        <v>0</v>
      </c>
      <c r="F13" s="218" t="s">
        <v>464</v>
      </c>
      <c r="G13" s="48"/>
      <c r="H13" s="222"/>
      <c r="I13" s="222"/>
    </row>
    <row r="14" spans="2:9" ht="15.75" thickBot="1" x14ac:dyDescent="0.3">
      <c r="B14" s="49"/>
      <c r="C14" s="218" t="s">
        <v>469</v>
      </c>
      <c r="D14" s="219" t="s">
        <v>335</v>
      </c>
      <c r="E14" s="221">
        <f>B14*2.3</f>
        <v>0</v>
      </c>
      <c r="F14" s="218" t="s">
        <v>470</v>
      </c>
      <c r="G14" s="48"/>
      <c r="H14" s="225"/>
      <c r="I14" s="226"/>
    </row>
    <row r="15" spans="2:9" ht="15.75" thickBot="1" x14ac:dyDescent="0.3">
      <c r="B15" s="49"/>
      <c r="C15" s="218" t="s">
        <v>470</v>
      </c>
      <c r="D15" s="219" t="s">
        <v>335</v>
      </c>
      <c r="E15" s="221">
        <f>B15/2.3</f>
        <v>0</v>
      </c>
      <c r="F15" s="218" t="s">
        <v>469</v>
      </c>
      <c r="G15" s="48"/>
      <c r="H15" s="222"/>
      <c r="I15" s="222"/>
    </row>
    <row r="16" spans="2:9" ht="15.75" thickBot="1" x14ac:dyDescent="0.3">
      <c r="B16" s="49"/>
      <c r="C16" s="218" t="s">
        <v>471</v>
      </c>
      <c r="D16" s="219" t="s">
        <v>335</v>
      </c>
      <c r="E16" s="221">
        <f>B16*1.2</f>
        <v>0</v>
      </c>
      <c r="F16" s="218" t="s">
        <v>472</v>
      </c>
      <c r="G16" s="48"/>
      <c r="H16" s="225"/>
      <c r="I16" s="226"/>
    </row>
    <row r="17" spans="2:9" ht="15.75" thickBot="1" x14ac:dyDescent="0.3">
      <c r="B17" s="49"/>
      <c r="C17" s="218" t="s">
        <v>472</v>
      </c>
      <c r="D17" s="219" t="s">
        <v>335</v>
      </c>
      <c r="E17" s="221">
        <f>B17/1.2</f>
        <v>0</v>
      </c>
      <c r="F17" s="218" t="s">
        <v>471</v>
      </c>
      <c r="G17" s="48"/>
      <c r="H17" s="222"/>
      <c r="I17" s="222"/>
    </row>
    <row r="18" spans="2:9" ht="15.75" thickBot="1" x14ac:dyDescent="0.3">
      <c r="B18" s="49"/>
      <c r="C18" s="218" t="s">
        <v>473</v>
      </c>
      <c r="D18" s="219" t="s">
        <v>335</v>
      </c>
      <c r="E18" s="221">
        <f>B18</f>
        <v>0</v>
      </c>
      <c r="F18" s="218" t="s">
        <v>474</v>
      </c>
      <c r="G18" s="48"/>
      <c r="H18" s="222"/>
      <c r="I18" s="226"/>
    </row>
    <row r="19" spans="2:9" ht="15.75" thickBot="1" x14ac:dyDescent="0.3">
      <c r="B19" s="49"/>
      <c r="C19" s="218" t="s">
        <v>475</v>
      </c>
      <c r="D19" s="219" t="s">
        <v>335</v>
      </c>
      <c r="E19" s="221">
        <f>B19</f>
        <v>0</v>
      </c>
      <c r="F19" s="218" t="s">
        <v>476</v>
      </c>
      <c r="G19" s="48"/>
      <c r="H19" s="222"/>
      <c r="I19" s="222"/>
    </row>
    <row r="20" spans="2:9" ht="15.75" thickBot="1" x14ac:dyDescent="0.3">
      <c r="B20" s="49"/>
      <c r="C20" s="218" t="s">
        <v>477</v>
      </c>
      <c r="D20" s="219" t="s">
        <v>335</v>
      </c>
      <c r="E20" s="221">
        <f t="shared" ref="E20" si="0">B20</f>
        <v>0</v>
      </c>
      <c r="F20" s="218" t="s">
        <v>478</v>
      </c>
      <c r="G20" s="48"/>
      <c r="H20" s="222"/>
      <c r="I20" s="226"/>
    </row>
    <row r="21" spans="2:9" ht="15.75" thickBot="1" x14ac:dyDescent="0.3">
      <c r="B21" s="49"/>
      <c r="C21" s="218" t="s">
        <v>474</v>
      </c>
      <c r="D21" s="219" t="s">
        <v>335</v>
      </c>
      <c r="E21" s="221">
        <f>B21*2</f>
        <v>0</v>
      </c>
      <c r="F21" s="218" t="s">
        <v>479</v>
      </c>
      <c r="G21" s="48"/>
      <c r="H21" s="222"/>
      <c r="I21" s="222"/>
    </row>
    <row r="22" spans="2:9" ht="15.75" thickBot="1" x14ac:dyDescent="0.3">
      <c r="B22" s="49"/>
      <c r="C22" s="218" t="s">
        <v>479</v>
      </c>
      <c r="D22" s="219" t="s">
        <v>335</v>
      </c>
      <c r="E22" s="221">
        <f>B22/2</f>
        <v>0</v>
      </c>
      <c r="F22" s="218" t="s">
        <v>474</v>
      </c>
      <c r="G22" s="48"/>
      <c r="H22" s="222"/>
      <c r="I22" s="226"/>
    </row>
    <row r="23" spans="2:9" ht="15.75" thickBot="1" x14ac:dyDescent="0.3">
      <c r="B23" s="49"/>
      <c r="C23" s="218" t="s">
        <v>23</v>
      </c>
      <c r="D23" s="219" t="s">
        <v>335</v>
      </c>
      <c r="E23" s="221">
        <f>B23*10000</f>
        <v>0</v>
      </c>
      <c r="F23" s="218" t="s">
        <v>474</v>
      </c>
      <c r="G23" s="48"/>
      <c r="H23" s="222"/>
      <c r="I23" s="222"/>
    </row>
    <row r="24" spans="2:9" ht="15.75" thickBot="1" x14ac:dyDescent="0.3">
      <c r="B24" s="49"/>
      <c r="C24" s="218" t="s">
        <v>474</v>
      </c>
      <c r="D24" s="219" t="s">
        <v>335</v>
      </c>
      <c r="E24" s="221">
        <f>B24/10000</f>
        <v>0</v>
      </c>
      <c r="F24" s="218" t="s">
        <v>23</v>
      </c>
      <c r="G24" s="48"/>
      <c r="H24" s="222"/>
      <c r="I24" s="226"/>
    </row>
    <row r="25" spans="2:9" ht="15.75" thickBot="1" x14ac:dyDescent="0.3">
      <c r="B25" s="49"/>
      <c r="C25" s="218" t="s">
        <v>480</v>
      </c>
      <c r="D25" s="219" t="s">
        <v>335</v>
      </c>
      <c r="E25" s="221">
        <f>B25</f>
        <v>0</v>
      </c>
      <c r="F25" s="218" t="s">
        <v>23</v>
      </c>
      <c r="G25" s="48"/>
      <c r="H25" s="222"/>
      <c r="I25" s="226"/>
    </row>
    <row r="26" spans="2:9" ht="15.75" thickBot="1" x14ac:dyDescent="0.3">
      <c r="B26" s="49">
        <v>1</v>
      </c>
      <c r="C26" s="218" t="s">
        <v>481</v>
      </c>
      <c r="D26" s="219" t="s">
        <v>335</v>
      </c>
      <c r="E26" s="221">
        <f>B26/10</f>
        <v>0.1</v>
      </c>
      <c r="F26" s="218" t="s">
        <v>482</v>
      </c>
      <c r="G26" s="48"/>
      <c r="H26" s="222"/>
      <c r="I26" s="226"/>
    </row>
    <row r="27" spans="2:9" ht="15.75" thickBot="1" x14ac:dyDescent="0.3">
      <c r="B27" s="49"/>
      <c r="C27" s="218" t="s">
        <v>482</v>
      </c>
      <c r="D27" s="219" t="s">
        <v>335</v>
      </c>
      <c r="E27" s="221">
        <f>B27*10</f>
        <v>0</v>
      </c>
      <c r="F27" s="218" t="s">
        <v>481</v>
      </c>
      <c r="G27" s="48"/>
      <c r="H27" s="222"/>
      <c r="I27" s="226"/>
    </row>
    <row r="28" spans="2:9" ht="15.75" thickBot="1" x14ac:dyDescent="0.3">
      <c r="B28" s="406" t="s">
        <v>483</v>
      </c>
      <c r="C28" s="407"/>
      <c r="D28" s="407"/>
      <c r="E28" s="407"/>
      <c r="F28" s="408"/>
      <c r="G28" s="48"/>
      <c r="H28" s="222"/>
      <c r="I28" s="226"/>
    </row>
    <row r="29" spans="2:9" ht="15.75" thickBot="1" x14ac:dyDescent="0.3">
      <c r="B29" s="411" t="s">
        <v>484</v>
      </c>
      <c r="C29" s="412"/>
      <c r="D29" s="412"/>
      <c r="E29" s="412"/>
      <c r="F29" s="413"/>
      <c r="G29" s="48"/>
      <c r="H29" s="222"/>
      <c r="I29" s="226"/>
    </row>
    <row r="30" spans="2:9" ht="15.75" x14ac:dyDescent="0.25">
      <c r="B30" s="214"/>
      <c r="C30" s="215"/>
      <c r="D30" s="216"/>
      <c r="E30" s="216"/>
      <c r="F30" s="215"/>
      <c r="G30" s="48"/>
      <c r="H30" s="222"/>
      <c r="I30" s="224"/>
    </row>
    <row r="31" spans="2:9" x14ac:dyDescent="0.25">
      <c r="B31" s="222"/>
      <c r="C31" s="222"/>
      <c r="D31" s="216"/>
      <c r="E31" s="216"/>
      <c r="F31" s="215"/>
      <c r="G31" s="48"/>
      <c r="H31" s="222"/>
      <c r="I31" s="226"/>
    </row>
    <row r="32" spans="2:9" ht="15.75" x14ac:dyDescent="0.25">
      <c r="B32" s="222"/>
      <c r="C32" s="215"/>
      <c r="D32" s="216"/>
      <c r="E32" s="216"/>
      <c r="F32" s="215"/>
      <c r="G32" s="48"/>
      <c r="H32" s="222"/>
      <c r="I32" s="224"/>
    </row>
    <row r="33" spans="2:9" ht="15.75" x14ac:dyDescent="0.25">
      <c r="B33" s="214"/>
      <c r="C33" s="215"/>
      <c r="D33" s="216"/>
      <c r="E33" s="216"/>
      <c r="F33" s="215"/>
      <c r="G33" s="48"/>
      <c r="H33" s="222"/>
      <c r="I33" s="224"/>
    </row>
    <row r="34" spans="2:9" ht="15.75" x14ac:dyDescent="0.25">
      <c r="B34" s="214"/>
      <c r="C34" s="215"/>
      <c r="D34" s="216"/>
      <c r="E34" s="216"/>
      <c r="F34" s="215"/>
      <c r="G34" s="48"/>
      <c r="H34" s="222"/>
      <c r="I34" s="224"/>
    </row>
    <row r="35" spans="2:9" ht="15.75" x14ac:dyDescent="0.25">
      <c r="B35" s="214"/>
      <c r="C35" s="215"/>
      <c r="D35" s="216"/>
      <c r="E35" s="216"/>
      <c r="F35" s="215"/>
      <c r="G35" s="48"/>
      <c r="H35" s="224"/>
      <c r="I35" s="224"/>
    </row>
    <row r="36" spans="2:9" ht="15.75" x14ac:dyDescent="0.25">
      <c r="B36" s="214"/>
      <c r="C36" s="215"/>
      <c r="D36" s="216"/>
      <c r="E36" s="216"/>
      <c r="F36" s="215"/>
      <c r="G36" s="48"/>
      <c r="H36" s="224"/>
      <c r="I36" s="224"/>
    </row>
    <row r="37" spans="2:9" ht="15.75" x14ac:dyDescent="0.25">
      <c r="B37" s="214"/>
      <c r="C37" s="215"/>
      <c r="D37" s="216"/>
      <c r="E37" s="216"/>
      <c r="F37" s="215"/>
      <c r="G37" s="48"/>
      <c r="H37" s="224"/>
      <c r="I37" s="224"/>
    </row>
    <row r="38" spans="2:9" ht="15.75" x14ac:dyDescent="0.25">
      <c r="B38" s="214"/>
      <c r="C38" s="215"/>
      <c r="D38" s="216"/>
      <c r="E38" s="216"/>
      <c r="F38" s="215"/>
      <c r="G38" s="48"/>
      <c r="H38" s="224"/>
      <c r="I38" s="224"/>
    </row>
    <row r="39" spans="2:9" ht="15.75" x14ac:dyDescent="0.25">
      <c r="B39" s="214"/>
      <c r="C39" s="215"/>
      <c r="D39" s="216"/>
      <c r="E39" s="216"/>
      <c r="F39" s="215"/>
      <c r="G39" s="48"/>
      <c r="H39" s="224"/>
      <c r="I39" s="224"/>
    </row>
    <row r="40" spans="2:9" ht="15.75" x14ac:dyDescent="0.25">
      <c r="B40" s="214"/>
      <c r="C40" s="215"/>
      <c r="D40" s="216"/>
      <c r="E40" s="216"/>
      <c r="F40" s="215"/>
      <c r="G40" s="48"/>
      <c r="H40" s="224"/>
      <c r="I40" s="224"/>
    </row>
    <row r="41" spans="2:9" ht="15.75" x14ac:dyDescent="0.25">
      <c r="B41" s="214"/>
      <c r="C41" s="215"/>
      <c r="D41" s="216"/>
      <c r="E41" s="216"/>
      <c r="F41" s="215"/>
      <c r="G41" s="48"/>
      <c r="H41" s="224"/>
      <c r="I41" s="224"/>
    </row>
    <row r="42" spans="2:9" ht="15.75" x14ac:dyDescent="0.25">
      <c r="B42" s="214"/>
      <c r="C42" s="215"/>
      <c r="D42" s="216"/>
      <c r="E42" s="216"/>
      <c r="F42" s="215"/>
      <c r="G42" s="48"/>
      <c r="H42" s="224"/>
      <c r="I42" s="224"/>
    </row>
    <row r="43" spans="2:9" ht="15.75" x14ac:dyDescent="0.25">
      <c r="B43" s="214"/>
      <c r="C43" s="215"/>
      <c r="D43" s="216"/>
      <c r="E43" s="216"/>
      <c r="F43" s="215"/>
      <c r="G43" s="48"/>
      <c r="H43" s="224"/>
      <c r="I43" s="224"/>
    </row>
    <row r="44" spans="2:9" ht="15.75" x14ac:dyDescent="0.25">
      <c r="B44" s="214"/>
      <c r="C44" s="215"/>
      <c r="D44" s="216"/>
      <c r="E44" s="216"/>
      <c r="F44" s="215"/>
      <c r="G44" s="48"/>
      <c r="H44" s="224"/>
      <c r="I44" s="224"/>
    </row>
    <row r="45" spans="2:9" ht="15.75" x14ac:dyDescent="0.25">
      <c r="B45" s="214"/>
      <c r="C45" s="215"/>
      <c r="D45" s="216"/>
      <c r="E45" s="216"/>
      <c r="F45" s="215"/>
      <c r="G45" s="48"/>
      <c r="H45" s="224"/>
      <c r="I45" s="224"/>
    </row>
    <row r="46" spans="2:9" ht="15.75" x14ac:dyDescent="0.25">
      <c r="B46" s="214"/>
      <c r="C46" s="215"/>
      <c r="D46" s="216"/>
      <c r="E46" s="216"/>
      <c r="F46" s="215"/>
      <c r="G46" s="48"/>
      <c r="H46" s="224"/>
      <c r="I46" s="224"/>
    </row>
    <row r="47" spans="2:9" ht="15.75" x14ac:dyDescent="0.25">
      <c r="B47" s="214"/>
      <c r="C47" s="215"/>
      <c r="D47" s="216"/>
      <c r="E47" s="216"/>
      <c r="F47" s="215"/>
      <c r="G47" s="48"/>
      <c r="H47" s="224"/>
      <c r="I47" s="224"/>
    </row>
    <row r="48" spans="2:9" ht="15.75" x14ac:dyDescent="0.25">
      <c r="B48" s="214"/>
      <c r="C48" s="215"/>
      <c r="D48" s="216"/>
      <c r="E48" s="216"/>
      <c r="F48" s="215"/>
      <c r="G48" s="48"/>
      <c r="H48" s="224"/>
      <c r="I48" s="224"/>
    </row>
    <row r="49" spans="2:9" ht="15.75" x14ac:dyDescent="0.25">
      <c r="B49" s="214"/>
      <c r="C49" s="215"/>
      <c r="D49" s="216"/>
      <c r="E49" s="216"/>
      <c r="F49" s="215"/>
      <c r="G49" s="48"/>
      <c r="H49" s="224"/>
      <c r="I49" s="224"/>
    </row>
    <row r="50" spans="2:9" ht="15.75" x14ac:dyDescent="0.25">
      <c r="B50" s="214"/>
      <c r="C50" s="215"/>
      <c r="D50" s="216"/>
      <c r="E50" s="216"/>
      <c r="F50" s="215"/>
      <c r="G50" s="48"/>
      <c r="H50" s="224"/>
      <c r="I50" s="224"/>
    </row>
    <row r="51" spans="2:9" ht="15.75" x14ac:dyDescent="0.25">
      <c r="B51" s="214"/>
      <c r="C51" s="215"/>
      <c r="D51" s="216"/>
      <c r="E51" s="216"/>
      <c r="F51" s="215"/>
      <c r="G51" s="48"/>
      <c r="H51" s="224"/>
      <c r="I51" s="224"/>
    </row>
    <row r="52" spans="2:9" ht="15.75" x14ac:dyDescent="0.25">
      <c r="B52" s="214"/>
      <c r="C52" s="215"/>
      <c r="D52" s="216"/>
      <c r="E52" s="216"/>
      <c r="F52" s="215"/>
      <c r="G52" s="48"/>
      <c r="H52" s="224"/>
      <c r="I52" s="224"/>
    </row>
    <row r="53" spans="2:9" ht="15.75" x14ac:dyDescent="0.25">
      <c r="B53" s="214"/>
      <c r="C53" s="215"/>
      <c r="D53" s="216"/>
      <c r="E53" s="216"/>
      <c r="F53" s="215"/>
      <c r="G53" s="48"/>
      <c r="H53" s="224"/>
      <c r="I53" s="224"/>
    </row>
    <row r="54" spans="2:9" ht="15.75" x14ac:dyDescent="0.25">
      <c r="B54" s="214"/>
      <c r="C54" s="215"/>
      <c r="D54" s="216"/>
      <c r="E54" s="216"/>
      <c r="F54" s="215"/>
      <c r="G54" s="48"/>
      <c r="H54" s="224"/>
      <c r="I54" s="224"/>
    </row>
    <row r="55" spans="2:9" ht="15.75" x14ac:dyDescent="0.25">
      <c r="B55" s="214"/>
      <c r="C55" s="215"/>
      <c r="D55" s="216"/>
      <c r="E55" s="216"/>
      <c r="F55" s="215"/>
      <c r="G55" s="48"/>
      <c r="H55" s="224"/>
      <c r="I55" s="224"/>
    </row>
    <row r="56" spans="2:9" x14ac:dyDescent="0.25">
      <c r="B56" s="214"/>
      <c r="C56" s="215"/>
      <c r="D56" s="216"/>
      <c r="E56" s="216"/>
      <c r="F56" s="215"/>
      <c r="G56" s="48"/>
      <c r="H56" s="226"/>
      <c r="I56" s="226"/>
    </row>
    <row r="57" spans="2:9" x14ac:dyDescent="0.25">
      <c r="B57" s="214"/>
      <c r="C57" s="215"/>
      <c r="D57" s="216"/>
      <c r="E57" s="216"/>
      <c r="F57" s="215"/>
      <c r="G57" s="48"/>
      <c r="H57" s="226"/>
      <c r="I57" s="226"/>
    </row>
    <row r="58" spans="2:9" x14ac:dyDescent="0.25">
      <c r="B58" s="214"/>
      <c r="C58" s="215"/>
      <c r="D58" s="216"/>
      <c r="E58" s="216"/>
      <c r="F58" s="215"/>
      <c r="G58" s="48"/>
      <c r="H58" s="226"/>
      <c r="I58" s="226"/>
    </row>
    <row r="59" spans="2:9" x14ac:dyDescent="0.25">
      <c r="B59" s="214"/>
      <c r="C59" s="215"/>
      <c r="D59" s="216"/>
      <c r="E59" s="216"/>
      <c r="F59" s="215"/>
      <c r="G59" s="48"/>
      <c r="H59" s="226"/>
      <c r="I59" s="226"/>
    </row>
    <row r="60" spans="2:9" x14ac:dyDescent="0.25">
      <c r="B60" s="214"/>
      <c r="C60" s="215"/>
      <c r="D60" s="216"/>
      <c r="E60" s="216"/>
      <c r="F60" s="215"/>
      <c r="G60" s="48"/>
      <c r="H60" s="226"/>
      <c r="I60" s="226"/>
    </row>
    <row r="61" spans="2:9" x14ac:dyDescent="0.25">
      <c r="B61" s="214"/>
      <c r="C61" s="215"/>
      <c r="D61" s="216"/>
      <c r="E61" s="216"/>
      <c r="F61" s="215"/>
      <c r="G61" s="48"/>
      <c r="H61" s="226"/>
      <c r="I61" s="226"/>
    </row>
    <row r="62" spans="2:9" x14ac:dyDescent="0.25">
      <c r="B62" s="214"/>
      <c r="C62" s="215"/>
      <c r="D62" s="216"/>
      <c r="E62" s="216"/>
      <c r="F62" s="215"/>
      <c r="G62" s="48"/>
      <c r="H62" s="226"/>
      <c r="I62" s="226"/>
    </row>
    <row r="63" spans="2:9" x14ac:dyDescent="0.25">
      <c r="B63" s="214"/>
      <c r="C63" s="215"/>
      <c r="D63" s="216"/>
      <c r="E63" s="216"/>
      <c r="F63" s="215"/>
      <c r="G63" s="48"/>
      <c r="H63" s="226"/>
      <c r="I63" s="226"/>
    </row>
    <row r="64" spans="2:9" x14ac:dyDescent="0.25">
      <c r="B64" s="214"/>
      <c r="C64" s="215"/>
      <c r="D64" s="216"/>
      <c r="E64" s="216"/>
      <c r="F64" s="215"/>
      <c r="G64" s="48"/>
      <c r="H64" s="226"/>
      <c r="I64" s="226"/>
    </row>
    <row r="65" spans="2:9" x14ac:dyDescent="0.25">
      <c r="B65" s="214"/>
      <c r="C65" s="215"/>
      <c r="D65" s="216"/>
      <c r="E65" s="216"/>
      <c r="F65" s="215"/>
      <c r="G65" s="48"/>
      <c r="H65" s="226"/>
      <c r="I65" s="226"/>
    </row>
    <row r="66" spans="2:9" x14ac:dyDescent="0.25">
      <c r="B66" s="214"/>
      <c r="C66" s="215"/>
      <c r="D66" s="216"/>
      <c r="E66" s="216"/>
      <c r="F66" s="215"/>
      <c r="G66" s="48"/>
      <c r="H66" s="226"/>
      <c r="I66" s="226"/>
    </row>
    <row r="67" spans="2:9" x14ac:dyDescent="0.25">
      <c r="B67" s="214"/>
      <c r="C67" s="215"/>
      <c r="D67" s="216"/>
      <c r="E67" s="216"/>
      <c r="F67" s="215"/>
      <c r="G67" s="48"/>
      <c r="H67" s="226"/>
      <c r="I67" s="226"/>
    </row>
    <row r="68" spans="2:9" x14ac:dyDescent="0.25">
      <c r="B68" s="214"/>
      <c r="C68" s="215"/>
      <c r="D68" s="216"/>
      <c r="E68" s="216"/>
      <c r="F68" s="215"/>
      <c r="G68" s="48"/>
      <c r="H68" s="226"/>
      <c r="I68" s="226"/>
    </row>
    <row r="69" spans="2:9" x14ac:dyDescent="0.25">
      <c r="B69" s="214"/>
      <c r="C69" s="215"/>
      <c r="D69" s="216"/>
      <c r="E69" s="216"/>
      <c r="F69" s="215"/>
      <c r="G69" s="48"/>
      <c r="H69" s="226"/>
      <c r="I69" s="226"/>
    </row>
    <row r="70" spans="2:9" x14ac:dyDescent="0.25">
      <c r="B70" s="214"/>
      <c r="C70" s="215"/>
      <c r="D70" s="216"/>
      <c r="E70" s="216"/>
      <c r="F70" s="215"/>
      <c r="G70" s="48"/>
      <c r="H70" s="227"/>
      <c r="I70" s="227"/>
    </row>
    <row r="71" spans="2:9" x14ac:dyDescent="0.25">
      <c r="B71" s="214"/>
      <c r="C71" s="215"/>
      <c r="D71" s="216"/>
      <c r="E71" s="216"/>
      <c r="F71" s="215"/>
      <c r="G71" s="48"/>
      <c r="H71" s="227"/>
      <c r="I71" s="227"/>
    </row>
    <row r="72" spans="2:9" x14ac:dyDescent="0.25">
      <c r="B72" s="214"/>
      <c r="C72" s="215"/>
      <c r="D72" s="216"/>
      <c r="E72" s="216"/>
      <c r="F72" s="215"/>
      <c r="G72" s="48"/>
      <c r="H72" s="227"/>
      <c r="I72" s="227"/>
    </row>
    <row r="73" spans="2:9" x14ac:dyDescent="0.25">
      <c r="B73" s="214"/>
      <c r="C73" s="215"/>
      <c r="D73" s="216"/>
      <c r="E73" s="216"/>
      <c r="F73" s="215"/>
      <c r="G73" s="48"/>
      <c r="H73" s="227"/>
      <c r="I73" s="227"/>
    </row>
    <row r="74" spans="2:9" x14ac:dyDescent="0.25">
      <c r="B74" s="214"/>
      <c r="C74" s="215"/>
      <c r="D74" s="216"/>
      <c r="E74" s="216"/>
      <c r="F74" s="215"/>
      <c r="G74" s="48"/>
      <c r="H74" s="227"/>
      <c r="I74" s="227"/>
    </row>
    <row r="75" spans="2:9" x14ac:dyDescent="0.25">
      <c r="B75" s="214"/>
      <c r="C75" s="215"/>
      <c r="D75" s="216"/>
      <c r="E75" s="216"/>
      <c r="F75" s="215"/>
      <c r="G75" s="48"/>
      <c r="H75" s="227"/>
      <c r="I75" s="227"/>
    </row>
    <row r="76" spans="2:9" x14ac:dyDescent="0.25">
      <c r="B76" s="214"/>
      <c r="C76" s="215"/>
      <c r="D76" s="216"/>
      <c r="E76" s="216"/>
      <c r="F76" s="215"/>
      <c r="G76" s="48"/>
      <c r="H76" s="227"/>
      <c r="I76" s="227"/>
    </row>
    <row r="77" spans="2:9" x14ac:dyDescent="0.25">
      <c r="B77" s="214"/>
      <c r="C77" s="215"/>
      <c r="D77" s="216"/>
      <c r="E77" s="216"/>
      <c r="F77" s="215"/>
      <c r="G77" s="48"/>
      <c r="H77" s="227"/>
      <c r="I77" s="227"/>
    </row>
    <row r="78" spans="2:9" x14ac:dyDescent="0.25">
      <c r="B78" s="214"/>
      <c r="C78" s="215"/>
      <c r="D78" s="216"/>
      <c r="E78" s="216"/>
      <c r="F78" s="215"/>
      <c r="G78" s="48"/>
      <c r="H78" s="227"/>
      <c r="I78" s="227"/>
    </row>
    <row r="79" spans="2:9" x14ac:dyDescent="0.25">
      <c r="B79" s="214"/>
      <c r="C79" s="215"/>
      <c r="D79" s="216"/>
      <c r="E79" s="216"/>
      <c r="F79" s="215"/>
      <c r="G79" s="48"/>
      <c r="H79" s="227"/>
      <c r="I79" s="227"/>
    </row>
    <row r="80" spans="2:9" x14ac:dyDescent="0.25">
      <c r="B80" s="214"/>
      <c r="C80" s="215"/>
      <c r="D80" s="216"/>
      <c r="E80" s="216"/>
      <c r="F80" s="215"/>
      <c r="G80" s="48"/>
      <c r="H80" s="227"/>
      <c r="I80" s="227"/>
    </row>
    <row r="81" spans="2:9" x14ac:dyDescent="0.25">
      <c r="B81" s="214"/>
      <c r="C81" s="215"/>
      <c r="D81" s="216"/>
      <c r="E81" s="216"/>
      <c r="F81" s="215"/>
      <c r="G81" s="48"/>
      <c r="H81" s="227"/>
      <c r="I81" s="227"/>
    </row>
    <row r="82" spans="2:9" x14ac:dyDescent="0.25">
      <c r="B82" s="214"/>
      <c r="C82" s="215"/>
      <c r="D82" s="216"/>
      <c r="E82" s="216"/>
      <c r="F82" s="215"/>
      <c r="G82" s="48"/>
      <c r="H82" s="227"/>
      <c r="I82" s="227"/>
    </row>
    <row r="83" spans="2:9" x14ac:dyDescent="0.25">
      <c r="B83" s="214"/>
      <c r="C83" s="215"/>
      <c r="D83" s="216"/>
      <c r="E83" s="216"/>
      <c r="F83" s="215"/>
      <c r="G83" s="48"/>
      <c r="H83" s="227"/>
      <c r="I83" s="227"/>
    </row>
    <row r="84" spans="2:9" x14ac:dyDescent="0.25">
      <c r="B84" s="214"/>
      <c r="C84" s="215"/>
      <c r="D84" s="216"/>
      <c r="E84" s="216"/>
      <c r="F84" s="215"/>
      <c r="G84" s="48"/>
      <c r="H84" s="227"/>
      <c r="I84" s="227"/>
    </row>
  </sheetData>
  <mergeCells count="5">
    <mergeCell ref="C5:F6"/>
    <mergeCell ref="B28:F28"/>
    <mergeCell ref="H5:I5"/>
    <mergeCell ref="B5:B6"/>
    <mergeCell ref="B29:F29"/>
  </mergeCells>
  <hyperlinks>
    <hyperlink ref="H5" location="Apresentação!A1" display="Voltar"/>
    <hyperlink ref="H5:I5" location="'Apresentação (1)'!A1" display="Voltar"/>
  </hyperlink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7"/>
  <sheetViews>
    <sheetView showGridLines="0" zoomScaleNormal="100" workbookViewId="0">
      <selection activeCell="M3" sqref="M3:N3"/>
    </sheetView>
  </sheetViews>
  <sheetFormatPr defaultRowHeight="15" x14ac:dyDescent="0.25"/>
  <cols>
    <col min="2" max="5" width="14.140625" customWidth="1"/>
    <col min="6" max="6" width="17.140625" customWidth="1"/>
    <col min="7" max="7" width="17.28515625" customWidth="1"/>
    <col min="8" max="8" width="14.5703125" customWidth="1"/>
    <col min="9" max="9" width="16.7109375" customWidth="1"/>
    <col min="10" max="10" width="14.7109375" customWidth="1"/>
  </cols>
  <sheetData>
    <row r="2" spans="2:14" ht="20.25" customHeight="1" x14ac:dyDescent="0.25">
      <c r="B2" s="385" t="s">
        <v>368</v>
      </c>
      <c r="C2" s="385"/>
      <c r="D2" s="385"/>
      <c r="E2" s="385"/>
      <c r="F2" s="385"/>
      <c r="G2" s="385"/>
      <c r="H2" s="385"/>
      <c r="I2" s="385"/>
      <c r="J2" s="385"/>
      <c r="K2" s="46"/>
    </row>
    <row r="3" spans="2:14" ht="20.25" customHeight="1" x14ac:dyDescent="0.25">
      <c r="B3" s="386"/>
      <c r="C3" s="386"/>
      <c r="D3" s="386"/>
      <c r="E3" s="386"/>
      <c r="F3" s="386"/>
      <c r="G3" s="386"/>
      <c r="H3" s="386"/>
      <c r="I3" s="386"/>
      <c r="J3" s="386"/>
      <c r="K3" s="46"/>
      <c r="M3" s="416" t="s">
        <v>280</v>
      </c>
      <c r="N3" s="416"/>
    </row>
    <row r="4" spans="2:14" ht="20.25" customHeight="1" x14ac:dyDescent="0.25">
      <c r="B4" s="53" t="s">
        <v>298</v>
      </c>
      <c r="C4" s="387" t="s">
        <v>341</v>
      </c>
      <c r="D4" s="387"/>
      <c r="E4" s="387"/>
      <c r="F4" s="387"/>
      <c r="G4" s="387" t="s">
        <v>342</v>
      </c>
      <c r="H4" s="387"/>
      <c r="I4" s="387"/>
      <c r="J4" s="387"/>
    </row>
    <row r="5" spans="2:14" x14ac:dyDescent="0.25">
      <c r="B5" s="47" t="s">
        <v>338</v>
      </c>
      <c r="C5" s="393" t="s">
        <v>340</v>
      </c>
      <c r="D5" s="393"/>
      <c r="E5" s="393"/>
      <c r="F5" s="393"/>
      <c r="G5" s="393" t="s">
        <v>354</v>
      </c>
      <c r="H5" s="393"/>
      <c r="I5" s="393"/>
      <c r="J5" s="393"/>
    </row>
    <row r="6" spans="2:14" x14ac:dyDescent="0.25">
      <c r="B6" s="388" t="s">
        <v>320</v>
      </c>
      <c r="C6" s="392" t="s">
        <v>343</v>
      </c>
      <c r="D6" s="392"/>
      <c r="E6" s="392"/>
      <c r="F6" s="392"/>
      <c r="G6" s="392"/>
      <c r="H6" s="392"/>
      <c r="I6" s="392"/>
      <c r="J6" s="392"/>
      <c r="K6" s="46"/>
    </row>
    <row r="7" spans="2:14" ht="15" customHeight="1" x14ac:dyDescent="0.25">
      <c r="B7" s="397"/>
      <c r="C7" s="390" t="s">
        <v>362</v>
      </c>
      <c r="D7" s="390"/>
      <c r="E7" s="390"/>
      <c r="F7" s="390"/>
      <c r="G7" s="390" t="s">
        <v>344</v>
      </c>
      <c r="H7" s="390"/>
      <c r="I7" s="390"/>
      <c r="J7" s="390"/>
    </row>
    <row r="8" spans="2:14" x14ac:dyDescent="0.25">
      <c r="B8" s="389"/>
      <c r="C8" s="391"/>
      <c r="D8" s="391"/>
      <c r="E8" s="391"/>
      <c r="F8" s="391"/>
      <c r="G8" s="391"/>
      <c r="H8" s="391"/>
      <c r="I8" s="391"/>
      <c r="J8" s="391"/>
    </row>
    <row r="9" spans="2:14" x14ac:dyDescent="0.25">
      <c r="B9" s="47" t="s">
        <v>321</v>
      </c>
      <c r="C9" s="398" t="s">
        <v>359</v>
      </c>
      <c r="D9" s="398"/>
      <c r="E9" s="398"/>
      <c r="F9" s="398"/>
      <c r="G9" s="393" t="s">
        <v>360</v>
      </c>
      <c r="H9" s="393"/>
      <c r="I9" s="393"/>
      <c r="J9" s="393"/>
    </row>
    <row r="10" spans="2:14" x14ac:dyDescent="0.25">
      <c r="B10" s="388" t="s">
        <v>322</v>
      </c>
      <c r="C10" s="399" t="s">
        <v>361</v>
      </c>
      <c r="D10" s="399"/>
      <c r="E10" s="399"/>
      <c r="F10" s="399"/>
      <c r="G10" s="51"/>
      <c r="H10" s="51"/>
      <c r="I10" s="51"/>
      <c r="J10" s="51"/>
    </row>
    <row r="11" spans="2:14" x14ac:dyDescent="0.25">
      <c r="B11" s="397"/>
      <c r="C11" s="390" t="s">
        <v>345</v>
      </c>
      <c r="D11" s="390"/>
      <c r="E11" s="390"/>
      <c r="F11" s="390"/>
      <c r="G11" s="50"/>
      <c r="H11" s="50"/>
      <c r="I11" s="50"/>
      <c r="J11" s="50"/>
    </row>
    <row r="12" spans="2:14" ht="15" customHeight="1" x14ac:dyDescent="0.25">
      <c r="B12" s="397"/>
      <c r="C12" s="390" t="s">
        <v>346</v>
      </c>
      <c r="D12" s="390"/>
      <c r="E12" s="390"/>
      <c r="F12" s="390"/>
      <c r="G12" s="50"/>
      <c r="H12" s="50"/>
      <c r="I12" s="50"/>
      <c r="J12" s="50"/>
    </row>
    <row r="13" spans="2:14" x14ac:dyDescent="0.25">
      <c r="B13" s="397"/>
      <c r="C13" s="390"/>
      <c r="D13" s="390"/>
      <c r="E13" s="390"/>
      <c r="F13" s="390"/>
      <c r="G13" s="50"/>
      <c r="H13" s="50"/>
      <c r="I13" s="50"/>
      <c r="J13" s="50"/>
    </row>
    <row r="14" spans="2:14" x14ac:dyDescent="0.25">
      <c r="B14" s="389"/>
      <c r="C14" s="394"/>
      <c r="D14" s="394"/>
      <c r="E14" s="394"/>
      <c r="F14" s="394"/>
      <c r="G14" s="394"/>
      <c r="H14" s="394"/>
      <c r="I14" s="394"/>
      <c r="J14" s="394"/>
    </row>
    <row r="15" spans="2:14" x14ac:dyDescent="0.25">
      <c r="B15" s="48" t="s">
        <v>323</v>
      </c>
      <c r="C15" s="396" t="s">
        <v>347</v>
      </c>
      <c r="D15" s="396"/>
      <c r="E15" s="396"/>
      <c r="F15" s="396"/>
      <c r="G15" s="395" t="s">
        <v>356</v>
      </c>
      <c r="H15" s="395"/>
      <c r="I15" s="395"/>
      <c r="J15" s="395"/>
    </row>
    <row r="16" spans="2:14" x14ac:dyDescent="0.25">
      <c r="B16" s="388" t="s">
        <v>324</v>
      </c>
      <c r="C16" s="392" t="s">
        <v>363</v>
      </c>
      <c r="D16" s="392"/>
      <c r="E16" s="392"/>
      <c r="F16" s="392"/>
      <c r="G16" s="392" t="s">
        <v>364</v>
      </c>
      <c r="H16" s="392"/>
      <c r="I16" s="392"/>
      <c r="J16" s="392"/>
    </row>
    <row r="17" spans="2:10" x14ac:dyDescent="0.25">
      <c r="B17" s="389"/>
      <c r="C17" s="394" t="s">
        <v>348</v>
      </c>
      <c r="D17" s="394"/>
      <c r="E17" s="394"/>
      <c r="F17" s="394"/>
      <c r="G17" s="394"/>
      <c r="H17" s="394"/>
      <c r="I17" s="394"/>
      <c r="J17" s="394"/>
    </row>
    <row r="18" spans="2:10" x14ac:dyDescent="0.25">
      <c r="B18" s="47" t="s">
        <v>325</v>
      </c>
      <c r="C18" s="393" t="s">
        <v>349</v>
      </c>
      <c r="D18" s="393"/>
      <c r="E18" s="393"/>
      <c r="F18" s="393"/>
      <c r="G18" s="393" t="s">
        <v>365</v>
      </c>
      <c r="H18" s="393"/>
      <c r="I18" s="393"/>
      <c r="J18" s="393"/>
    </row>
    <row r="19" spans="2:10" x14ac:dyDescent="0.25">
      <c r="B19" s="47" t="s">
        <v>326</v>
      </c>
      <c r="C19" s="393" t="s">
        <v>350</v>
      </c>
      <c r="D19" s="393"/>
      <c r="E19" s="393"/>
      <c r="F19" s="393"/>
      <c r="G19" s="393" t="s">
        <v>366</v>
      </c>
      <c r="H19" s="393"/>
      <c r="I19" s="393"/>
      <c r="J19" s="393"/>
    </row>
    <row r="20" spans="2:10" x14ac:dyDescent="0.25">
      <c r="B20" s="47" t="s">
        <v>329</v>
      </c>
      <c r="C20" s="393" t="s">
        <v>351</v>
      </c>
      <c r="D20" s="393"/>
      <c r="E20" s="393"/>
      <c r="F20" s="393"/>
      <c r="G20" s="393" t="s">
        <v>355</v>
      </c>
      <c r="H20" s="393"/>
      <c r="I20" s="393"/>
      <c r="J20" s="393"/>
    </row>
    <row r="21" spans="2:10" x14ac:dyDescent="0.25">
      <c r="B21" s="47" t="s">
        <v>330</v>
      </c>
      <c r="C21" s="393" t="s">
        <v>352</v>
      </c>
      <c r="D21" s="393"/>
      <c r="E21" s="393"/>
      <c r="F21" s="393"/>
      <c r="G21" s="393" t="s">
        <v>358</v>
      </c>
      <c r="H21" s="393"/>
      <c r="I21" s="393"/>
      <c r="J21" s="393"/>
    </row>
    <row r="22" spans="2:10" x14ac:dyDescent="0.25">
      <c r="B22" s="231" t="s">
        <v>327</v>
      </c>
      <c r="C22" s="392" t="s">
        <v>353</v>
      </c>
      <c r="D22" s="392"/>
      <c r="E22" s="392"/>
      <c r="F22" s="392"/>
      <c r="G22" s="392" t="s">
        <v>367</v>
      </c>
      <c r="H22" s="392"/>
      <c r="I22" s="392"/>
      <c r="J22" s="392"/>
    </row>
    <row r="23" spans="2:10" x14ac:dyDescent="0.25">
      <c r="B23" s="227"/>
      <c r="C23" s="212"/>
      <c r="D23" s="212"/>
      <c r="E23" s="212"/>
      <c r="F23" s="212"/>
      <c r="G23" s="212"/>
      <c r="H23" s="212"/>
      <c r="I23" s="212"/>
      <c r="J23" s="212"/>
    </row>
    <row r="24" spans="2:10" x14ac:dyDescent="0.25">
      <c r="B24" s="227"/>
      <c r="C24" s="212"/>
      <c r="D24" s="212"/>
      <c r="E24" s="212"/>
      <c r="F24" s="212"/>
      <c r="G24" s="212"/>
      <c r="H24" s="212"/>
      <c r="I24" s="212"/>
      <c r="J24" s="212"/>
    </row>
    <row r="27" spans="2:10" x14ac:dyDescent="0.25">
      <c r="B27" s="52" t="s">
        <v>357</v>
      </c>
    </row>
  </sheetData>
  <mergeCells count="36">
    <mergeCell ref="C7:F8"/>
    <mergeCell ref="B6:B8"/>
    <mergeCell ref="C9:F9"/>
    <mergeCell ref="C10:F10"/>
    <mergeCell ref="C11:F11"/>
    <mergeCell ref="C22:F22"/>
    <mergeCell ref="C12:F13"/>
    <mergeCell ref="B10:B14"/>
    <mergeCell ref="C16:F16"/>
    <mergeCell ref="G21:J21"/>
    <mergeCell ref="G22:J22"/>
    <mergeCell ref="G17:J17"/>
    <mergeCell ref="G18:J18"/>
    <mergeCell ref="G19:J19"/>
    <mergeCell ref="G20:J20"/>
    <mergeCell ref="C17:F17"/>
    <mergeCell ref="C18:F18"/>
    <mergeCell ref="C19:F19"/>
    <mergeCell ref="C20:F20"/>
    <mergeCell ref="C21:F21"/>
    <mergeCell ref="B2:J3"/>
    <mergeCell ref="M3:N3"/>
    <mergeCell ref="G4:J4"/>
    <mergeCell ref="B16:B17"/>
    <mergeCell ref="G7:J8"/>
    <mergeCell ref="G16:J16"/>
    <mergeCell ref="G5:J5"/>
    <mergeCell ref="G6:J6"/>
    <mergeCell ref="G9:J9"/>
    <mergeCell ref="G14:J14"/>
    <mergeCell ref="G15:J15"/>
    <mergeCell ref="C4:F4"/>
    <mergeCell ref="C5:F5"/>
    <mergeCell ref="C6:F6"/>
    <mergeCell ref="C14:F14"/>
    <mergeCell ref="C15:F15"/>
  </mergeCells>
  <phoneticPr fontId="14" type="noConversion"/>
  <hyperlinks>
    <hyperlink ref="M3" location="Apresentação!A1" display="Voltar"/>
    <hyperlink ref="M3:N3" location="'Apresentação (1)'!A1" display="Voltar"/>
  </hyperlink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M4" sqref="M4:N25"/>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300</v>
      </c>
      <c r="AT5" s="9">
        <f>$AC$31</f>
        <v>300</v>
      </c>
      <c r="AU5" s="9">
        <f>$AC$32</f>
        <v>70</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300.00000000000006</v>
      </c>
      <c r="AU7" s="9">
        <f>IFERROR((VLOOKUP(AQ7,$V$100:$AB$179,7,0)*0.01)*AV7,0)</f>
        <v>0</v>
      </c>
      <c r="AV7" s="9">
        <f>IFERROR($AT$5*Q72/(VLOOKUP(AQ7,$V$100:$AB$179,5,0)/100),0)</f>
        <v>1714.2857142857144</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16</v>
      </c>
      <c r="AL9" s="301">
        <f>(AM9*1000)/$E$18</f>
        <v>16</v>
      </c>
      <c r="AM9" s="302">
        <v>2</v>
      </c>
      <c r="AO9" s="7"/>
      <c r="AP9" s="7"/>
      <c r="AQ9" s="7"/>
      <c r="AR9" s="7"/>
      <c r="AS9" s="28">
        <f>AS5-(SUM(AS6:AS8))</f>
        <v>300</v>
      </c>
      <c r="AT9" s="28">
        <f>AT5-(SUM(AT6:AT8))</f>
        <v>0</v>
      </c>
      <c r="AU9" s="28">
        <f>AU5-(SUM(AU6:AU8))</f>
        <v>70</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300</v>
      </c>
      <c r="AT11" s="9">
        <f t="shared" ref="AT11:AU11" si="0">AT9</f>
        <v>0</v>
      </c>
      <c r="AU11" s="9">
        <f t="shared" si="0"/>
        <v>70</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16</v>
      </c>
      <c r="AM12" s="302">
        <v>2</v>
      </c>
      <c r="AO12" s="7"/>
      <c r="AP12" s="254">
        <v>7</v>
      </c>
      <c r="AQ12" s="295" t="str">
        <f>O79</f>
        <v>Kmag</v>
      </c>
      <c r="AR12" s="295"/>
      <c r="AS12" s="9">
        <f>IFERROR((VLOOKUP(AQ12,$V$100:$AB$179,3,0)*0.01)*AV12,0)</f>
        <v>0</v>
      </c>
      <c r="AT12" s="9">
        <f>IFERROR((VLOOKUP(AQ12,$V$100:$AB$179,5,0)*0.01)*AV12,0)</f>
        <v>0</v>
      </c>
      <c r="AU12" s="9">
        <f>IFERROR((VLOOKUP(AQ12,$V$100:$AB$179,7,0)*0.01)*AV12,0)</f>
        <v>70</v>
      </c>
      <c r="AV12" s="9">
        <f>IFERROR($AU$11*Q79/(VLOOKUP(AQ12,$V$100:$AB$179,7,0)/100),0)</f>
        <v>333.33333333333337</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48</v>
      </c>
      <c r="AM15" s="302">
        <v>6</v>
      </c>
      <c r="AO15" s="7"/>
      <c r="AP15" s="7"/>
      <c r="AQ15" s="7"/>
      <c r="AR15" s="7"/>
      <c r="AS15" s="28">
        <f>AS11-(SUM(AS12:AS14))</f>
        <v>300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300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48</v>
      </c>
      <c r="AM18" s="302">
        <v>6</v>
      </c>
      <c r="AO18" s="7"/>
      <c r="AP18" s="254">
        <v>13</v>
      </c>
      <c r="AQ18" s="295" t="str">
        <f>O87</f>
        <v>Torta de mamona Hortibraz</v>
      </c>
      <c r="AR18" s="295"/>
      <c r="AS18" s="9">
        <f>IFERROR((VLOOKUP(AQ18,$V$100:$AB$179,3,0)*0.01)*AV18,0)</f>
        <v>300</v>
      </c>
      <c r="AT18" s="9">
        <f>IFERROR((VLOOKUP(AQ18,$V$100:$AB$179,5,0)*0.01)*AV18,0)</f>
        <v>0</v>
      </c>
      <c r="AU18" s="9">
        <f>IFERROR((VLOOKUP(AQ18,$V$100:$AB$179,7,0)*0.01)*AV18,0)</f>
        <v>0</v>
      </c>
      <c r="AV18" s="9">
        <f>IFERROR($AS$17*Q87/(VLOOKUP(AQ18,$V$100:$AB$179,3,0)/100),0)</f>
        <v>5000</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1.3746130030959745</v>
      </c>
      <c r="E27" s="329" t="str">
        <f>IF(J27&gt;0,"toneladas por hectare ou,","-")</f>
        <v>toneladas por hectare ou,</v>
      </c>
      <c r="F27" s="329"/>
      <c r="G27" s="329"/>
      <c r="H27" s="101" t="s">
        <v>447</v>
      </c>
      <c r="I27" s="101">
        <f>IFERROR((D27*1000*VLOOKUP(B27,$V$56:$W$68,2,0)*$O$34),0)</f>
        <v>769.78328173374575</v>
      </c>
      <c r="J27" s="32">
        <f>V51</f>
        <v>1.3746130030959745</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0.13746130030959744</v>
      </c>
      <c r="E28" s="332" t="str">
        <f>IF(J28&gt;0,"gramas por metro quadrado","-")</f>
        <v>gramas por metro quadrado</v>
      </c>
      <c r="F28" s="332"/>
      <c r="G28" s="332"/>
      <c r="H28" s="102" t="s">
        <v>419</v>
      </c>
      <c r="I28" s="102">
        <f>I27/$E$18</f>
        <v>6.1582662538699662</v>
      </c>
      <c r="J28" s="32">
        <f>J27/10</f>
        <v>0.13746130030959744</v>
      </c>
      <c r="M28" s="246"/>
      <c r="N28" s="241"/>
      <c r="O28" s="241"/>
      <c r="P28" s="241"/>
      <c r="Q28" s="241"/>
      <c r="R28" s="247"/>
      <c r="U28" s="236">
        <v>0</v>
      </c>
      <c r="V28" s="236">
        <v>50</v>
      </c>
      <c r="W28" s="236" t="s">
        <v>68</v>
      </c>
      <c r="X28" s="236" t="str">
        <f>CONCATENATE(U28," - ",W28)</f>
        <v>0 - baixo</v>
      </c>
      <c r="Y28" s="236">
        <v>10</v>
      </c>
      <c r="Z28" s="236">
        <v>10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0</v>
      </c>
      <c r="V29" s="236">
        <v>50</v>
      </c>
      <c r="W29" s="236" t="s">
        <v>69</v>
      </c>
      <c r="X29" s="236" t="str">
        <f t="shared" ref="X29:X42" si="8">CONCATENATE(U29," - ",W29)</f>
        <v>0 - medio</v>
      </c>
      <c r="Y29" s="236">
        <v>10</v>
      </c>
      <c r="Z29" s="236">
        <v>10</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48"/>
      <c r="U30" s="236">
        <v>0</v>
      </c>
      <c r="V30" s="236">
        <v>50</v>
      </c>
      <c r="W30" s="236" t="s">
        <v>70</v>
      </c>
      <c r="X30" s="236" t="str">
        <f t="shared" si="8"/>
        <v>0 - adequado</v>
      </c>
      <c r="Y30" s="236">
        <v>10</v>
      </c>
      <c r="Z30" s="236">
        <v>10</v>
      </c>
      <c r="AB30" s="255" t="s">
        <v>33</v>
      </c>
      <c r="AC30" s="4">
        <f>(VLOOKUP($P$39,$U$28:$V$42,2,0))/AD30</f>
        <v>300</v>
      </c>
      <c r="AD30" s="184">
        <f>'Abacate produção (1)'!AD30</f>
        <v>1</v>
      </c>
      <c r="AE30" s="258" t="s">
        <v>34</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1</v>
      </c>
      <c r="V31" s="236">
        <v>60</v>
      </c>
      <c r="W31" s="236" t="s">
        <v>68</v>
      </c>
      <c r="X31" s="236" t="str">
        <f t="shared" si="8"/>
        <v>1 - baixo</v>
      </c>
      <c r="Y31" s="236">
        <v>120</v>
      </c>
      <c r="Z31" s="236">
        <v>80</v>
      </c>
      <c r="AB31" s="255" t="s">
        <v>66</v>
      </c>
      <c r="AC31" s="255">
        <f>(VLOOKUP(AB36,X28:Z42,2,0))/AD31</f>
        <v>300</v>
      </c>
      <c r="AD31" s="184">
        <f>'Abacate produção (1)'!AD31</f>
        <v>1</v>
      </c>
      <c r="AE31" s="258">
        <v>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48"/>
      <c r="U32" s="236">
        <v>1</v>
      </c>
      <c r="V32" s="236">
        <v>60</v>
      </c>
      <c r="W32" s="236" t="s">
        <v>69</v>
      </c>
      <c r="X32" s="236" t="str">
        <f t="shared" si="8"/>
        <v>1 - medio</v>
      </c>
      <c r="Y32" s="236">
        <v>80</v>
      </c>
      <c r="Z32" s="236">
        <v>50</v>
      </c>
      <c r="AB32" s="255" t="s">
        <v>67</v>
      </c>
      <c r="AC32" s="255">
        <f>(VLOOKUP($AB$39,X28:Z42,3,0))/AD32</f>
        <v>70</v>
      </c>
      <c r="AD32" s="184">
        <f>'Abacate produção (1)'!AD32</f>
        <v>1</v>
      </c>
      <c r="AE32" s="258">
        <v>1</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1</v>
      </c>
      <c r="V33" s="236">
        <v>60</v>
      </c>
      <c r="W33" s="236" t="s">
        <v>70</v>
      </c>
      <c r="X33" s="236" t="str">
        <f t="shared" si="8"/>
        <v>1 - adequado</v>
      </c>
      <c r="Y33" s="236">
        <v>40</v>
      </c>
      <c r="Z33" s="236">
        <v>30</v>
      </c>
      <c r="AE33" s="258">
        <v>2</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2</v>
      </c>
      <c r="V34" s="236">
        <v>120</v>
      </c>
      <c r="W34" s="236" t="s">
        <v>68</v>
      </c>
      <c r="X34" s="236" t="str">
        <f t="shared" si="8"/>
        <v>2 - baixo</v>
      </c>
      <c r="Y34" s="236">
        <v>180</v>
      </c>
      <c r="Z34" s="236">
        <v>120</v>
      </c>
      <c r="AE34" s="258">
        <v>3</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125</v>
      </c>
      <c r="P35" s="17">
        <f>10000/($O$30*$Q$30)</f>
        <v>125</v>
      </c>
      <c r="Q35" s="17" t="e">
        <f>10000/((($O$32/2)+($P$32/2))*$Q$32)</f>
        <v>#DIV/0!</v>
      </c>
      <c r="R35" s="251"/>
      <c r="U35" s="236">
        <v>2</v>
      </c>
      <c r="V35" s="236">
        <v>120</v>
      </c>
      <c r="W35" s="236" t="s">
        <v>69</v>
      </c>
      <c r="X35" s="236" t="str">
        <f t="shared" si="8"/>
        <v>2 - medio</v>
      </c>
      <c r="Y35" s="236">
        <v>120</v>
      </c>
      <c r="Z35" s="236">
        <v>80</v>
      </c>
      <c r="AB35" s="301" t="s">
        <v>72</v>
      </c>
      <c r="AC35" s="301"/>
      <c r="AE35" s="258">
        <v>4</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2</v>
      </c>
      <c r="V36" s="236">
        <v>120</v>
      </c>
      <c r="W36" s="236" t="s">
        <v>70</v>
      </c>
      <c r="X36" s="236" t="str">
        <f t="shared" si="8"/>
        <v>2 - adequado</v>
      </c>
      <c r="Y36" s="236">
        <v>60</v>
      </c>
      <c r="Z36" s="236">
        <v>40</v>
      </c>
      <c r="AB36" s="301" t="str">
        <f>CONCATENATE($P$39," - ",$AD$8)</f>
        <v>4 -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U37" s="236">
        <v>3</v>
      </c>
      <c r="V37" s="236">
        <v>200</v>
      </c>
      <c r="W37" s="236" t="s">
        <v>68</v>
      </c>
      <c r="X37" s="236" t="str">
        <f t="shared" si="8"/>
        <v>3 - baixo</v>
      </c>
      <c r="Y37" s="236">
        <v>240</v>
      </c>
      <c r="Z37" s="236">
        <v>160</v>
      </c>
      <c r="AI37" s="15">
        <v>0.7</v>
      </c>
      <c r="AK37" s="73" t="str">
        <f>'Adubos e corretivos (1)'!E128</f>
        <v>Compostos orgânicos</v>
      </c>
      <c r="AL37" s="105">
        <f>'Adubos e corretivos (1)'!F128</f>
        <v>0.7</v>
      </c>
      <c r="AO37" s="29"/>
      <c r="AP37" s="29"/>
      <c r="AQ37" s="29"/>
      <c r="AR37" s="29"/>
      <c r="AS37" s="28">
        <f>IF(AS24&gt;0,AS24,0)</f>
        <v>16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U38" s="236">
        <v>3</v>
      </c>
      <c r="V38" s="236">
        <v>200</v>
      </c>
      <c r="W38" s="236" t="s">
        <v>69</v>
      </c>
      <c r="X38" s="236" t="str">
        <f t="shared" si="8"/>
        <v>3 - medio</v>
      </c>
      <c r="Y38" s="236">
        <v>160</v>
      </c>
      <c r="Z38" s="236">
        <v>110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236" t="s">
        <v>163</v>
      </c>
      <c r="P39" s="330">
        <v>4</v>
      </c>
      <c r="Q39" s="330"/>
      <c r="R39" s="248"/>
      <c r="U39" s="236">
        <v>3</v>
      </c>
      <c r="V39" s="236">
        <v>200</v>
      </c>
      <c r="W39" s="236" t="s">
        <v>70</v>
      </c>
      <c r="X39" s="236" t="str">
        <f t="shared" si="8"/>
        <v>3 - adequado</v>
      </c>
      <c r="Y39" s="236">
        <v>80</v>
      </c>
      <c r="Z39" s="236">
        <v>50</v>
      </c>
      <c r="AB39" s="301" t="str">
        <f>CONCATENATE($P$39," - ",$AD$22)</f>
        <v>4 -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U40" s="258">
        <v>4</v>
      </c>
      <c r="V40" s="236">
        <v>300</v>
      </c>
      <c r="W40" s="236" t="s">
        <v>68</v>
      </c>
      <c r="X40" s="236" t="str">
        <f t="shared" si="8"/>
        <v>4 - baixo</v>
      </c>
      <c r="Y40" s="236">
        <v>300</v>
      </c>
      <c r="Z40" s="236">
        <v>200</v>
      </c>
      <c r="AI40" s="15">
        <v>1</v>
      </c>
      <c r="AO40" s="7"/>
      <c r="AP40" s="295" t="str">
        <f>O102</f>
        <v>Ácido Bórico</v>
      </c>
      <c r="AQ40" s="295"/>
      <c r="AR40" s="9">
        <f>IFERROR($AS$37/((VLOOKUP(AP40,$V$100:$AO$179,11,0)*0.01)),0)</f>
        <v>91.428571428571416</v>
      </c>
      <c r="AS40" s="9">
        <f>IFERROR($AT$37/((VLOOKUP(AP40,$V$100:$AO$179,14,0)*0.01)),0)</f>
        <v>0</v>
      </c>
      <c r="AT40" s="9">
        <f>IFERROR($AU$37/((VLOOKUP(AP40,$V$100:$AO$179,12,0)*0.01)),0)</f>
        <v>0</v>
      </c>
      <c r="AU40" s="9">
        <f>IFERROR($AV$37/((VLOOKUP(AP40,$V$100:$AO$179,13,0)*0.01)),0)</f>
        <v>0</v>
      </c>
      <c r="AV40" s="9">
        <f>MAX(AR40:AU40)</f>
        <v>91.428571428571416</v>
      </c>
      <c r="AW40" s="9">
        <f>IFERROR(AV40*(VLOOKUP(AP40,$V$100:$AO$179,11,0)*0.01),0)</f>
        <v>16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U41" s="258">
        <v>4</v>
      </c>
      <c r="V41" s="236">
        <v>300</v>
      </c>
      <c r="W41" s="236" t="s">
        <v>69</v>
      </c>
      <c r="X41" s="236" t="str">
        <f t="shared" si="8"/>
        <v>4 - medio</v>
      </c>
      <c r="Y41" s="236">
        <v>200</v>
      </c>
      <c r="Z41" s="236">
        <v>130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U42" s="258">
        <v>4</v>
      </c>
      <c r="V42" s="236">
        <v>300</v>
      </c>
      <c r="W42" s="236" t="s">
        <v>70</v>
      </c>
      <c r="X42" s="236" t="str">
        <f t="shared" si="8"/>
        <v>4 - adequado</v>
      </c>
      <c r="Y42" s="236">
        <v>100</v>
      </c>
      <c r="Z42" s="236">
        <v>70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1714.2857142857144</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(1)'!C119</f>
        <v>60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333.33333333333337</v>
      </c>
      <c r="K47" s="35"/>
      <c r="M47" s="303"/>
      <c r="N47" s="332"/>
      <c r="O47" s="333" t="s">
        <v>442</v>
      </c>
      <c r="P47" s="335"/>
      <c r="Q47" s="18">
        <v>1</v>
      </c>
      <c r="R47" s="248"/>
      <c r="U47" s="236" t="s">
        <v>104</v>
      </c>
      <c r="V47" s="2">
        <f>IFERROR((((V46-P24)*P25)/V49),0)</f>
        <v>1.3746130030959745</v>
      </c>
      <c r="X47" s="336" t="s">
        <v>182</v>
      </c>
      <c r="Y47" s="336"/>
      <c r="Z47" s="2">
        <f>IFERROR((($V$50/$Z$46)*$V$47),0)</f>
        <v>6.7828322842950355</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1.3746130030959745</v>
      </c>
      <c r="X48" s="336" t="s">
        <v>180</v>
      </c>
      <c r="Y48" s="336"/>
      <c r="Z48" s="2">
        <f>IFERROR(IF(Z47&lt;0,(0),IF(Z47&gt;=0,(Z47))),0)</f>
        <v>6.7828322842950355</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5000</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214.28571428571431</v>
      </c>
      <c r="E51" s="332" t="str">
        <f>IF(J45&gt;0,"quilos para área total","-")</f>
        <v>quilos para área total</v>
      </c>
      <c r="F51" s="332"/>
      <c r="G51" s="332"/>
      <c r="H51" s="102" t="s">
        <v>447</v>
      </c>
      <c r="I51" s="102">
        <f>I52*$E$18*$I$18</f>
        <v>498.21428571428578</v>
      </c>
      <c r="J51" s="33">
        <f>AV19</f>
        <v>0</v>
      </c>
      <c r="K51" s="35"/>
      <c r="L51" s="240"/>
      <c r="M51" s="249"/>
      <c r="N51" s="250"/>
      <c r="O51" s="250"/>
      <c r="P51" s="250"/>
      <c r="Q51" s="250"/>
      <c r="R51" s="251"/>
      <c r="U51" s="236" t="s">
        <v>247</v>
      </c>
      <c r="V51" s="2">
        <f>V48*$Q$47</f>
        <v>1.3746130030959745</v>
      </c>
      <c r="AT51" s="237" t="s">
        <v>264</v>
      </c>
      <c r="AU51" s="96" t="str">
        <f>AK29</f>
        <v>Composto de lixo (COL)</v>
      </c>
      <c r="AV51" s="237">
        <v>12</v>
      </c>
    </row>
    <row r="52" spans="2:50" ht="19.5" customHeight="1" x14ac:dyDescent="0.25">
      <c r="B52" s="327"/>
      <c r="C52" s="327"/>
      <c r="D52" s="109">
        <f>IF(J45&gt;0,J45,"-")</f>
        <v>1714.2857142857144</v>
      </c>
      <c r="E52" s="332" t="str">
        <f>IF(J45&gt;0,"gramas por planta","-")</f>
        <v>gramas por planta</v>
      </c>
      <c r="F52" s="332"/>
      <c r="G52" s="332"/>
      <c r="H52" s="102" t="s">
        <v>446</v>
      </c>
      <c r="I52" s="102">
        <f>IFERROR((D52/1000)*VLOOKUP(B51,$V$100:$W$179,2,0),0)</f>
        <v>3.9857142857142862</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41.666666666666671</v>
      </c>
      <c r="E57" s="354" t="str">
        <f>IF(J47&gt;0,"quilos para área total","-")</f>
        <v>quilos para área total</v>
      </c>
      <c r="F57" s="354"/>
      <c r="G57" s="354"/>
      <c r="H57" s="102" t="s">
        <v>447</v>
      </c>
      <c r="I57" s="102">
        <f>I58*$E$18*$I$18</f>
        <v>120.83333333333334</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333.33333333333337</v>
      </c>
      <c r="E58" s="332" t="str">
        <f>IF(J47&gt;0,"gramas por planta","-")</f>
        <v>gramas por planta</v>
      </c>
      <c r="F58" s="332"/>
      <c r="G58" s="332"/>
      <c r="H58" s="102" t="s">
        <v>446</v>
      </c>
      <c r="I58" s="102">
        <f>IFERROR((D58/1000)*VLOOKUP(B57,$V$100:$W$179,2,0),0)</f>
        <v>0.96666666666666679</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625</v>
      </c>
      <c r="E66" s="354" t="str">
        <f>IF(J50&gt;0,"quilos para área total","-")</f>
        <v>quilos para área total</v>
      </c>
      <c r="F66" s="354"/>
      <c r="G66" s="354"/>
      <c r="H66" s="102" t="s">
        <v>447</v>
      </c>
      <c r="I66" s="102">
        <f>I67*$E$18*$I$18</f>
        <v>950</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5000</v>
      </c>
      <c r="E67" s="332" t="str">
        <f>IF(J50&gt;0,"gramas por planta","-")</f>
        <v>gramas por planta</v>
      </c>
      <c r="F67" s="332"/>
      <c r="G67" s="332"/>
      <c r="H67" s="102" t="s">
        <v>446</v>
      </c>
      <c r="I67" s="102">
        <f>IFERROR((D67/1000)*VLOOKUP(B66,$V$100:$W$179,2,0),0)</f>
        <v>7.6</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91.428571428571416</v>
      </c>
      <c r="E83" s="332" t="str">
        <f>IF(AV40&gt;0,"gramas por planta","-")</f>
        <v>gramas por planta</v>
      </c>
      <c r="F83" s="332"/>
      <c r="G83" s="332"/>
      <c r="H83" s="102" t="s">
        <v>446</v>
      </c>
      <c r="I83" s="102">
        <f>IFERROR((D83/1000)*VLOOKUP(B82,$V$100:$W$179,2,0),0)</f>
        <v>0.50468571428571418</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300</v>
      </c>
      <c r="P96" s="26">
        <f>$AC$31</f>
        <v>300</v>
      </c>
      <c r="Q96" s="26">
        <f>$AC$32</f>
        <v>70</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2672.6666150670794</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2672.6666150670794</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21.381332920536632</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21.381332920536632</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16</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10" customWidth="1"/>
    <col min="2" max="2" width="37.28515625" style="10" customWidth="1"/>
    <col min="3" max="3" width="29.5703125" style="10" customWidth="1"/>
    <col min="4" max="4" width="21.7109375" style="10" bestFit="1" customWidth="1"/>
    <col min="5" max="7" width="16.7109375" style="10" customWidth="1"/>
    <col min="8" max="8" width="29.42578125" style="10" bestFit="1" customWidth="1"/>
    <col min="9" max="9" width="21.7109375" style="10" bestFit="1" customWidth="1"/>
    <col min="10" max="12" width="13" style="10" customWidth="1"/>
    <col min="13" max="13" width="36.5703125" style="10" customWidth="1"/>
    <col min="14" max="14" width="13.140625" style="10" bestFit="1" customWidth="1"/>
    <col min="15" max="15" width="29.7109375" style="10" customWidth="1"/>
    <col min="16" max="16" width="18.42578125" style="10" customWidth="1"/>
    <col min="17" max="17" width="49.140625" style="10" customWidth="1"/>
    <col min="18" max="18" width="8" style="10" customWidth="1"/>
    <col min="19" max="19" width="11.42578125" style="10" bestFit="1" customWidth="1"/>
    <col min="20" max="20" width="30.140625" style="10" hidden="1" customWidth="1" outlineLevel="1"/>
    <col min="21" max="21" width="43.42578125" style="10" hidden="1" customWidth="1" outlineLevel="1"/>
    <col min="22" max="22" width="65" style="10" hidden="1" customWidth="1" outlineLevel="1"/>
    <col min="23" max="23" width="21.28515625" style="10" hidden="1" customWidth="1" outlineLevel="1"/>
    <col min="24" max="24" width="27.42578125" style="10" hidden="1" customWidth="1" outlineLevel="1"/>
    <col min="25" max="25" width="22.42578125" style="10" hidden="1" customWidth="1" outlineLevel="1"/>
    <col min="26" max="26" width="22" style="10" hidden="1" customWidth="1" outlineLevel="1"/>
    <col min="27" max="27" width="16.85546875" style="10" hidden="1" customWidth="1" outlineLevel="1"/>
    <col min="28" max="28" width="21.5703125" style="10" hidden="1" customWidth="1" outlineLevel="1"/>
    <col min="29" max="29" width="16.85546875" style="10" hidden="1" customWidth="1" outlineLevel="1"/>
    <col min="30" max="30" width="24.42578125" style="10" hidden="1" customWidth="1" outlineLevel="1"/>
    <col min="31" max="31" width="36.140625" style="10" hidden="1" customWidth="1" outlineLevel="1"/>
    <col min="32" max="32" width="25.5703125" style="10" hidden="1" customWidth="1" outlineLevel="1"/>
    <col min="33" max="33" width="22" style="10" hidden="1" customWidth="1" outlineLevel="1"/>
    <col min="34" max="34" width="21.5703125" style="10" hidden="1" customWidth="1" outlineLevel="1"/>
    <col min="35" max="35" width="24.7109375" style="10" hidden="1" customWidth="1" outlineLevel="1"/>
    <col min="36" max="36" width="14.28515625" style="10" hidden="1" customWidth="1" outlineLevel="1"/>
    <col min="37" max="37" width="32.42578125" style="10" hidden="1" customWidth="1" outlineLevel="1"/>
    <col min="38" max="38" width="14.7109375" style="10" hidden="1" customWidth="1" outlineLevel="1"/>
    <col min="39" max="39" width="34.28515625" style="10" hidden="1" customWidth="1" outlineLevel="1"/>
    <col min="40" max="40" width="20.85546875" style="10" hidden="1" customWidth="1" outlineLevel="1"/>
    <col min="41" max="41" width="21.28515625" style="10" hidden="1" customWidth="1" outlineLevel="1"/>
    <col min="42" max="42" width="65" style="10" hidden="1" customWidth="1" outlineLevel="1"/>
    <col min="43" max="43" width="16.7109375" style="10" hidden="1" customWidth="1" outlineLevel="1"/>
    <col min="44" max="44" width="45.85546875" style="10" hidden="1" customWidth="1" outlineLevel="1"/>
    <col min="45" max="45" width="16.7109375" style="10" hidden="1" customWidth="1" outlineLevel="1"/>
    <col min="46" max="46" width="13.7109375" style="10" hidden="1" customWidth="1" outlineLevel="1"/>
    <col min="47" max="47" width="31.42578125" style="10" hidden="1" customWidth="1" outlineLevel="1"/>
    <col min="48" max="48" width="11.85546875" style="10" hidden="1" customWidth="1" outlineLevel="1"/>
    <col min="49" max="49" width="23.5703125" style="10" hidden="1" customWidth="1" outlineLevel="1"/>
    <col min="50" max="50" width="22.42578125" style="10" hidden="1" customWidth="1" outlineLevel="1"/>
    <col min="51" max="51" width="28.5703125" style="10" hidden="1" customWidth="1" outlineLevel="1"/>
    <col min="52" max="52" width="23" style="10" hidden="1" customWidth="1" outlineLevel="1"/>
    <col min="53" max="54" width="16.7109375" style="10" hidden="1" customWidth="1" outlineLevel="1"/>
    <col min="55" max="55" width="9.140625" style="10" hidden="1" customWidth="1" outlineLevel="1"/>
    <col min="56" max="56" width="9.140625" style="10" collapsed="1"/>
    <col min="57" max="16384" width="9.140625" style="10"/>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155"/>
      <c r="N3" s="151"/>
      <c r="O3" s="151"/>
      <c r="P3" s="151"/>
      <c r="Q3" s="151"/>
      <c r="R3" s="156"/>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152" t="s">
        <v>0</v>
      </c>
      <c r="R4" s="157"/>
      <c r="U4" s="311"/>
      <c r="V4" s="311"/>
      <c r="W4" s="311"/>
      <c r="X4" s="311"/>
      <c r="Y4" s="301"/>
      <c r="Z4" s="301"/>
      <c r="AA4" s="301"/>
      <c r="AB4" s="301"/>
      <c r="AC4" s="301"/>
      <c r="AD4" s="301"/>
      <c r="AO4" s="7"/>
      <c r="AP4" s="295" t="s">
        <v>232</v>
      </c>
      <c r="AQ4" s="295" t="s">
        <v>233</v>
      </c>
      <c r="AR4" s="295"/>
      <c r="AS4" s="54" t="s">
        <v>33</v>
      </c>
      <c r="AT4" s="54" t="s">
        <v>198</v>
      </c>
      <c r="AU4" s="54" t="s">
        <v>199</v>
      </c>
      <c r="AV4" s="296" t="s">
        <v>234</v>
      </c>
      <c r="AW4" s="7"/>
      <c r="AX4" s="7"/>
      <c r="AY4" s="7"/>
      <c r="AZ4" s="7"/>
      <c r="BA4" s="7"/>
      <c r="BB4" s="7"/>
    </row>
    <row r="5" spans="1:54" ht="19.5" customHeight="1" x14ac:dyDescent="0.25">
      <c r="M5" s="303"/>
      <c r="N5" s="304"/>
      <c r="O5" s="142" t="s">
        <v>1</v>
      </c>
      <c r="P5" s="5">
        <v>6.9</v>
      </c>
      <c r="Q5" s="142" t="s">
        <v>2</v>
      </c>
      <c r="R5" s="157"/>
      <c r="U5" s="311"/>
      <c r="V5" s="311"/>
      <c r="W5" s="311"/>
      <c r="X5" s="311"/>
      <c r="Y5" s="301"/>
      <c r="Z5" s="301"/>
      <c r="AA5" s="301"/>
      <c r="AB5" s="301"/>
      <c r="AC5" s="301"/>
      <c r="AD5" s="301"/>
      <c r="AO5" s="7"/>
      <c r="AP5" s="295"/>
      <c r="AQ5" s="295"/>
      <c r="AR5" s="295"/>
      <c r="AS5" s="9">
        <f>$AC$30</f>
        <v>1600</v>
      </c>
      <c r="AT5" s="9">
        <f>$AC$31</f>
        <v>1360</v>
      </c>
      <c r="AU5" s="9">
        <f>$AC$32</f>
        <v>1040</v>
      </c>
      <c r="AV5" s="297"/>
      <c r="AW5" s="7"/>
      <c r="AX5" s="7"/>
      <c r="AY5" s="7"/>
      <c r="AZ5" s="7"/>
      <c r="BA5" s="7"/>
      <c r="BB5" s="7"/>
    </row>
    <row r="6" spans="1:54" ht="19.5" customHeight="1" x14ac:dyDescent="0.25">
      <c r="M6" s="303"/>
      <c r="N6" s="304"/>
      <c r="O6" s="142" t="s">
        <v>3</v>
      </c>
      <c r="P6" s="6">
        <v>2.9</v>
      </c>
      <c r="Q6" s="142" t="s">
        <v>55</v>
      </c>
      <c r="R6" s="157"/>
      <c r="U6" s="57" t="s">
        <v>29</v>
      </c>
      <c r="V6" s="301" t="s">
        <v>51</v>
      </c>
      <c r="W6" s="301"/>
      <c r="X6" s="301"/>
      <c r="Y6" s="301"/>
      <c r="Z6" s="301"/>
      <c r="AA6" s="301"/>
      <c r="AB6" s="301"/>
      <c r="AC6" s="301"/>
      <c r="AD6" s="301"/>
      <c r="AO6" s="7"/>
      <c r="AP6" s="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42" t="s">
        <v>4</v>
      </c>
      <c r="P7" s="5">
        <v>0.5</v>
      </c>
      <c r="Q7" s="142" t="s">
        <v>55</v>
      </c>
      <c r="R7" s="157"/>
      <c r="U7" s="57" t="s">
        <v>23</v>
      </c>
      <c r="V7" s="57" t="s">
        <v>25</v>
      </c>
      <c r="W7" s="57" t="s">
        <v>26</v>
      </c>
      <c r="X7" s="57" t="s">
        <v>31</v>
      </c>
      <c r="Y7" s="57" t="s">
        <v>53</v>
      </c>
      <c r="Z7" s="301" t="s">
        <v>54</v>
      </c>
      <c r="AA7" s="301"/>
      <c r="AB7" s="301"/>
      <c r="AC7" s="57" t="s">
        <v>57</v>
      </c>
      <c r="AD7" s="57" t="s">
        <v>58</v>
      </c>
      <c r="AF7" s="307" t="s">
        <v>221</v>
      </c>
      <c r="AG7" s="307"/>
      <c r="AH7" s="307"/>
      <c r="AI7" s="307"/>
      <c r="AJ7" s="307"/>
      <c r="AK7" s="307"/>
      <c r="AL7" s="307"/>
      <c r="AM7" s="307"/>
      <c r="AO7" s="7"/>
      <c r="AP7" s="54">
        <v>2</v>
      </c>
      <c r="AQ7" s="305" t="str">
        <f>O72</f>
        <v>Termofosfato YOORIN</v>
      </c>
      <c r="AR7" s="306"/>
      <c r="AS7" s="9">
        <f>IFERROR((VLOOKUP(AQ7,$V$100:$AB$179,3,0)*0.01)*AV7,0)</f>
        <v>0</v>
      </c>
      <c r="AT7" s="9">
        <f>IFERROR((VLOOKUP(AQ7,$V$100:$AB$179,5,0)*0.01)*AV7,0)</f>
        <v>1360.0000000000002</v>
      </c>
      <c r="AU7" s="9">
        <f>IFERROR((VLOOKUP(AQ7,$V$100:$AB$179,7,0)*0.01)*AV7,0)</f>
        <v>0</v>
      </c>
      <c r="AV7" s="9">
        <f>IFERROR($AT$5*Q72/(VLOOKUP(AQ7,$V$100:$AB$179,5,0)/100),0)</f>
        <v>7771.4285714285716</v>
      </c>
      <c r="AW7" s="7"/>
      <c r="AX7" s="7"/>
      <c r="AY7" s="7"/>
      <c r="AZ7" s="7"/>
      <c r="BA7" s="7"/>
      <c r="BB7" s="7"/>
    </row>
    <row r="8" spans="1:54" ht="19.5" customHeight="1" thickBot="1" x14ac:dyDescent="0.3">
      <c r="M8" s="303"/>
      <c r="N8" s="304"/>
      <c r="O8" s="142" t="s">
        <v>5</v>
      </c>
      <c r="P8" s="6">
        <v>0.33</v>
      </c>
      <c r="Q8" s="142" t="s">
        <v>55</v>
      </c>
      <c r="R8" s="157"/>
      <c r="U8" s="57" t="s">
        <v>37</v>
      </c>
      <c r="V8" s="57" t="s">
        <v>39</v>
      </c>
      <c r="W8" s="57" t="s">
        <v>30</v>
      </c>
      <c r="X8" s="57" t="s">
        <v>43</v>
      </c>
      <c r="Y8" s="57" t="str">
        <f>IF($P$21&lt;=15.99,"correto","erro")</f>
        <v>erro</v>
      </c>
      <c r="Z8" s="57" t="str">
        <f>IF($P$13&lt;=12,"baixo","erro")</f>
        <v>baixo</v>
      </c>
      <c r="AA8" s="57" t="str">
        <f>IF(AND($P$13&gt;=12.01,$P$13&lt;=18),"medio","erro")</f>
        <v>erro</v>
      </c>
      <c r="AB8" s="57" t="str">
        <f>IF($P$13&gt;18,"adequado","erro")</f>
        <v>erro</v>
      </c>
      <c r="AC8" s="57" t="str">
        <f>IF(Z8="baixo","baixo",IF(AA8="medio","medio",IF(AB8="adequado","adequado",0)))</f>
        <v>baixo</v>
      </c>
      <c r="AD8" s="301" t="str">
        <f>VLOOKUP("correto",Y8:AC11,5,0)</f>
        <v>baixo</v>
      </c>
      <c r="AF8" s="57" t="s">
        <v>224</v>
      </c>
      <c r="AG8" s="307" t="s">
        <v>222</v>
      </c>
      <c r="AH8" s="307"/>
      <c r="AI8" s="301" t="s">
        <v>223</v>
      </c>
      <c r="AJ8" s="301"/>
      <c r="AK8" s="57" t="s">
        <v>58</v>
      </c>
      <c r="AL8" s="57" t="s">
        <v>237</v>
      </c>
      <c r="AM8" s="57" t="s">
        <v>240</v>
      </c>
      <c r="AO8" s="7"/>
      <c r="AP8" s="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42" t="s">
        <v>6</v>
      </c>
      <c r="P9" s="5">
        <v>0.05</v>
      </c>
      <c r="Q9" s="142" t="s">
        <v>55</v>
      </c>
      <c r="R9" s="157"/>
      <c r="U9" s="57" t="s">
        <v>27</v>
      </c>
      <c r="V9" s="57" t="s">
        <v>40</v>
      </c>
      <c r="W9" s="57" t="s">
        <v>44</v>
      </c>
      <c r="X9" s="57" t="s">
        <v>47</v>
      </c>
      <c r="Y9" s="57" t="str">
        <f>IF(AND($P$21&gt;15.99,P21&lt;34.99),"correto","erro")</f>
        <v>erro</v>
      </c>
      <c r="Z9" s="57" t="str">
        <f>IF($P$13&lt;=10,"baixo","erro")</f>
        <v>baixo</v>
      </c>
      <c r="AA9" s="57" t="str">
        <f>IF(AND($P$13&gt;=10.01,$P$13&lt;=15),"medio","erro")</f>
        <v>erro</v>
      </c>
      <c r="AB9" s="57" t="str">
        <f>IF($P$13&gt;15,"adequado","erro")</f>
        <v>erro</v>
      </c>
      <c r="AC9" s="57" t="str">
        <f>IF(Z9="baixo","baixo",IF(AA9="medio","medio",IF(AB9="adequado","adequado",0)))</f>
        <v>baixo</v>
      </c>
      <c r="AD9" s="301"/>
      <c r="AF9" s="307" t="s">
        <v>220</v>
      </c>
      <c r="AG9" s="55" t="s">
        <v>25</v>
      </c>
      <c r="AH9" s="55" t="s">
        <v>216</v>
      </c>
      <c r="AI9" s="57" t="str">
        <f>IF($P$14&lt;=0.2,"baixo","erro")</f>
        <v>baixo</v>
      </c>
      <c r="AJ9" s="301" t="str">
        <f>IF($AI$9="baixo","baixo",IF($AI$10="medio","medio",IF($AI$11="adequado","adequado",0)))</f>
        <v>baixo</v>
      </c>
      <c r="AK9" s="301">
        <f>IF(AJ9="Baixo",AL9,0)</f>
        <v>8</v>
      </c>
      <c r="AL9" s="301">
        <f>(AM9*1000)/$E$18</f>
        <v>8</v>
      </c>
      <c r="AM9" s="302">
        <v>1</v>
      </c>
      <c r="AO9" s="7"/>
      <c r="AP9" s="7"/>
      <c r="AQ9" s="7"/>
      <c r="AR9" s="7"/>
      <c r="AS9" s="28">
        <f>AS5-(SUM(AS6:AS8))</f>
        <v>1600</v>
      </c>
      <c r="AT9" s="28">
        <f>AT5-(SUM(AT6:AT8))</f>
        <v>0</v>
      </c>
      <c r="AU9" s="28">
        <f>AU5-(SUM(AU6:AU8))</f>
        <v>1040</v>
      </c>
      <c r="AV9" s="28"/>
      <c r="AW9" s="7"/>
      <c r="AX9" s="7"/>
      <c r="AY9" s="7"/>
      <c r="AZ9" s="7"/>
      <c r="BA9" s="7"/>
      <c r="BB9" s="7"/>
    </row>
    <row r="10" spans="1:54" ht="19.5" customHeight="1" x14ac:dyDescent="0.25">
      <c r="M10" s="303"/>
      <c r="N10" s="304"/>
      <c r="O10" s="142" t="s">
        <v>7</v>
      </c>
      <c r="P10" s="6">
        <v>0</v>
      </c>
      <c r="Q10" s="142" t="s">
        <v>55</v>
      </c>
      <c r="R10" s="157"/>
      <c r="U10" s="57" t="s">
        <v>28</v>
      </c>
      <c r="V10" s="57" t="s">
        <v>41</v>
      </c>
      <c r="W10" s="57" t="s">
        <v>45</v>
      </c>
      <c r="X10" s="57" t="s">
        <v>48</v>
      </c>
      <c r="Y10" s="57" t="str">
        <f>IF(AND($P$21&gt;34.99,P21&lt;59.99),"correto","erro")</f>
        <v>correto</v>
      </c>
      <c r="Z10" s="57" t="str">
        <f>IF($P$13&lt;=5,"baixo","erro")</f>
        <v>baixo</v>
      </c>
      <c r="AA10" s="57" t="str">
        <f>IF(AND($P$13&gt;=5.01,$P$13&lt;=8),"medio","erro")</f>
        <v>erro</v>
      </c>
      <c r="AB10" s="57" t="str">
        <f>IF($P$13&gt;8,"adequado","erro")</f>
        <v>erro</v>
      </c>
      <c r="AC10" s="57" t="str">
        <f>IF(Z10="baixo","baixo",IF(AA10="medio","medio",IF(AB10="adequado","adequado",0)))</f>
        <v>baixo</v>
      </c>
      <c r="AD10" s="301"/>
      <c r="AF10" s="307"/>
      <c r="AG10" s="55" t="s">
        <v>26</v>
      </c>
      <c r="AH10" s="55" t="s">
        <v>212</v>
      </c>
      <c r="AI10" s="57" t="str">
        <f>IF(AND($P$14&gt;=0.201,$P$14&lt;=0.5),"medio","erro")</f>
        <v>erro</v>
      </c>
      <c r="AJ10" s="301"/>
      <c r="AK10" s="301"/>
      <c r="AL10" s="301"/>
      <c r="AM10" s="302"/>
      <c r="AO10" s="7"/>
      <c r="AP10" s="295" t="s">
        <v>232</v>
      </c>
      <c r="AQ10" s="295" t="s">
        <v>233</v>
      </c>
      <c r="AR10" s="295"/>
      <c r="AS10" s="54" t="s">
        <v>33</v>
      </c>
      <c r="AT10" s="54" t="s">
        <v>198</v>
      </c>
      <c r="AU10" s="54" t="s">
        <v>199</v>
      </c>
      <c r="AV10" s="296" t="s">
        <v>234</v>
      </c>
      <c r="AW10" s="7"/>
      <c r="AX10" s="7"/>
      <c r="AY10" s="7"/>
      <c r="AZ10" s="7"/>
      <c r="BA10" s="7"/>
      <c r="BB10" s="7"/>
    </row>
    <row r="11" spans="1:54" ht="19.5" customHeight="1" x14ac:dyDescent="0.25">
      <c r="B11" s="88" t="s">
        <v>108</v>
      </c>
      <c r="C11" s="298"/>
      <c r="D11" s="298"/>
      <c r="E11" s="298"/>
      <c r="F11" s="298"/>
      <c r="G11" s="298"/>
      <c r="H11" s="298"/>
      <c r="I11" s="299"/>
      <c r="M11" s="303"/>
      <c r="N11" s="304"/>
      <c r="O11" s="142" t="s">
        <v>8</v>
      </c>
      <c r="P11" s="5">
        <v>4</v>
      </c>
      <c r="Q11" s="142" t="s">
        <v>55</v>
      </c>
      <c r="R11" s="157"/>
      <c r="U11" s="57" t="s">
        <v>38</v>
      </c>
      <c r="V11" s="57" t="s">
        <v>42</v>
      </c>
      <c r="W11" s="57" t="s">
        <v>46</v>
      </c>
      <c r="X11" s="57" t="s">
        <v>49</v>
      </c>
      <c r="Y11" s="57" t="str">
        <f>IF($P$21&gt;59.99,"correto","erro")</f>
        <v>erro</v>
      </c>
      <c r="Z11" s="57" t="str">
        <f>IF($P$13&lt;=3,"baixo","erro")</f>
        <v>baixo</v>
      </c>
      <c r="AA11" s="57" t="str">
        <f>IF(AND($P$13&gt;=3.01,$P$13&lt;=6),"medio","erro")</f>
        <v>erro</v>
      </c>
      <c r="AB11" s="57" t="str">
        <f>IF($P$13&gt;6,"adequado","erro")</f>
        <v>erro</v>
      </c>
      <c r="AC11" s="57" t="str">
        <f>IF(Z11="baixo","baixo",IF(AA11="medio","medio",IF(AB11="adequado","adequado",0)))</f>
        <v>baixo</v>
      </c>
      <c r="AD11" s="301"/>
      <c r="AF11" s="307"/>
      <c r="AG11" s="55" t="s">
        <v>208</v>
      </c>
      <c r="AH11" s="55" t="s">
        <v>207</v>
      </c>
      <c r="AI11" s="57" t="str">
        <f>IF($P$14&gt;0.5,"adequado","erro")</f>
        <v>erro</v>
      </c>
      <c r="AJ11" s="301"/>
      <c r="AK11" s="301"/>
      <c r="AL11" s="301"/>
      <c r="AM11" s="302"/>
      <c r="AO11" s="7"/>
      <c r="AP11" s="295"/>
      <c r="AQ11" s="295"/>
      <c r="AR11" s="295"/>
      <c r="AS11" s="9">
        <f>AS9</f>
        <v>1600</v>
      </c>
      <c r="AT11" s="9">
        <f t="shared" ref="AT11:AU11" si="0">AT9</f>
        <v>0</v>
      </c>
      <c r="AU11" s="9">
        <f t="shared" si="0"/>
        <v>1040</v>
      </c>
      <c r="AV11" s="297"/>
      <c r="AW11" s="7"/>
      <c r="AX11" s="7"/>
      <c r="AY11" s="7"/>
      <c r="AZ11" s="7"/>
      <c r="BA11" s="7"/>
      <c r="BB11" s="7"/>
    </row>
    <row r="12" spans="1:54" ht="19.5" customHeight="1" x14ac:dyDescent="0.25">
      <c r="B12" s="89" t="s">
        <v>109</v>
      </c>
      <c r="C12" s="300"/>
      <c r="D12" s="298"/>
      <c r="E12" s="298"/>
      <c r="F12" s="298"/>
      <c r="G12" s="298"/>
      <c r="H12" s="298"/>
      <c r="I12" s="299"/>
      <c r="M12" s="303"/>
      <c r="N12" s="304"/>
      <c r="O12" s="142" t="s">
        <v>9</v>
      </c>
      <c r="P12" s="6">
        <v>18.7</v>
      </c>
      <c r="Q12" s="142" t="s">
        <v>10</v>
      </c>
      <c r="R12" s="157"/>
      <c r="AF12" s="307" t="s">
        <v>219</v>
      </c>
      <c r="AG12" s="55" t="s">
        <v>25</v>
      </c>
      <c r="AH12" s="55" t="s">
        <v>215</v>
      </c>
      <c r="AI12" s="57" t="str">
        <f>IF($P$16&lt;=0.4,"baixo","erro")</f>
        <v>erro</v>
      </c>
      <c r="AJ12" s="301" t="str">
        <f>IF($AI$12="baixo","baixo",IF($AI$13="medio","medio",IF($AI$14="adequado","adequado",0)))</f>
        <v>medio</v>
      </c>
      <c r="AK12" s="301">
        <f>IF(AJ12="Baixo",AL12,0)</f>
        <v>0</v>
      </c>
      <c r="AL12" s="301">
        <f>(AM12*1000)/$E$18</f>
        <v>4</v>
      </c>
      <c r="AM12" s="302">
        <v>0.5</v>
      </c>
      <c r="AO12" s="7"/>
      <c r="AP12" s="54">
        <v>7</v>
      </c>
      <c r="AQ12" s="295" t="str">
        <f>O79</f>
        <v>Kmag</v>
      </c>
      <c r="AR12" s="295"/>
      <c r="AS12" s="9">
        <f>IFERROR((VLOOKUP(AQ12,$V$100:$AB$179,3,0)*0.01)*AV12,0)</f>
        <v>0</v>
      </c>
      <c r="AT12" s="9">
        <f>IFERROR((VLOOKUP(AQ12,$V$100:$AB$179,5,0)*0.01)*AV12,0)</f>
        <v>0</v>
      </c>
      <c r="AU12" s="9">
        <f>IFERROR((VLOOKUP(AQ12,$V$100:$AB$179,7,0)*0.01)*AV12,0)</f>
        <v>1040</v>
      </c>
      <c r="AV12" s="9">
        <f>IFERROR($AU$11*Q79/(VLOOKUP(AQ12,$V$100:$AB$179,7,0)/100),0)</f>
        <v>4952.3809523809523</v>
      </c>
      <c r="AW12" s="7"/>
      <c r="AX12" s="7"/>
      <c r="AY12" s="7"/>
      <c r="AZ12" s="7"/>
      <c r="BA12" s="7"/>
      <c r="BB12" s="7"/>
    </row>
    <row r="13" spans="1:54" ht="19.5" customHeight="1" x14ac:dyDescent="0.25">
      <c r="B13" s="89" t="s">
        <v>110</v>
      </c>
      <c r="C13" s="300"/>
      <c r="D13" s="298"/>
      <c r="E13" s="298"/>
      <c r="F13" s="298"/>
      <c r="G13" s="298"/>
      <c r="H13" s="298"/>
      <c r="I13" s="299"/>
      <c r="M13" s="303"/>
      <c r="N13" s="304"/>
      <c r="O13" s="142" t="s">
        <v>11</v>
      </c>
      <c r="P13" s="5">
        <v>2.5</v>
      </c>
      <c r="Q13" s="142" t="s">
        <v>12</v>
      </c>
      <c r="R13" s="157"/>
      <c r="AF13" s="307"/>
      <c r="AG13" s="55" t="s">
        <v>26</v>
      </c>
      <c r="AH13" s="55" t="s">
        <v>211</v>
      </c>
      <c r="AI13" s="57" t="str">
        <f>IF(AND($P$16&gt;=0.401,$P$16&lt;=0.8),"medio","erro")</f>
        <v>medio</v>
      </c>
      <c r="AJ13" s="301"/>
      <c r="AK13" s="301"/>
      <c r="AL13" s="301"/>
      <c r="AM13" s="302"/>
      <c r="AO13" s="7"/>
      <c r="AP13" s="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89" t="s">
        <v>111</v>
      </c>
      <c r="C14" s="300"/>
      <c r="D14" s="298"/>
      <c r="E14" s="298"/>
      <c r="F14" s="298"/>
      <c r="G14" s="299"/>
      <c r="H14" s="88" t="s">
        <v>112</v>
      </c>
      <c r="I14" s="90">
        <f ca="1">TODAY()</f>
        <v>44010</v>
      </c>
      <c r="M14" s="303"/>
      <c r="N14" s="304"/>
      <c r="O14" s="142" t="s">
        <v>13</v>
      </c>
      <c r="P14" s="6">
        <v>0.05</v>
      </c>
      <c r="Q14" s="142" t="s">
        <v>12</v>
      </c>
      <c r="R14" s="157"/>
      <c r="AF14" s="307"/>
      <c r="AG14" s="55" t="s">
        <v>208</v>
      </c>
      <c r="AH14" s="55" t="s">
        <v>206</v>
      </c>
      <c r="AI14" s="57" t="str">
        <f>IF($P$16&gt;0.8,"adequado","erro")</f>
        <v>erro</v>
      </c>
      <c r="AJ14" s="301"/>
      <c r="AK14" s="301"/>
      <c r="AL14" s="301"/>
      <c r="AM14" s="302"/>
      <c r="AO14" s="7"/>
      <c r="AP14" s="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42" t="s">
        <v>14</v>
      </c>
      <c r="P15" s="5">
        <v>2.2999999999999998</v>
      </c>
      <c r="Q15" s="142" t="s">
        <v>12</v>
      </c>
      <c r="R15" s="157"/>
      <c r="AF15" s="307" t="s">
        <v>218</v>
      </c>
      <c r="AG15" s="55" t="s">
        <v>25</v>
      </c>
      <c r="AH15" s="55" t="s">
        <v>214</v>
      </c>
      <c r="AI15" s="57" t="str">
        <f>IF($P$18&lt;=1.9,"baixo","erro")</f>
        <v>erro</v>
      </c>
      <c r="AJ15" s="301" t="str">
        <f>IF($AI$15="baixo","baixo",IF($AI$16="medio","medio",IF($AI$17="adequado","adequado",0)))</f>
        <v>adequado</v>
      </c>
      <c r="AK15" s="301">
        <f>IF(AJ15="Baixo",AL15,0)</f>
        <v>0</v>
      </c>
      <c r="AL15" s="301">
        <f>(AM15*1000)/$E$18</f>
        <v>8</v>
      </c>
      <c r="AM15" s="302">
        <v>1</v>
      </c>
      <c r="AO15" s="7"/>
      <c r="AP15" s="7"/>
      <c r="AQ15" s="7"/>
      <c r="AR15" s="7"/>
      <c r="AS15" s="28">
        <f>AS11-(SUM(AS12:AS14))</f>
        <v>1600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42" t="s">
        <v>15</v>
      </c>
      <c r="P16" s="6">
        <v>0.6</v>
      </c>
      <c r="Q16" s="142" t="s">
        <v>12</v>
      </c>
      <c r="R16" s="157"/>
      <c r="AF16" s="307"/>
      <c r="AG16" s="55" t="s">
        <v>26</v>
      </c>
      <c r="AH16" s="55" t="s">
        <v>210</v>
      </c>
      <c r="AI16" s="57" t="str">
        <f>IF(AND($P$18&gt;=1.901,$P$18&lt;=5),"medio","erro")</f>
        <v>erro</v>
      </c>
      <c r="AJ16" s="301"/>
      <c r="AK16" s="301"/>
      <c r="AL16" s="301"/>
      <c r="AM16" s="302"/>
      <c r="AO16" s="7"/>
      <c r="AP16" s="295" t="s">
        <v>232</v>
      </c>
      <c r="AQ16" s="295" t="s">
        <v>233</v>
      </c>
      <c r="AR16" s="295"/>
      <c r="AS16" s="54" t="s">
        <v>33</v>
      </c>
      <c r="AT16" s="54" t="s">
        <v>198</v>
      </c>
      <c r="AU16" s="54" t="s">
        <v>199</v>
      </c>
      <c r="AV16" s="296" t="s">
        <v>234</v>
      </c>
      <c r="AW16" s="7"/>
      <c r="AX16" s="7"/>
      <c r="AY16" s="7"/>
      <c r="AZ16" s="7"/>
      <c r="BA16" s="7"/>
      <c r="BB16" s="7"/>
    </row>
    <row r="17" spans="2:54" ht="19.5" customHeight="1" x14ac:dyDescent="0.25">
      <c r="M17" s="303"/>
      <c r="N17" s="304"/>
      <c r="O17" s="142" t="s">
        <v>16</v>
      </c>
      <c r="P17" s="5">
        <v>84.8</v>
      </c>
      <c r="Q17" s="142" t="s">
        <v>12</v>
      </c>
      <c r="R17" s="157"/>
      <c r="U17" s="311" t="s">
        <v>60</v>
      </c>
      <c r="V17" s="311"/>
      <c r="W17" s="311"/>
      <c r="X17" s="311"/>
      <c r="Y17" s="301" t="s">
        <v>59</v>
      </c>
      <c r="Z17" s="301"/>
      <c r="AA17" s="301"/>
      <c r="AB17" s="301"/>
      <c r="AC17" s="301"/>
      <c r="AD17" s="301"/>
      <c r="AF17" s="307"/>
      <c r="AG17" s="55" t="s">
        <v>208</v>
      </c>
      <c r="AH17" s="55" t="s">
        <v>205</v>
      </c>
      <c r="AI17" s="57" t="str">
        <f>IF($P$18&gt;5,"adequado","erro")</f>
        <v>adequado</v>
      </c>
      <c r="AJ17" s="301"/>
      <c r="AK17" s="301"/>
      <c r="AL17" s="301"/>
      <c r="AM17" s="302"/>
      <c r="AO17" s="7"/>
      <c r="AP17" s="295"/>
      <c r="AQ17" s="295"/>
      <c r="AR17" s="295"/>
      <c r="AS17" s="9">
        <f>AS15</f>
        <v>1600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118">
        <f>O34</f>
        <v>1</v>
      </c>
      <c r="M18" s="303"/>
      <c r="N18" s="304"/>
      <c r="O18" s="142" t="s">
        <v>17</v>
      </c>
      <c r="P18" s="6">
        <v>14.9</v>
      </c>
      <c r="Q18" s="142" t="s">
        <v>12</v>
      </c>
      <c r="R18" s="157"/>
      <c r="U18" s="311"/>
      <c r="V18" s="311"/>
      <c r="W18" s="311"/>
      <c r="X18" s="311"/>
      <c r="Y18" s="301"/>
      <c r="Z18" s="301"/>
      <c r="AA18" s="301"/>
      <c r="AB18" s="301"/>
      <c r="AC18" s="301"/>
      <c r="AD18" s="301"/>
      <c r="AF18" s="307" t="s">
        <v>217</v>
      </c>
      <c r="AG18" s="55" t="s">
        <v>25</v>
      </c>
      <c r="AH18" s="55" t="s">
        <v>213</v>
      </c>
      <c r="AI18" s="57" t="str">
        <f>IF($P$19&lt;=1,"baixo","erro")</f>
        <v>erro</v>
      </c>
      <c r="AJ18" s="301" t="str">
        <f>IF($AI$18="baixo","baixo",IF($AI$19="medio","medio",IF($AI$20="adequado","adequado",0)))</f>
        <v>adequado</v>
      </c>
      <c r="AK18" s="301">
        <f>IF(AJ18="Baixo",AL18,0)</f>
        <v>0</v>
      </c>
      <c r="AL18" s="301">
        <f>(AM18*1000)/$E$18</f>
        <v>40</v>
      </c>
      <c r="AM18" s="302">
        <v>5</v>
      </c>
      <c r="AO18" s="7"/>
      <c r="AP18" s="54">
        <v>13</v>
      </c>
      <c r="AQ18" s="295" t="str">
        <f>O87</f>
        <v>Torta de mamona Hortibraz</v>
      </c>
      <c r="AR18" s="295"/>
      <c r="AS18" s="9">
        <f>IFERROR((VLOOKUP(AQ18,$V$100:$AB$179,3,0)*0.01)*AV18,0)</f>
        <v>1600</v>
      </c>
      <c r="AT18" s="9">
        <f>IFERROR((VLOOKUP(AQ18,$V$100:$AB$179,5,0)*0.01)*AV18,0)</f>
        <v>0</v>
      </c>
      <c r="AU18" s="9">
        <f>IFERROR((VLOOKUP(AQ18,$V$100:$AB$179,7,0)*0.01)*AV18,0)</f>
        <v>0</v>
      </c>
      <c r="AV18" s="9">
        <f>IFERROR($AS$17*Q87/(VLOOKUP(AQ18,$V$100:$AB$179,3,0)/100),0)</f>
        <v>26666.666666666668</v>
      </c>
      <c r="AW18" s="7"/>
      <c r="AX18" s="7"/>
      <c r="AY18" s="7"/>
      <c r="AZ18" s="7"/>
      <c r="BA18" s="7"/>
      <c r="BB18" s="7"/>
    </row>
    <row r="19" spans="2:54" ht="19.5" customHeight="1" x14ac:dyDescent="0.25">
      <c r="M19" s="303"/>
      <c r="N19" s="304"/>
      <c r="O19" s="142" t="s">
        <v>18</v>
      </c>
      <c r="P19" s="5">
        <v>1.7</v>
      </c>
      <c r="Q19" s="142" t="s">
        <v>12</v>
      </c>
      <c r="R19" s="157"/>
      <c r="S19" s="11"/>
      <c r="U19" s="311"/>
      <c r="V19" s="311"/>
      <c r="W19" s="311"/>
      <c r="X19" s="311"/>
      <c r="Y19" s="301"/>
      <c r="Z19" s="301"/>
      <c r="AA19" s="301"/>
      <c r="AB19" s="301"/>
      <c r="AC19" s="301"/>
      <c r="AD19" s="301"/>
      <c r="AF19" s="307"/>
      <c r="AG19" s="55" t="s">
        <v>26</v>
      </c>
      <c r="AH19" s="55" t="s">
        <v>209</v>
      </c>
      <c r="AI19" s="57" t="str">
        <f>IF(AND($P$19&gt;=1.01,$P$19&lt;=1.6),"medio","erro")</f>
        <v>erro</v>
      </c>
      <c r="AJ19" s="301"/>
      <c r="AK19" s="301"/>
      <c r="AL19" s="301"/>
      <c r="AM19" s="302"/>
      <c r="AO19" s="7"/>
      <c r="AP19" s="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42" t="s">
        <v>19</v>
      </c>
      <c r="P20" s="6">
        <v>35</v>
      </c>
      <c r="Q20" s="142" t="s">
        <v>23</v>
      </c>
      <c r="R20" s="157"/>
      <c r="U20" s="57" t="s">
        <v>29</v>
      </c>
      <c r="V20" s="301" t="s">
        <v>74</v>
      </c>
      <c r="W20" s="301"/>
      <c r="X20" s="301"/>
      <c r="Y20" s="301"/>
      <c r="Z20" s="301"/>
      <c r="AA20" s="301"/>
      <c r="AB20" s="301"/>
      <c r="AC20" s="301"/>
      <c r="AD20" s="301"/>
      <c r="AF20" s="307"/>
      <c r="AG20" s="55" t="s">
        <v>208</v>
      </c>
      <c r="AH20" s="55" t="s">
        <v>204</v>
      </c>
      <c r="AI20" s="57" t="str">
        <f>IF($P$19&gt;1.6,"adequado","erro")</f>
        <v>adequado</v>
      </c>
      <c r="AJ20" s="301"/>
      <c r="AK20" s="301"/>
      <c r="AL20" s="301"/>
      <c r="AM20" s="302"/>
      <c r="AO20" s="7"/>
      <c r="AP20" s="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42" t="s">
        <v>52</v>
      </c>
      <c r="P21" s="5">
        <v>47.5</v>
      </c>
      <c r="Q21" s="142" t="s">
        <v>23</v>
      </c>
      <c r="R21" s="157"/>
      <c r="S21" s="11"/>
      <c r="U21" s="57" t="s">
        <v>23</v>
      </c>
      <c r="V21" s="57" t="s">
        <v>25</v>
      </c>
      <c r="W21" s="57" t="s">
        <v>26</v>
      </c>
      <c r="X21" s="57" t="s">
        <v>31</v>
      </c>
      <c r="Y21" s="57" t="s">
        <v>53</v>
      </c>
      <c r="Z21" s="301" t="s">
        <v>62</v>
      </c>
      <c r="AA21" s="301"/>
      <c r="AB21" s="301"/>
      <c r="AC21" s="57" t="s">
        <v>57</v>
      </c>
      <c r="AD21" s="57"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42" t="s">
        <v>20</v>
      </c>
      <c r="P22" s="5">
        <v>17.5</v>
      </c>
      <c r="Q22" s="142" t="s">
        <v>23</v>
      </c>
      <c r="R22" s="157"/>
      <c r="U22" s="57" t="s">
        <v>50</v>
      </c>
      <c r="V22" s="57" t="s">
        <v>248</v>
      </c>
      <c r="W22" s="57" t="s">
        <v>250</v>
      </c>
      <c r="X22" s="57" t="s">
        <v>251</v>
      </c>
      <c r="Y22" s="57" t="str">
        <f>IF($P$21&lt;=20,"correto","erro")</f>
        <v>erro</v>
      </c>
      <c r="Z22" s="57" t="str">
        <f>IF($P$8&lt;=0.04,"baixo","erro")</f>
        <v>erro</v>
      </c>
      <c r="AA22" s="57" t="str">
        <f>IF(AND($P$8&gt;=0.041,$P$8&lt;=0.1),"medio","erro")</f>
        <v>erro</v>
      </c>
      <c r="AB22" s="57" t="str">
        <f>IF($P$8&gt;0.101,"adequado","erro")</f>
        <v>adequado</v>
      </c>
      <c r="AC22" s="57"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42" t="s">
        <v>21</v>
      </c>
      <c r="P23" s="5">
        <v>16.899999999999999</v>
      </c>
      <c r="Q23" s="142" t="s">
        <v>10</v>
      </c>
      <c r="R23" s="157"/>
      <c r="U23" s="57" t="s">
        <v>61</v>
      </c>
      <c r="V23" s="57" t="s">
        <v>249</v>
      </c>
      <c r="W23" s="57" t="s">
        <v>252</v>
      </c>
      <c r="X23" s="57" t="s">
        <v>253</v>
      </c>
      <c r="Y23" s="57" t="str">
        <f>IF($P$21&gt;20,"correto","erro")</f>
        <v>correto</v>
      </c>
      <c r="Z23" s="57" t="str">
        <f>IF($P$8&lt;=0.06,"baixo","erro")</f>
        <v>erro</v>
      </c>
      <c r="AA23" s="57" t="str">
        <f>IF(AND($P$8&gt;=0.061,$P$8&lt;=0.2),"medio","erro")</f>
        <v>erro</v>
      </c>
      <c r="AB23" s="57" t="str">
        <f>IF($P$8&gt;0.201,"adequado","erro")</f>
        <v>adequado</v>
      </c>
      <c r="AC23" s="57"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42" t="s">
        <v>22</v>
      </c>
      <c r="P24" s="2">
        <f>100*(P6+P7+P8+P9)/P25</f>
        <v>48.586118251928028</v>
      </c>
      <c r="Q24" s="142" t="s">
        <v>23</v>
      </c>
      <c r="R24" s="157"/>
      <c r="AO24" s="7"/>
      <c r="AP24" s="7"/>
      <c r="AQ24" s="7"/>
      <c r="AR24" s="7"/>
      <c r="AS24" s="28">
        <f>AS26-(SUM(AS27:AS36))</f>
        <v>8</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42" t="s">
        <v>24</v>
      </c>
      <c r="P25" s="1">
        <f>(P6+P7+P8+P9+P11)</f>
        <v>7.7799999999999994</v>
      </c>
      <c r="Q25" s="142" t="s">
        <v>55</v>
      </c>
      <c r="R25" s="157"/>
      <c r="AO25" s="7"/>
      <c r="AP25" s="326" t="s">
        <v>232</v>
      </c>
      <c r="AQ25" s="326" t="s">
        <v>233</v>
      </c>
      <c r="AR25" s="326"/>
      <c r="AS25" s="68" t="s">
        <v>84</v>
      </c>
      <c r="AT25" s="68" t="s">
        <v>87</v>
      </c>
      <c r="AU25" s="68" t="s">
        <v>85</v>
      </c>
      <c r="AV25" s="68" t="s">
        <v>86</v>
      </c>
      <c r="AW25" s="7"/>
      <c r="AX25" s="7"/>
      <c r="AY25" s="7"/>
      <c r="AZ25" s="7"/>
      <c r="BA25" s="7"/>
      <c r="BB25" s="7"/>
    </row>
    <row r="26" spans="2:54" ht="19.5" customHeight="1" thickBot="1" x14ac:dyDescent="0.3">
      <c r="B26" s="321" t="s">
        <v>246</v>
      </c>
      <c r="C26" s="322"/>
      <c r="D26" s="322"/>
      <c r="E26" s="322"/>
      <c r="F26" s="322"/>
      <c r="G26" s="322"/>
      <c r="H26" s="322"/>
      <c r="I26" s="323"/>
      <c r="J26" s="12"/>
      <c r="M26" s="158"/>
      <c r="N26" s="150"/>
      <c r="O26" s="150"/>
      <c r="P26" s="150"/>
      <c r="Q26" s="150"/>
      <c r="R26" s="159"/>
      <c r="U26" s="300" t="s">
        <v>281</v>
      </c>
      <c r="V26" s="298"/>
      <c r="W26" s="298"/>
      <c r="X26" s="298"/>
      <c r="Y26" s="298"/>
      <c r="Z26" s="299"/>
      <c r="AO26" s="7"/>
      <c r="AP26" s="326"/>
      <c r="AQ26" s="326"/>
      <c r="AR26" s="326"/>
      <c r="AS26" s="3">
        <f>AK9</f>
        <v>8</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1.3746130030959745</v>
      </c>
      <c r="E27" s="329" t="str">
        <f>IF(J27&gt;0,"toneladas por hectare ou,","-")</f>
        <v>toneladas por hectare ou,</v>
      </c>
      <c r="F27" s="329"/>
      <c r="G27" s="329"/>
      <c r="H27" s="101" t="s">
        <v>447</v>
      </c>
      <c r="I27" s="101">
        <f>IFERROR((D27*1000*VLOOKUP(B27,$V$56:$W$68,2,0)*$O$34),0)</f>
        <v>769.78328173374575</v>
      </c>
      <c r="J27" s="32">
        <f>V51</f>
        <v>1.3746130030959745</v>
      </c>
      <c r="U27" s="57" t="s">
        <v>271</v>
      </c>
      <c r="V27" s="57" t="s">
        <v>282</v>
      </c>
      <c r="W27" s="57" t="s">
        <v>75</v>
      </c>
      <c r="X27" s="57" t="s">
        <v>71</v>
      </c>
      <c r="Y27" s="57" t="s">
        <v>283</v>
      </c>
      <c r="Z27" s="57"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0.13746130030959744</v>
      </c>
      <c r="E28" s="332" t="str">
        <f>IF(J28&gt;0,"gramas por metro quadrado","-")</f>
        <v>gramas por metro quadrado</v>
      </c>
      <c r="F28" s="332"/>
      <c r="G28" s="332"/>
      <c r="H28" s="102" t="s">
        <v>419</v>
      </c>
      <c r="I28" s="102">
        <f>I27/$E$18</f>
        <v>6.1582662538699662</v>
      </c>
      <c r="J28" s="32">
        <f>J27/10</f>
        <v>0.13746130030959744</v>
      </c>
      <c r="M28" s="36"/>
      <c r="N28" s="63"/>
      <c r="O28" s="63"/>
      <c r="P28" s="63"/>
      <c r="Q28" s="63"/>
      <c r="R28" s="37"/>
      <c r="U28" s="57" t="s">
        <v>267</v>
      </c>
      <c r="V28" s="57">
        <v>35000</v>
      </c>
      <c r="W28" s="57" t="s">
        <v>68</v>
      </c>
      <c r="X28" s="57" t="str">
        <f>CONCATENATE(U28," - ",W28)</f>
        <v>&lt; 6 - baixo</v>
      </c>
      <c r="Y28" s="57">
        <v>30000</v>
      </c>
      <c r="Z28" s="57">
        <v>60000</v>
      </c>
      <c r="AE28" s="56" t="s">
        <v>63</v>
      </c>
      <c r="AG28" s="57" t="s">
        <v>63</v>
      </c>
      <c r="AI28" s="15" t="s">
        <v>63</v>
      </c>
      <c r="AK28" s="15" t="s">
        <v>63</v>
      </c>
      <c r="AL28" s="88"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13"/>
      <c r="U29" s="57" t="s">
        <v>267</v>
      </c>
      <c r="V29" s="57">
        <v>35000</v>
      </c>
      <c r="W29" s="57" t="s">
        <v>69</v>
      </c>
      <c r="X29" s="57" t="str">
        <f t="shared" ref="X29:X42" si="8">CONCATENATE(U29," - ",W29)</f>
        <v>&lt; 6 - medio</v>
      </c>
      <c r="Y29" s="57">
        <v>20000</v>
      </c>
      <c r="Z29" s="57">
        <v>40000</v>
      </c>
      <c r="AB29" s="312" t="s">
        <v>65</v>
      </c>
      <c r="AC29" s="312"/>
      <c r="AE29" s="56" t="s">
        <v>271</v>
      </c>
      <c r="AG29" s="57"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13"/>
      <c r="U30" s="57" t="s">
        <v>267</v>
      </c>
      <c r="V30" s="57">
        <v>35000</v>
      </c>
      <c r="W30" s="57" t="s">
        <v>70</v>
      </c>
      <c r="X30" s="57" t="str">
        <f t="shared" si="8"/>
        <v>&lt; 6 - adequado</v>
      </c>
      <c r="Y30" s="57">
        <v>0</v>
      </c>
      <c r="Z30" s="57">
        <v>30000</v>
      </c>
      <c r="AB30" s="165" t="s">
        <v>33</v>
      </c>
      <c r="AC30" s="4">
        <f>(VLOOKUP($P$39,$U$28:$V$42,2,0)/$E$18)/AD30</f>
        <v>1600</v>
      </c>
      <c r="AD30" s="184">
        <f>'Adubos e corretivos (1)'!K120</f>
        <v>1</v>
      </c>
      <c r="AE30" s="56" t="s">
        <v>34</v>
      </c>
      <c r="AG30" s="57"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13"/>
      <c r="U31" s="57" t="s">
        <v>268</v>
      </c>
      <c r="V31" s="57">
        <v>55000</v>
      </c>
      <c r="W31" s="57" t="s">
        <v>68</v>
      </c>
      <c r="X31" s="57" t="str">
        <f t="shared" si="8"/>
        <v>6,1 - 12 - baixo</v>
      </c>
      <c r="Y31" s="57">
        <v>50000</v>
      </c>
      <c r="Z31" s="57">
        <v>95000</v>
      </c>
      <c r="AB31" s="165" t="s">
        <v>66</v>
      </c>
      <c r="AC31" s="165">
        <f>(VLOOKUP(AB36,X28:Z42,2,0)/$E$18)/AD31</f>
        <v>1360</v>
      </c>
      <c r="AD31" s="184">
        <f>'Adubos e corretivos (1)'!K121</f>
        <v>1</v>
      </c>
      <c r="AE31" s="56" t="s">
        <v>267</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13"/>
      <c r="U32" s="57" t="s">
        <v>268</v>
      </c>
      <c r="V32" s="57">
        <v>55000</v>
      </c>
      <c r="W32" s="57" t="s">
        <v>69</v>
      </c>
      <c r="X32" s="57" t="str">
        <f t="shared" si="8"/>
        <v>6,1 - 12 - medio</v>
      </c>
      <c r="Y32" s="57">
        <v>30000</v>
      </c>
      <c r="Z32" s="57">
        <v>60000</v>
      </c>
      <c r="AB32" s="165" t="s">
        <v>67</v>
      </c>
      <c r="AC32" s="165">
        <f>(VLOOKUP($AB$39,X28:Z42,3,0)/$E$18)/AD32</f>
        <v>1040</v>
      </c>
      <c r="AD32" s="184">
        <f>'Adubos e corretivos (1)'!K122</f>
        <v>1</v>
      </c>
      <c r="AE32" s="56" t="s">
        <v>268</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13"/>
      <c r="U33" s="57" t="s">
        <v>268</v>
      </c>
      <c r="V33" s="57">
        <v>55000</v>
      </c>
      <c r="W33" s="57" t="s">
        <v>70</v>
      </c>
      <c r="X33" s="57" t="str">
        <f t="shared" si="8"/>
        <v>6,1 - 12 - adequado</v>
      </c>
      <c r="Y33" s="57">
        <v>0</v>
      </c>
      <c r="Z33" s="57">
        <v>40000</v>
      </c>
      <c r="AE33" s="56" t="s">
        <v>269</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13"/>
      <c r="U34" s="57" t="s">
        <v>269</v>
      </c>
      <c r="V34" s="57">
        <v>100000</v>
      </c>
      <c r="W34" s="57" t="s">
        <v>68</v>
      </c>
      <c r="X34" s="57" t="str">
        <f t="shared" si="8"/>
        <v>12,1 - 20 - baixo</v>
      </c>
      <c r="Y34" s="57">
        <v>90000</v>
      </c>
      <c r="Z34" s="57">
        <v>150000</v>
      </c>
      <c r="AE34" s="56" t="s">
        <v>270</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38"/>
      <c r="N35" s="62"/>
      <c r="O35" s="103">
        <f>IFERROR(IF(ISERR(P35),Q35,IF(ISERR(Q35),P35)),"-")</f>
        <v>125</v>
      </c>
      <c r="P35" s="17">
        <f>10000/($O$30*$Q$30)</f>
        <v>125</v>
      </c>
      <c r="Q35" s="17" t="e">
        <f>10000/((($O$32/2)+($P$32/2))*$Q$32)</f>
        <v>#DIV/0!</v>
      </c>
      <c r="R35" s="39"/>
      <c r="U35" s="57" t="s">
        <v>269</v>
      </c>
      <c r="V35" s="57">
        <v>100000</v>
      </c>
      <c r="W35" s="57" t="s">
        <v>69</v>
      </c>
      <c r="X35" s="57" t="str">
        <f t="shared" si="8"/>
        <v>12,1 - 20 - medio</v>
      </c>
      <c r="Y35" s="57">
        <v>60000</v>
      </c>
      <c r="Z35" s="57">
        <v>100000</v>
      </c>
      <c r="AB35" s="301" t="s">
        <v>72</v>
      </c>
      <c r="AC35" s="301"/>
      <c r="AE35" s="56" t="s">
        <v>287</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57" t="s">
        <v>269</v>
      </c>
      <c r="V36" s="57">
        <v>100000</v>
      </c>
      <c r="W36" s="57" t="s">
        <v>70</v>
      </c>
      <c r="X36" s="57" t="str">
        <f t="shared" si="8"/>
        <v>12,1 - 20 - adequado</v>
      </c>
      <c r="Y36" s="57">
        <v>15000</v>
      </c>
      <c r="Z36" s="57">
        <v>70000</v>
      </c>
      <c r="AB36" s="301" t="str">
        <f>CONCATENATE($P$39," - ",$AD$8)</f>
        <v>30,1 - 40 -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36"/>
      <c r="N37" s="63"/>
      <c r="O37" s="63"/>
      <c r="P37" s="63"/>
      <c r="Q37" s="63"/>
      <c r="R37" s="37"/>
      <c r="U37" s="57" t="s">
        <v>270</v>
      </c>
      <c r="V37" s="57">
        <v>150000</v>
      </c>
      <c r="W37" s="57" t="s">
        <v>68</v>
      </c>
      <c r="X37" s="57" t="str">
        <f t="shared" si="8"/>
        <v>20,1 - 30 - baixo</v>
      </c>
      <c r="Y37" s="57">
        <v>130000</v>
      </c>
      <c r="Z37" s="57">
        <v>210000</v>
      </c>
      <c r="AI37" s="15">
        <v>0.7</v>
      </c>
      <c r="AK37" s="73" t="str">
        <f>'Adubos e corretivos (1)'!E128</f>
        <v>Compostos orgânicos</v>
      </c>
      <c r="AL37" s="105">
        <f>'Adubos e corretivos (1)'!F128</f>
        <v>0.7</v>
      </c>
      <c r="AO37" s="29"/>
      <c r="AP37" s="29"/>
      <c r="AQ37" s="29"/>
      <c r="AR37" s="29"/>
      <c r="AS37" s="28">
        <f>IF(AS24&gt;0,AS24,0)</f>
        <v>8</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13"/>
      <c r="U38" s="57" t="s">
        <v>270</v>
      </c>
      <c r="V38" s="57">
        <v>150000</v>
      </c>
      <c r="W38" s="57" t="s">
        <v>69</v>
      </c>
      <c r="X38" s="57" t="str">
        <f t="shared" si="8"/>
        <v>20,1 - 30 - medio</v>
      </c>
      <c r="Y38" s="57">
        <v>90000</v>
      </c>
      <c r="Z38" s="57">
        <v>140000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57" t="s">
        <v>274</v>
      </c>
      <c r="P39" s="330" t="s">
        <v>287</v>
      </c>
      <c r="Q39" s="330"/>
      <c r="R39" s="13"/>
      <c r="U39" s="57" t="s">
        <v>270</v>
      </c>
      <c r="V39" s="57">
        <v>150000</v>
      </c>
      <c r="W39" s="57" t="s">
        <v>70</v>
      </c>
      <c r="X39" s="57" t="str">
        <f t="shared" si="8"/>
        <v>20,1 - 30 - adequado</v>
      </c>
      <c r="Y39" s="57">
        <v>20000</v>
      </c>
      <c r="Z39" s="57">
        <v>100000</v>
      </c>
      <c r="AB39" s="301" t="str">
        <f>CONCATENATE($P$39," - ",$AD$22)</f>
        <v>30,1 - 40 - adequado</v>
      </c>
      <c r="AC39" s="301"/>
      <c r="AI39" s="15">
        <v>0.9</v>
      </c>
      <c r="AO39" s="7"/>
      <c r="AP39" s="295" t="s">
        <v>235</v>
      </c>
      <c r="AQ39" s="295"/>
      <c r="AR39" s="54" t="s">
        <v>84</v>
      </c>
      <c r="AS39" s="54" t="s">
        <v>87</v>
      </c>
      <c r="AT39" s="54" t="s">
        <v>85</v>
      </c>
      <c r="AU39" s="54" t="s">
        <v>86</v>
      </c>
      <c r="AV39" s="54" t="s">
        <v>200</v>
      </c>
      <c r="AW39" s="54" t="s">
        <v>84</v>
      </c>
      <c r="AX39" s="54" t="s">
        <v>87</v>
      </c>
      <c r="AY39" s="54" t="s">
        <v>85</v>
      </c>
      <c r="AZ39" s="54" t="s">
        <v>86</v>
      </c>
      <c r="BA39" s="7"/>
      <c r="BB39" s="7"/>
    </row>
    <row r="40" spans="2:57" ht="19.5" customHeight="1" x14ac:dyDescent="0.25">
      <c r="J40" s="12"/>
      <c r="K40" s="35"/>
      <c r="M40" s="303"/>
      <c r="N40" s="332"/>
      <c r="O40" s="60"/>
      <c r="P40" s="60"/>
      <c r="Q40" s="60"/>
      <c r="R40" s="13"/>
      <c r="U40" s="141" t="s">
        <v>287</v>
      </c>
      <c r="V40" s="57">
        <v>200000</v>
      </c>
      <c r="W40" s="57" t="s">
        <v>68</v>
      </c>
      <c r="X40" s="57" t="str">
        <f t="shared" si="8"/>
        <v>30,1 - 40 - baixo</v>
      </c>
      <c r="Y40" s="57">
        <v>170000</v>
      </c>
      <c r="Z40" s="57">
        <v>270000</v>
      </c>
      <c r="AI40" s="15">
        <v>1</v>
      </c>
      <c r="AO40" s="7"/>
      <c r="AP40" s="295" t="str">
        <f>O102</f>
        <v>Ácido Bórico</v>
      </c>
      <c r="AQ40" s="295"/>
      <c r="AR40" s="9">
        <f>IFERROR($AS$37/((VLOOKUP(AP40,$V$100:$AO$179,11,0)*0.01)),0)</f>
        <v>45.714285714285708</v>
      </c>
      <c r="AS40" s="9">
        <f>IFERROR($AT$37/((VLOOKUP(AP40,$V$100:$AO$179,14,0)*0.01)),0)</f>
        <v>0</v>
      </c>
      <c r="AT40" s="9">
        <f>IFERROR($AU$37/((VLOOKUP(AP40,$V$100:$AO$179,12,0)*0.01)),0)</f>
        <v>0</v>
      </c>
      <c r="AU40" s="9">
        <f>IFERROR($AV$37/((VLOOKUP(AP40,$V$100:$AO$179,13,0)*0.01)),0)</f>
        <v>0</v>
      </c>
      <c r="AV40" s="9">
        <f>MAX(AR40:AU40)</f>
        <v>45.714285714285708</v>
      </c>
      <c r="AW40" s="9">
        <f>IFERROR(AV40*(VLOOKUP(AP40,$V$100:$AO$179,11,0)*0.01),0)</f>
        <v>8</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13"/>
      <c r="U41" s="141" t="s">
        <v>287</v>
      </c>
      <c r="V41" s="57">
        <v>200000</v>
      </c>
      <c r="W41" s="57" t="s">
        <v>69</v>
      </c>
      <c r="X41" s="57" t="str">
        <f t="shared" si="8"/>
        <v>30,1 - 40 - medio</v>
      </c>
      <c r="Y41" s="57">
        <v>120000</v>
      </c>
      <c r="Z41" s="57">
        <v>180000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60"/>
      <c r="BD41" s="60"/>
      <c r="BE41" s="60"/>
    </row>
    <row r="42" spans="2:57" ht="19.5" customHeight="1" x14ac:dyDescent="0.25">
      <c r="B42" s="328"/>
      <c r="C42" s="328"/>
      <c r="D42" s="328"/>
      <c r="E42" s="328"/>
      <c r="F42" s="328"/>
      <c r="G42" s="328"/>
      <c r="H42" s="328"/>
      <c r="I42" s="328"/>
      <c r="J42" s="12"/>
      <c r="K42" s="35"/>
      <c r="M42" s="303"/>
      <c r="N42" s="332"/>
      <c r="O42" s="333"/>
      <c r="P42" s="334"/>
      <c r="Q42" s="335"/>
      <c r="R42" s="13"/>
      <c r="U42" s="141" t="s">
        <v>287</v>
      </c>
      <c r="V42" s="57">
        <v>200000</v>
      </c>
      <c r="W42" s="57" t="s">
        <v>70</v>
      </c>
      <c r="X42" s="57" t="str">
        <f t="shared" si="8"/>
        <v>30,1 - 40 - adequado</v>
      </c>
      <c r="Y42" s="57">
        <v>25000</v>
      </c>
      <c r="Z42" s="57">
        <v>130000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38"/>
      <c r="N43" s="62"/>
      <c r="O43" s="62"/>
      <c r="P43" s="62"/>
      <c r="Q43" s="62"/>
      <c r="R43" s="39"/>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7771.4285714285716</v>
      </c>
      <c r="K45" s="35"/>
      <c r="M45" s="36"/>
      <c r="N45" s="63"/>
      <c r="O45" s="337" t="s">
        <v>275</v>
      </c>
      <c r="P45" s="337"/>
      <c r="Q45" s="337"/>
      <c r="R45" s="37"/>
      <c r="U45" s="300" t="s">
        <v>101</v>
      </c>
      <c r="V45" s="299"/>
      <c r="X45" s="301" t="s">
        <v>181</v>
      </c>
      <c r="Y45" s="301"/>
      <c r="Z45" s="301"/>
      <c r="AB45" s="88" t="s">
        <v>399</v>
      </c>
      <c r="AC45" s="88" t="str">
        <f>IF($P$63&lt;=0.5,"Sim","Não")</f>
        <v>Não</v>
      </c>
      <c r="AD45" s="88" t="s">
        <v>171</v>
      </c>
      <c r="AE45" s="88">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13"/>
      <c r="U46" s="57" t="s">
        <v>102</v>
      </c>
      <c r="V46" s="31">
        <f>'Adubos e corretivos (1)'!C119</f>
        <v>60</v>
      </c>
      <c r="X46" s="336" t="s">
        <v>242</v>
      </c>
      <c r="Y46" s="336"/>
      <c r="Z46" s="2">
        <f>IFERROR(VLOOKUP(O50,$V$87:$AE$95,10,0),0)</f>
        <v>9.1197279464721319</v>
      </c>
      <c r="AB46" s="88" t="s">
        <v>400</v>
      </c>
      <c r="AC46" s="88" t="str">
        <f>IF($P$64&gt;=0.5,"Sim","Não")</f>
        <v>Não</v>
      </c>
      <c r="AD46" s="88" t="s">
        <v>170</v>
      </c>
      <c r="AE46" s="88">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4952.3809523809523</v>
      </c>
      <c r="K47" s="35"/>
      <c r="M47" s="303"/>
      <c r="N47" s="332"/>
      <c r="O47" s="333" t="s">
        <v>442</v>
      </c>
      <c r="P47" s="335"/>
      <c r="Q47" s="18">
        <v>1</v>
      </c>
      <c r="R47" s="13"/>
      <c r="U47" s="57" t="s">
        <v>104</v>
      </c>
      <c r="V47" s="2">
        <f>IFERROR((((V46-P24)*P25)/V49),0)</f>
        <v>1.3746130030959745</v>
      </c>
      <c r="X47" s="336" t="s">
        <v>182</v>
      </c>
      <c r="Y47" s="336"/>
      <c r="Z47" s="2">
        <f>IFERROR((($V$50/$Z$46)*$V$47),0)</f>
        <v>6.7828322842950355</v>
      </c>
      <c r="AB47" s="88" t="s">
        <v>401</v>
      </c>
      <c r="AC47" s="88" t="str">
        <f>IF($P$65&gt;=20,"Sim","Não")</f>
        <v>Sim</v>
      </c>
      <c r="AD47" s="88"/>
      <c r="AE47" s="88"/>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13"/>
      <c r="U48" s="57" t="s">
        <v>180</v>
      </c>
      <c r="V48" s="2">
        <f>IF(V47&lt;0,(0),IF(V47&gt;=0,(V47)))</f>
        <v>1.3746130030959745</v>
      </c>
      <c r="X48" s="336" t="s">
        <v>180</v>
      </c>
      <c r="Y48" s="336"/>
      <c r="Z48" s="2">
        <f>IFERROR(IF(Z47&lt;0,(0),IF(Z47&gt;=0,(Z47))),0)</f>
        <v>6.7828322842950355</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13"/>
      <c r="U49" s="57" t="s">
        <v>103</v>
      </c>
      <c r="V49" s="2">
        <f>IFERROR(VLOOKUP($O$47,$V$56:$AA$68,5,0),0)</f>
        <v>64.599999999999994</v>
      </c>
      <c r="X49" s="336" t="s">
        <v>247</v>
      </c>
      <c r="Y49" s="336"/>
      <c r="Z49" s="2">
        <f>Z48*$Q$50</f>
        <v>0</v>
      </c>
    </row>
    <row r="50" spans="2:50" ht="19.5" customHeight="1" x14ac:dyDescent="0.25">
      <c r="J50" s="33">
        <f>AV18</f>
        <v>26666.666666666668</v>
      </c>
      <c r="K50" s="35"/>
      <c r="L50" s="60"/>
      <c r="M50" s="303"/>
      <c r="N50" s="332"/>
      <c r="O50" s="333" t="s">
        <v>144</v>
      </c>
      <c r="P50" s="335"/>
      <c r="Q50" s="18"/>
      <c r="R50" s="13"/>
      <c r="U50" s="57" t="s">
        <v>174</v>
      </c>
      <c r="V50" s="2">
        <f>IFERROR(VLOOKUP($O$47,$V$56:$AA$68,6,0),0)</f>
        <v>45</v>
      </c>
      <c r="AT50" s="301" t="s">
        <v>254</v>
      </c>
      <c r="AU50" s="301"/>
      <c r="AV50" s="301"/>
    </row>
    <row r="51" spans="2:50" ht="19.5" customHeight="1" thickBot="1" x14ac:dyDescent="0.3">
      <c r="B51" s="327" t="str">
        <f>IF(AQ7&gt;0,AQ7,"-")</f>
        <v>Termofosfato YOORIN</v>
      </c>
      <c r="C51" s="327"/>
      <c r="D51" s="108">
        <f>IFERROR(((D52/1000)*$E$18),0)</f>
        <v>971.42857142857144</v>
      </c>
      <c r="E51" s="332" t="str">
        <f>IF(J45&gt;0,"quilos para área total","-")</f>
        <v>quilos para área total</v>
      </c>
      <c r="F51" s="332"/>
      <c r="G51" s="332"/>
      <c r="H51" s="102" t="s">
        <v>447</v>
      </c>
      <c r="I51" s="102">
        <f>I52*$E$18*$I$18</f>
        <v>2258.5714285714289</v>
      </c>
      <c r="J51" s="33">
        <f>AV19</f>
        <v>0</v>
      </c>
      <c r="K51" s="35"/>
      <c r="L51" s="60"/>
      <c r="M51" s="38"/>
      <c r="N51" s="62"/>
      <c r="O51" s="62"/>
      <c r="P51" s="62"/>
      <c r="Q51" s="62"/>
      <c r="R51" s="39"/>
      <c r="U51" s="57" t="s">
        <v>247</v>
      </c>
      <c r="V51" s="2">
        <f>V48*$Q$47</f>
        <v>1.3746130030959745</v>
      </c>
      <c r="AT51" s="58" t="s">
        <v>264</v>
      </c>
      <c r="AU51" s="96" t="str">
        <f>AK29</f>
        <v>Composto de lixo (COL)</v>
      </c>
      <c r="AV51" s="58">
        <v>12</v>
      </c>
    </row>
    <row r="52" spans="2:50" ht="19.5" customHeight="1" x14ac:dyDescent="0.25">
      <c r="B52" s="327"/>
      <c r="C52" s="327"/>
      <c r="D52" s="109">
        <f>IF(J45&gt;0,J45,"-")</f>
        <v>7771.4285714285716</v>
      </c>
      <c r="E52" s="332" t="str">
        <f>IF(J45&gt;0,"gramas por planta","-")</f>
        <v>gramas por planta</v>
      </c>
      <c r="F52" s="332"/>
      <c r="G52" s="332"/>
      <c r="H52" s="102" t="s">
        <v>446</v>
      </c>
      <c r="I52" s="102">
        <f>IFERROR((D52/1000)*VLOOKUP(B51,$V$100:$W$179,2,0),0)</f>
        <v>18.068571428571431</v>
      </c>
      <c r="J52" s="33">
        <f>AV20</f>
        <v>0</v>
      </c>
      <c r="K52" s="35"/>
      <c r="L52" s="60"/>
      <c r="AT52" s="58" t="s">
        <v>264</v>
      </c>
      <c r="AU52" s="96" t="str">
        <f t="shared" ref="AU52:AU59" si="10">AK30</f>
        <v>Cama de frango corte</v>
      </c>
      <c r="AV52" s="58">
        <v>4</v>
      </c>
    </row>
    <row r="53" spans="2:50" ht="19.5" customHeight="1" thickBot="1" x14ac:dyDescent="0.3">
      <c r="J53" s="34"/>
      <c r="K53" s="35"/>
      <c r="L53" s="60"/>
      <c r="AP53" s="60"/>
      <c r="AQ53" s="60"/>
      <c r="AS53" s="60"/>
      <c r="AT53" s="58" t="s">
        <v>264</v>
      </c>
      <c r="AU53" s="96" t="str">
        <f t="shared" si="10"/>
        <v>Esterco de galinha</v>
      </c>
      <c r="AV53" s="58">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36"/>
      <c r="N54" s="63"/>
      <c r="O54" s="63"/>
      <c r="P54" s="63"/>
      <c r="Q54" s="63"/>
      <c r="R54" s="37"/>
      <c r="U54" s="340" t="s">
        <v>124</v>
      </c>
      <c r="V54" s="340" t="s">
        <v>76</v>
      </c>
      <c r="W54" s="340" t="s">
        <v>77</v>
      </c>
      <c r="X54" s="340" t="s">
        <v>78</v>
      </c>
      <c r="Y54" s="340"/>
      <c r="Z54" s="340"/>
      <c r="AA54" s="340"/>
      <c r="AP54" s="341"/>
      <c r="AQ54" s="341"/>
      <c r="AS54" s="341"/>
      <c r="AT54" s="58" t="s">
        <v>264</v>
      </c>
      <c r="AU54" s="96" t="str">
        <f t="shared" si="10"/>
        <v>Esterco Bovino curtido</v>
      </c>
      <c r="AV54" s="58">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13"/>
      <c r="U55" s="340"/>
      <c r="V55" s="340"/>
      <c r="W55" s="340"/>
      <c r="X55" s="64" t="s">
        <v>98</v>
      </c>
      <c r="Y55" s="64" t="s">
        <v>99</v>
      </c>
      <c r="Z55" s="64" t="s">
        <v>100</v>
      </c>
      <c r="AA55" s="64" t="s">
        <v>176</v>
      </c>
      <c r="AP55" s="341"/>
      <c r="AQ55" s="341"/>
      <c r="AS55" s="341"/>
      <c r="AT55" s="58" t="s">
        <v>264</v>
      </c>
      <c r="AU55" s="96" t="str">
        <f t="shared" si="10"/>
        <v>Esterco de equino</v>
      </c>
      <c r="AV55" s="58">
        <v>12</v>
      </c>
    </row>
    <row r="56" spans="2:50" ht="19.5" customHeight="1" x14ac:dyDescent="0.25">
      <c r="J56" s="35"/>
      <c r="K56" s="35"/>
      <c r="M56" s="303"/>
      <c r="N56" s="332"/>
      <c r="O56" s="330" t="s">
        <v>169</v>
      </c>
      <c r="P56" s="330"/>
      <c r="Q56" s="330"/>
      <c r="R56" s="13"/>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60"/>
      <c r="AQ56" s="60"/>
      <c r="AS56" s="60"/>
      <c r="AT56" s="58" t="s">
        <v>264</v>
      </c>
      <c r="AU56" s="96" t="str">
        <f t="shared" si="10"/>
        <v>Esterco de suínos</v>
      </c>
      <c r="AV56" s="58">
        <v>4</v>
      </c>
    </row>
    <row r="57" spans="2:50" ht="19.5" customHeight="1" x14ac:dyDescent="0.25">
      <c r="B57" s="327" t="str">
        <f>IF(AQ12&gt;0,AQ12,"-")</f>
        <v>Kmag</v>
      </c>
      <c r="C57" s="327"/>
      <c r="D57" s="108">
        <f>IFERROR(((D58/1000)*$E$18),0)</f>
        <v>619.04761904761904</v>
      </c>
      <c r="E57" s="354" t="str">
        <f>IF(J47&gt;0,"quilos para área total","-")</f>
        <v>quilos para área total</v>
      </c>
      <c r="F57" s="354"/>
      <c r="G57" s="354"/>
      <c r="H57" s="102" t="s">
        <v>447</v>
      </c>
      <c r="I57" s="102">
        <f>I58*$E$18*$I$18</f>
        <v>1795.2380952380954</v>
      </c>
      <c r="J57" s="35"/>
      <c r="K57" s="35"/>
      <c r="M57" s="303"/>
      <c r="N57" s="332"/>
      <c r="R57" s="13"/>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60"/>
      <c r="AQ57" s="330" t="s">
        <v>273</v>
      </c>
      <c r="AR57" s="330"/>
      <c r="AS57" s="60"/>
      <c r="AT57" s="58" t="s">
        <v>264</v>
      </c>
      <c r="AU57" s="96" t="str">
        <f t="shared" si="10"/>
        <v>Esterco de ovinos</v>
      </c>
      <c r="AV57" s="58">
        <v>4</v>
      </c>
    </row>
    <row r="58" spans="2:50" ht="19.5" customHeight="1" x14ac:dyDescent="0.25">
      <c r="B58" s="327"/>
      <c r="C58" s="327"/>
      <c r="D58" s="108">
        <f>IF(J47&gt;0,J47,"-")</f>
        <v>4952.3809523809523</v>
      </c>
      <c r="E58" s="332" t="str">
        <f>IF(J47&gt;0,"gramas por planta","-")</f>
        <v>gramas por planta</v>
      </c>
      <c r="F58" s="332"/>
      <c r="G58" s="332"/>
      <c r="H58" s="102" t="s">
        <v>446</v>
      </c>
      <c r="I58" s="102">
        <f>IFERROR((D58/1000)*VLOOKUP(B57,$V$100:$W$179,2,0),0)</f>
        <v>14.361904761904762</v>
      </c>
      <c r="J58" s="35"/>
      <c r="K58" s="35"/>
      <c r="M58" s="303"/>
      <c r="N58" s="332"/>
      <c r="O58" s="355" t="s">
        <v>398</v>
      </c>
      <c r="P58" s="356"/>
      <c r="Q58" s="357"/>
      <c r="R58" s="13"/>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60"/>
      <c r="AQ58" s="330">
        <f>IFERROR(VLOOKUP($O$42,AU51:AV59,2,0),0)</f>
        <v>0</v>
      </c>
      <c r="AR58" s="330"/>
      <c r="AS58" s="60"/>
      <c r="AT58" s="58" t="s">
        <v>264</v>
      </c>
      <c r="AU58" s="96" t="str">
        <f t="shared" si="10"/>
        <v>Lodo de esgosto</v>
      </c>
      <c r="AV58" s="58">
        <v>4</v>
      </c>
    </row>
    <row r="59" spans="2:50" ht="19.5" customHeight="1" x14ac:dyDescent="0.25">
      <c r="J59" s="35"/>
      <c r="K59" s="35"/>
      <c r="M59" s="303"/>
      <c r="N59" s="332"/>
      <c r="O59" s="358"/>
      <c r="P59" s="359"/>
      <c r="Q59" s="360"/>
      <c r="R59" s="13"/>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60"/>
      <c r="AS59" s="60"/>
      <c r="AT59" s="58" t="s">
        <v>264</v>
      </c>
      <c r="AU59" s="96" t="str">
        <f t="shared" si="10"/>
        <v>Compostos orgânicos</v>
      </c>
      <c r="AV59" s="58">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13"/>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60"/>
      <c r="AQ60" s="60"/>
      <c r="AS60" s="60"/>
      <c r="AT60" s="60"/>
      <c r="AU60" s="60"/>
      <c r="AV60" s="60"/>
      <c r="AW60" s="60"/>
      <c r="AX60" s="6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13"/>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60"/>
      <c r="AQ61" s="60"/>
      <c r="AS61" s="60"/>
      <c r="AT61" s="60"/>
      <c r="AU61" s="60"/>
      <c r="AV61" s="60"/>
      <c r="AW61" s="60"/>
      <c r="AX61" s="60"/>
    </row>
    <row r="62" spans="2:50" ht="19.5" customHeight="1" x14ac:dyDescent="0.25">
      <c r="J62" s="35"/>
      <c r="K62" s="35"/>
      <c r="M62" s="303"/>
      <c r="N62" s="332"/>
      <c r="O62" s="318" t="s">
        <v>407</v>
      </c>
      <c r="P62" s="319"/>
      <c r="Q62" s="320"/>
      <c r="R62" s="13"/>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60"/>
      <c r="AT62" s="60"/>
      <c r="AU62" s="60"/>
      <c r="AV62" s="60"/>
      <c r="AW62" s="60"/>
      <c r="AX62" s="6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88" t="s">
        <v>3</v>
      </c>
      <c r="P63" s="6">
        <v>2</v>
      </c>
      <c r="Q63" s="88" t="s">
        <v>55</v>
      </c>
      <c r="R63" s="13"/>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60"/>
      <c r="AT63" s="60"/>
      <c r="AU63" s="60"/>
      <c r="AV63" s="60"/>
      <c r="AW63" s="60"/>
      <c r="AX63" s="6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88" t="s">
        <v>7</v>
      </c>
      <c r="P64" s="6">
        <v>0.4</v>
      </c>
      <c r="Q64" s="88" t="s">
        <v>55</v>
      </c>
      <c r="R64" s="13"/>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60"/>
      <c r="AT64" s="60"/>
      <c r="AU64" s="60"/>
      <c r="AV64" s="60"/>
      <c r="AW64" s="60"/>
      <c r="AX64" s="60"/>
    </row>
    <row r="65" spans="2:50" ht="19.5" customHeight="1" x14ac:dyDescent="0.25">
      <c r="H65" s="102"/>
      <c r="I65" s="21"/>
      <c r="J65" s="35"/>
      <c r="K65" s="35"/>
      <c r="M65" s="303"/>
      <c r="N65" s="332"/>
      <c r="O65" s="88" t="s">
        <v>402</v>
      </c>
      <c r="P65" s="5">
        <v>25</v>
      </c>
      <c r="Q65" s="57" t="s">
        <v>23</v>
      </c>
      <c r="R65" s="13"/>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60"/>
      <c r="AT65" s="60"/>
      <c r="AU65" s="60"/>
      <c r="AV65" s="60"/>
      <c r="AW65" s="60"/>
      <c r="AX65" s="60"/>
    </row>
    <row r="66" spans="2:50" ht="19.5" customHeight="1" thickBot="1" x14ac:dyDescent="0.3">
      <c r="B66" s="327" t="str">
        <f>IF(AQ18&gt;0,AQ18,"-")</f>
        <v>Torta de mamona Hortibraz</v>
      </c>
      <c r="C66" s="327"/>
      <c r="D66" s="108">
        <f>IFERROR(((D67/1000)*$E$18),0)</f>
        <v>3333.3333333333335</v>
      </c>
      <c r="E66" s="354" t="str">
        <f>IF(J50&gt;0,"quilos para área total","-")</f>
        <v>quilos para área total</v>
      </c>
      <c r="F66" s="354"/>
      <c r="G66" s="354"/>
      <c r="H66" s="102" t="s">
        <v>447</v>
      </c>
      <c r="I66" s="102">
        <f>I67*$E$18*$I$18</f>
        <v>5066.666666666667</v>
      </c>
      <c r="M66" s="38"/>
      <c r="N66" s="62"/>
      <c r="O66" s="62"/>
      <c r="P66" s="62"/>
      <c r="Q66" s="62"/>
      <c r="R66" s="39"/>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60"/>
      <c r="AT66" s="60"/>
      <c r="AU66" s="60"/>
      <c r="AV66" s="60"/>
      <c r="AW66" s="60"/>
      <c r="AX66" s="60"/>
    </row>
    <row r="67" spans="2:50" ht="19.5" customHeight="1" thickBot="1" x14ac:dyDescent="0.3">
      <c r="B67" s="327"/>
      <c r="C67" s="327"/>
      <c r="D67" s="108">
        <f>IF(J50&gt;0,J50,"-")</f>
        <v>26666.666666666668</v>
      </c>
      <c r="E67" s="332" t="str">
        <f>IF(J50&gt;0,"gramas por planta","-")</f>
        <v>gramas por planta</v>
      </c>
      <c r="F67" s="332"/>
      <c r="G67" s="332"/>
      <c r="H67" s="102" t="s">
        <v>446</v>
      </c>
      <c r="I67" s="102">
        <f>IFERROR((D67/1000)*VLOOKUP(B66,$V$100:$W$179,2,0),0)</f>
        <v>40.533333333333339</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60"/>
      <c r="AT67" s="60"/>
      <c r="AU67" s="60"/>
      <c r="AV67" s="60"/>
      <c r="AW67" s="60"/>
      <c r="AX67" s="60"/>
    </row>
    <row r="68" spans="2:50" ht="19.5" customHeight="1" x14ac:dyDescent="0.25">
      <c r="H68" s="102"/>
      <c r="I68" s="21"/>
      <c r="M68" s="36"/>
      <c r="N68" s="63"/>
      <c r="O68" s="63"/>
      <c r="P68" s="63"/>
      <c r="Q68" s="63"/>
      <c r="R68" s="3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60"/>
      <c r="AT68" s="60"/>
      <c r="AU68" s="60"/>
      <c r="AV68" s="60"/>
      <c r="AW68" s="60"/>
      <c r="AX68" s="6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13"/>
      <c r="AS69" s="60"/>
      <c r="AT69" s="60"/>
      <c r="AU69" s="60"/>
      <c r="AV69" s="60"/>
      <c r="AW69" s="60"/>
      <c r="AX69" s="6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13"/>
      <c r="AS70" s="60"/>
      <c r="AT70" s="60"/>
      <c r="AU70" s="60"/>
      <c r="AV70" s="60"/>
      <c r="AW70" s="60"/>
      <c r="AX70" s="60"/>
    </row>
    <row r="71" spans="2:50" ht="19.5" customHeight="1" x14ac:dyDescent="0.25">
      <c r="M71" s="303"/>
      <c r="N71" s="332"/>
      <c r="O71" s="330"/>
      <c r="P71" s="330"/>
      <c r="Q71" s="18"/>
      <c r="R71" s="13"/>
      <c r="U71" s="349" t="s">
        <v>124</v>
      </c>
      <c r="V71" s="349" t="s">
        <v>76</v>
      </c>
      <c r="W71" s="349" t="s">
        <v>77</v>
      </c>
      <c r="X71" s="349" t="s">
        <v>257</v>
      </c>
      <c r="Y71" s="349"/>
      <c r="Z71" s="349"/>
      <c r="AS71" s="60"/>
      <c r="AT71" s="60"/>
      <c r="AU71" s="60"/>
      <c r="AV71" s="60"/>
      <c r="AW71" s="60"/>
      <c r="AX71" s="6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13"/>
      <c r="U72" s="349"/>
      <c r="V72" s="349"/>
      <c r="W72" s="349"/>
      <c r="X72" s="66" t="s">
        <v>81</v>
      </c>
      <c r="Y72" s="66" t="s">
        <v>82</v>
      </c>
      <c r="Z72" s="66" t="s">
        <v>83</v>
      </c>
      <c r="AS72" s="60"/>
      <c r="AT72" s="60"/>
      <c r="AU72" s="60"/>
      <c r="AV72" s="60"/>
      <c r="AW72" s="60"/>
      <c r="AX72" s="6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13"/>
      <c r="U73" s="361" t="s">
        <v>138</v>
      </c>
      <c r="V73" s="20" t="str">
        <f>'Adubos e corretivos (1)'!C104</f>
        <v>Gesso Nutrion</v>
      </c>
      <c r="W73" s="20">
        <f>'Adubos e corretivos (1)'!D104</f>
        <v>0</v>
      </c>
      <c r="X73" s="20">
        <f>'Adubos e corretivos (1)'!E104</f>
        <v>15</v>
      </c>
      <c r="Y73" s="20">
        <f>'Adubos e corretivos (1)'!F104</f>
        <v>0</v>
      </c>
      <c r="Z73" s="20">
        <f>'Adubos e corretivos (1)'!G104</f>
        <v>20</v>
      </c>
      <c r="AS73" s="60"/>
      <c r="AT73" s="60"/>
      <c r="AU73" s="60"/>
      <c r="AV73" s="60"/>
      <c r="AW73" s="60"/>
      <c r="AX73" s="60"/>
    </row>
    <row r="74" spans="2:50" ht="19.5" customHeight="1" x14ac:dyDescent="0.25">
      <c r="M74" s="303"/>
      <c r="N74" s="332"/>
      <c r="O74" s="60"/>
      <c r="P74" s="60"/>
      <c r="Q74" s="60"/>
      <c r="R74" s="13"/>
      <c r="U74" s="361"/>
      <c r="V74" s="20" t="str">
        <f>'Adubos e corretivos (1)'!C105</f>
        <v>Gesso Votorantim</v>
      </c>
      <c r="W74" s="20">
        <f>'Adubos e corretivos (1)'!D105</f>
        <v>0</v>
      </c>
      <c r="X74" s="20">
        <f>'Adubos e corretivos (1)'!E105</f>
        <v>16</v>
      </c>
      <c r="Y74" s="20">
        <f>'Adubos e corretivos (1)'!F105</f>
        <v>0</v>
      </c>
      <c r="Z74" s="20">
        <f>'Adubos e corretivos (1)'!G105</f>
        <v>20</v>
      </c>
      <c r="AS74" s="60"/>
      <c r="AT74" s="60"/>
      <c r="AU74" s="60"/>
      <c r="AV74" s="60"/>
      <c r="AW74" s="60"/>
      <c r="AX74" s="60"/>
    </row>
    <row r="75" spans="2:50" ht="19.5" customHeight="1" x14ac:dyDescent="0.25">
      <c r="B75" s="328" t="s">
        <v>405</v>
      </c>
      <c r="C75" s="328"/>
      <c r="D75" s="328"/>
      <c r="E75" s="328"/>
      <c r="F75" s="328"/>
      <c r="G75" s="328"/>
      <c r="H75" s="328"/>
      <c r="I75" s="328"/>
      <c r="M75" s="303"/>
      <c r="N75" s="332"/>
      <c r="O75" s="332" t="s">
        <v>238</v>
      </c>
      <c r="P75" s="332"/>
      <c r="Q75" s="332"/>
      <c r="R75" s="13"/>
      <c r="U75" s="361"/>
      <c r="V75" s="20" t="str">
        <f>'Adubos e corretivos (1)'!C106</f>
        <v>Gesso Agronelli</v>
      </c>
      <c r="W75" s="20">
        <f>'Adubos e corretivos (1)'!D106</f>
        <v>0.76</v>
      </c>
      <c r="X75" s="20">
        <f>'Adubos e corretivos (1)'!E106</f>
        <v>14</v>
      </c>
      <c r="Y75" s="20">
        <f>'Adubos e corretivos (1)'!F106</f>
        <v>0</v>
      </c>
      <c r="Z75" s="20">
        <f>'Adubos e corretivos (1)'!G106</f>
        <v>17</v>
      </c>
      <c r="AS75" s="60"/>
      <c r="AT75" s="60"/>
      <c r="AU75" s="60"/>
      <c r="AV75" s="60"/>
      <c r="AW75" s="60"/>
      <c r="AX75" s="60"/>
    </row>
    <row r="76" spans="2:50" ht="19.5" customHeight="1" x14ac:dyDescent="0.25">
      <c r="B76" s="328"/>
      <c r="C76" s="328"/>
      <c r="D76" s="328"/>
      <c r="E76" s="328"/>
      <c r="F76" s="328"/>
      <c r="G76" s="328"/>
      <c r="H76" s="328"/>
      <c r="I76" s="328"/>
      <c r="M76" s="303"/>
      <c r="N76" s="332"/>
      <c r="O76" s="60"/>
      <c r="P76" s="60"/>
      <c r="Q76" s="60"/>
      <c r="R76" s="13"/>
      <c r="U76" s="361"/>
      <c r="V76" s="20" t="str">
        <f>'Adubos e corretivos (1)'!C107</f>
        <v>Siligesso Agronelli</v>
      </c>
      <c r="W76" s="20">
        <f>'Adubos e corretivos (1)'!D107</f>
        <v>0</v>
      </c>
      <c r="X76" s="20">
        <f>'Adubos e corretivos (1)'!E107</f>
        <v>9.9</v>
      </c>
      <c r="Y76" s="20">
        <f>'Adubos e corretivos (1)'!F107</f>
        <v>0</v>
      </c>
      <c r="Z76" s="20">
        <f>'Adubos e corretivos (1)'!G107</f>
        <v>20.3</v>
      </c>
      <c r="AS76" s="60"/>
      <c r="AT76" s="60"/>
      <c r="AU76" s="60"/>
      <c r="AV76" s="60"/>
      <c r="AW76" s="60"/>
      <c r="AX76" s="60"/>
    </row>
    <row r="77" spans="2:50" ht="19.5" customHeight="1" x14ac:dyDescent="0.25">
      <c r="B77" s="328"/>
      <c r="C77" s="328"/>
      <c r="D77" s="328"/>
      <c r="E77" s="328"/>
      <c r="F77" s="328"/>
      <c r="G77" s="328"/>
      <c r="H77" s="328"/>
      <c r="I77" s="328"/>
      <c r="M77" s="303"/>
      <c r="N77" s="332"/>
      <c r="O77" s="351" t="s">
        <v>227</v>
      </c>
      <c r="P77" s="352"/>
      <c r="Q77" s="353"/>
      <c r="R77" s="13"/>
      <c r="U77" s="361"/>
      <c r="V77" s="20" t="str">
        <f>'Adubos e corretivos (1)'!C108</f>
        <v>Nutrigesso Nutrion</v>
      </c>
      <c r="W77" s="20">
        <f>'Adubos e corretivos (1)'!D108</f>
        <v>0</v>
      </c>
      <c r="X77" s="20">
        <f>'Adubos e corretivos (1)'!E108</f>
        <v>13</v>
      </c>
      <c r="Y77" s="20">
        <f>'Adubos e corretivos (1)'!F108</f>
        <v>0</v>
      </c>
      <c r="Z77" s="20">
        <f>'Adubos e corretivos (1)'!G108</f>
        <v>16</v>
      </c>
      <c r="AS77" s="60"/>
      <c r="AT77" s="60"/>
      <c r="AU77" s="60"/>
      <c r="AV77" s="60"/>
      <c r="AW77" s="60"/>
      <c r="AX77" s="60"/>
    </row>
    <row r="78" spans="2:50" ht="19.5" customHeight="1" x14ac:dyDescent="0.25">
      <c r="B78" s="328"/>
      <c r="C78" s="328"/>
      <c r="D78" s="328"/>
      <c r="E78" s="328"/>
      <c r="F78" s="328"/>
      <c r="G78" s="328"/>
      <c r="H78" s="328"/>
      <c r="I78" s="328"/>
      <c r="M78" s="303"/>
      <c r="N78" s="332"/>
      <c r="O78" s="351" t="s">
        <v>225</v>
      </c>
      <c r="P78" s="352"/>
      <c r="Q78" s="353"/>
      <c r="R78" s="13"/>
      <c r="U78" s="361"/>
      <c r="V78" s="20">
        <f>'Adubos e corretivos (1)'!C109</f>
        <v>0</v>
      </c>
      <c r="W78" s="20">
        <f>'Adubos e corretivos (1)'!D109</f>
        <v>0</v>
      </c>
      <c r="X78" s="20">
        <f>'Adubos e corretivos (1)'!E109</f>
        <v>0</v>
      </c>
      <c r="Y78" s="20">
        <f>'Adubos e corretivos (1)'!F109</f>
        <v>0</v>
      </c>
      <c r="Z78" s="20">
        <f>'Adubos e corretivos (1)'!G109</f>
        <v>0</v>
      </c>
      <c r="AS78" s="60"/>
      <c r="AT78" s="60"/>
      <c r="AU78" s="60"/>
      <c r="AV78" s="60"/>
      <c r="AW78" s="60"/>
      <c r="AX78" s="60"/>
    </row>
    <row r="79" spans="2:50" ht="19.5" customHeight="1" thickBot="1" x14ac:dyDescent="0.3">
      <c r="M79" s="303"/>
      <c r="N79" s="332"/>
      <c r="O79" s="330" t="s">
        <v>148</v>
      </c>
      <c r="P79" s="330"/>
      <c r="Q79" s="18">
        <v>1</v>
      </c>
      <c r="R79" s="13"/>
      <c r="U79" s="361"/>
      <c r="V79" s="20">
        <f>'Adubos e corretivos (1)'!C110</f>
        <v>0</v>
      </c>
      <c r="W79" s="20">
        <f>'Adubos e corretivos (1)'!D110</f>
        <v>0</v>
      </c>
      <c r="X79" s="20">
        <f>'Adubos e corretivos (1)'!E110</f>
        <v>0</v>
      </c>
      <c r="Y79" s="20">
        <f>'Adubos e corretivos (1)'!F110</f>
        <v>0</v>
      </c>
      <c r="Z79" s="20">
        <f>'Adubos e corretivos (1)'!G110</f>
        <v>0</v>
      </c>
      <c r="AS79" s="60"/>
      <c r="AT79" s="60"/>
      <c r="AU79" s="60"/>
      <c r="AV79" s="60"/>
      <c r="AW79" s="60"/>
      <c r="AX79" s="60"/>
    </row>
    <row r="80" spans="2:50" ht="19.5" customHeight="1" thickBot="1" x14ac:dyDescent="0.3">
      <c r="B80" s="321" t="s">
        <v>230</v>
      </c>
      <c r="C80" s="322"/>
      <c r="D80" s="322"/>
      <c r="E80" s="322"/>
      <c r="F80" s="322"/>
      <c r="G80" s="322"/>
      <c r="H80" s="322"/>
      <c r="I80" s="323"/>
      <c r="M80" s="303"/>
      <c r="N80" s="332"/>
      <c r="O80" s="330"/>
      <c r="P80" s="330"/>
      <c r="Q80" s="18"/>
      <c r="R80" s="13"/>
      <c r="U80" s="361"/>
      <c r="V80" s="20">
        <f>'Adubos e corretivos (1)'!C111</f>
        <v>0</v>
      </c>
      <c r="W80" s="20">
        <f>'Adubos e corretivos (1)'!D111</f>
        <v>0</v>
      </c>
      <c r="X80" s="20">
        <f>'Adubos e corretivos (1)'!E111</f>
        <v>0</v>
      </c>
      <c r="Y80" s="20">
        <f>'Adubos e corretivos (1)'!F111</f>
        <v>0</v>
      </c>
      <c r="Z80" s="20">
        <f>'Adubos e corretivos (1)'!G111</f>
        <v>0</v>
      </c>
      <c r="AS80" s="60"/>
      <c r="AT80" s="60"/>
      <c r="AU80" s="60"/>
      <c r="AV80" s="60"/>
      <c r="AW80" s="60"/>
      <c r="AX80" s="60"/>
    </row>
    <row r="81" spans="2:50" ht="19.5" customHeight="1" x14ac:dyDescent="0.25">
      <c r="M81" s="303"/>
      <c r="N81" s="332"/>
      <c r="O81" s="330"/>
      <c r="P81" s="330"/>
      <c r="Q81" s="18"/>
      <c r="R81" s="13"/>
      <c r="U81" s="361"/>
      <c r="V81" s="20">
        <f>'Adubos e corretivos (1)'!C112</f>
        <v>0</v>
      </c>
      <c r="W81" s="20">
        <f>'Adubos e corretivos (1)'!D112</f>
        <v>0</v>
      </c>
      <c r="X81" s="20">
        <f>'Adubos e corretivos (1)'!E112</f>
        <v>0</v>
      </c>
      <c r="Y81" s="20">
        <f>'Adubos e corretivos (1)'!F112</f>
        <v>0</v>
      </c>
      <c r="Z81" s="20">
        <f>'Adubos e corretivos (1)'!G112</f>
        <v>0</v>
      </c>
      <c r="AS81" s="60"/>
      <c r="AT81" s="60"/>
      <c r="AU81" s="60"/>
      <c r="AV81" s="60"/>
      <c r="AW81" s="60"/>
      <c r="AX81" s="60"/>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60"/>
      <c r="P82" s="60"/>
      <c r="Q82" s="60"/>
      <c r="R82" s="13"/>
      <c r="U82" s="361"/>
      <c r="V82" s="20">
        <f>'Adubos e corretivos (1)'!C113</f>
        <v>0</v>
      </c>
      <c r="W82" s="20">
        <f>'Adubos e corretivos (1)'!D113</f>
        <v>0</v>
      </c>
      <c r="X82" s="20">
        <f>'Adubos e corretivos (1)'!E113</f>
        <v>0</v>
      </c>
      <c r="Y82" s="20">
        <f>'Adubos e corretivos (1)'!F113</f>
        <v>0</v>
      </c>
      <c r="Z82" s="20">
        <f>'Adubos e corretivos (1)'!G113</f>
        <v>0</v>
      </c>
      <c r="AS82" s="60"/>
      <c r="AT82" s="60"/>
      <c r="AU82" s="60"/>
      <c r="AV82" s="60"/>
      <c r="AW82" s="60"/>
      <c r="AX82" s="60"/>
    </row>
    <row r="83" spans="2:50" ht="19.5" customHeight="1" x14ac:dyDescent="0.25">
      <c r="B83" s="327"/>
      <c r="C83" s="327"/>
      <c r="D83" s="108">
        <f>IF(AV40&gt;0,AV40,"-")</f>
        <v>45.714285714285708</v>
      </c>
      <c r="E83" s="332" t="str">
        <f>IF(AV40&gt;0,"gramas por planta","-")</f>
        <v>gramas por planta</v>
      </c>
      <c r="F83" s="332"/>
      <c r="G83" s="332"/>
      <c r="H83" s="102" t="s">
        <v>446</v>
      </c>
      <c r="I83" s="102">
        <f>IFERROR((D83/1000)*VLOOKUP(B82,$V$100:$W$179,2,0),0)</f>
        <v>0.25234285714285709</v>
      </c>
      <c r="M83" s="303"/>
      <c r="N83" s="332"/>
      <c r="O83" s="332" t="s">
        <v>238</v>
      </c>
      <c r="P83" s="332"/>
      <c r="Q83" s="332"/>
      <c r="R83" s="13"/>
      <c r="AS83" s="60"/>
      <c r="AT83" s="60"/>
      <c r="AU83" s="60"/>
      <c r="AV83" s="60"/>
      <c r="AW83" s="60"/>
      <c r="AX83" s="60"/>
    </row>
    <row r="84" spans="2:50" ht="19.5" customHeight="1" x14ac:dyDescent="0.25">
      <c r="M84" s="303"/>
      <c r="N84" s="332"/>
      <c r="O84" s="60"/>
      <c r="P84" s="60"/>
      <c r="Q84" s="60"/>
      <c r="R84" s="13"/>
      <c r="AS84" s="60"/>
      <c r="AT84" s="60"/>
      <c r="AU84" s="60"/>
      <c r="AV84" s="60"/>
      <c r="AW84" s="60"/>
      <c r="AX84" s="6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13"/>
      <c r="U85" s="350" t="s">
        <v>124</v>
      </c>
      <c r="V85" s="350" t="s">
        <v>76</v>
      </c>
      <c r="W85" s="350" t="s">
        <v>77</v>
      </c>
      <c r="X85" s="350" t="s">
        <v>78</v>
      </c>
      <c r="Y85" s="350"/>
      <c r="Z85" s="350"/>
      <c r="AA85" s="350"/>
      <c r="AB85" s="350"/>
      <c r="AC85" s="350"/>
      <c r="AD85" s="350"/>
      <c r="AE85" s="350"/>
      <c r="AS85" s="60"/>
      <c r="AT85" s="60"/>
      <c r="AU85" s="60"/>
      <c r="AV85" s="60"/>
      <c r="AW85" s="60"/>
      <c r="AX85" s="6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13"/>
      <c r="U86" s="350"/>
      <c r="V86" s="350"/>
      <c r="W86" s="350"/>
      <c r="X86" s="65" t="s">
        <v>106</v>
      </c>
      <c r="Y86" s="65" t="s">
        <v>79</v>
      </c>
      <c r="Z86" s="65" t="s">
        <v>66</v>
      </c>
      <c r="AA86" s="65" t="s">
        <v>80</v>
      </c>
      <c r="AB86" s="65" t="s">
        <v>67</v>
      </c>
      <c r="AC86" s="65" t="s">
        <v>172</v>
      </c>
      <c r="AD86" s="65" t="s">
        <v>173</v>
      </c>
      <c r="AE86" s="65" t="s">
        <v>183</v>
      </c>
      <c r="AS86" s="60"/>
      <c r="AT86" s="60"/>
      <c r="AU86" s="60"/>
      <c r="AV86" s="60"/>
      <c r="AW86" s="60"/>
      <c r="AX86" s="60"/>
    </row>
    <row r="87" spans="2:50" ht="19.5" customHeight="1" x14ac:dyDescent="0.25">
      <c r="J87" s="97"/>
      <c r="M87" s="303"/>
      <c r="N87" s="332"/>
      <c r="O87" s="330" t="s">
        <v>441</v>
      </c>
      <c r="P87" s="330"/>
      <c r="Q87" s="18">
        <v>1</v>
      </c>
      <c r="R87" s="13"/>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60"/>
      <c r="AT87" s="60"/>
      <c r="AU87" s="60"/>
      <c r="AV87" s="60"/>
      <c r="AW87" s="60"/>
      <c r="AX87" s="6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13"/>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60"/>
      <c r="AT88" s="60"/>
      <c r="AU88" s="60"/>
      <c r="AV88" s="60"/>
      <c r="AW88" s="60"/>
      <c r="AX88" s="6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13"/>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60"/>
      <c r="AT89" s="60"/>
      <c r="AU89" s="60"/>
      <c r="AV89" s="60"/>
      <c r="AW89" s="60"/>
      <c r="AX89" s="60"/>
    </row>
    <row r="90" spans="2:50" ht="19.5" customHeight="1" x14ac:dyDescent="0.25">
      <c r="M90" s="59"/>
      <c r="N90" s="60"/>
      <c r="O90" s="60"/>
      <c r="P90" s="60"/>
      <c r="Q90" s="60"/>
      <c r="R90" s="13"/>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60"/>
      <c r="AT90" s="60"/>
      <c r="AU90" s="60"/>
      <c r="AV90" s="60"/>
      <c r="AW90" s="60"/>
      <c r="AX90" s="6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59"/>
      <c r="N91" s="60"/>
      <c r="O91" s="332" t="s">
        <v>238</v>
      </c>
      <c r="P91" s="332"/>
      <c r="Q91" s="332"/>
      <c r="R91" s="13"/>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60"/>
      <c r="AT91" s="60"/>
      <c r="AU91" s="60"/>
      <c r="AV91" s="60"/>
      <c r="AW91" s="60"/>
      <c r="AX91" s="6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38"/>
      <c r="N92" s="62"/>
      <c r="O92" s="62"/>
      <c r="P92" s="62"/>
      <c r="Q92" s="62"/>
      <c r="R92" s="39"/>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60"/>
      <c r="AT92" s="60"/>
      <c r="AU92" s="60"/>
      <c r="AV92" s="60"/>
      <c r="AW92" s="60"/>
      <c r="AX92" s="6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60"/>
      <c r="AT93" s="60"/>
      <c r="AU93" s="60"/>
      <c r="AV93" s="60"/>
      <c r="AW93" s="60"/>
      <c r="AX93" s="6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36"/>
      <c r="N94" s="63"/>
      <c r="O94" s="63"/>
      <c r="P94" s="63"/>
      <c r="Q94" s="63"/>
      <c r="R94" s="3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60"/>
      <c r="AT94" s="60"/>
      <c r="AU94" s="60"/>
      <c r="AV94" s="60"/>
      <c r="AW94" s="60"/>
      <c r="AX94" s="6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13"/>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60"/>
      <c r="AT95" s="60"/>
      <c r="AU95" s="60"/>
      <c r="AV95" s="60"/>
      <c r="AW95" s="60"/>
      <c r="AX95" s="60"/>
    </row>
    <row r="96" spans="2:50" ht="19.5" customHeight="1" x14ac:dyDescent="0.25">
      <c r="G96" s="21"/>
      <c r="H96" s="21"/>
      <c r="I96" s="21"/>
      <c r="M96" s="303" t="s">
        <v>236</v>
      </c>
      <c r="N96" s="304"/>
      <c r="O96" s="26">
        <f>$AC$30</f>
        <v>1600</v>
      </c>
      <c r="P96" s="26">
        <f>$AC$31</f>
        <v>1360</v>
      </c>
      <c r="Q96" s="26">
        <f>$AC$32</f>
        <v>1040</v>
      </c>
      <c r="R96" s="13"/>
      <c r="AS96" s="60"/>
      <c r="AT96" s="60"/>
      <c r="AU96" s="60"/>
      <c r="AV96" s="60"/>
      <c r="AW96" s="60"/>
      <c r="AX96" s="6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13"/>
      <c r="AS97" s="60"/>
      <c r="AT97" s="60"/>
      <c r="AU97" s="60"/>
      <c r="AV97" s="60"/>
      <c r="AW97" s="60"/>
      <c r="AX97" s="60"/>
    </row>
    <row r="98" spans="1:50" ht="19.5" customHeight="1" thickBot="1" x14ac:dyDescent="0.3">
      <c r="A98" s="61"/>
      <c r="B98" s="328"/>
      <c r="C98" s="328"/>
      <c r="D98" s="328"/>
      <c r="E98" s="328"/>
      <c r="F98" s="328"/>
      <c r="G98" s="328"/>
      <c r="H98" s="328"/>
      <c r="I98" s="328"/>
      <c r="M98" s="38"/>
      <c r="N98" s="62"/>
      <c r="O98" s="62"/>
      <c r="P98" s="62"/>
      <c r="Q98" s="62"/>
      <c r="R98" s="39"/>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60"/>
      <c r="AT98" s="60"/>
      <c r="AU98" s="60"/>
      <c r="AV98" s="60"/>
      <c r="AW98" s="60"/>
      <c r="AX98" s="60"/>
    </row>
    <row r="99" spans="1:50" ht="19.5" customHeight="1" thickBot="1" x14ac:dyDescent="0.3">
      <c r="A99" s="61"/>
      <c r="B99" s="328"/>
      <c r="C99" s="328"/>
      <c r="D99" s="328"/>
      <c r="E99" s="328"/>
      <c r="F99" s="328"/>
      <c r="G99" s="328"/>
      <c r="H99" s="328"/>
      <c r="I99" s="328"/>
      <c r="U99" s="363"/>
      <c r="V99" s="363"/>
      <c r="W99" s="363"/>
      <c r="X99" s="67" t="s">
        <v>33</v>
      </c>
      <c r="Y99" s="67" t="s">
        <v>79</v>
      </c>
      <c r="Z99" s="67" t="s">
        <v>66</v>
      </c>
      <c r="AA99" s="67" t="s">
        <v>80</v>
      </c>
      <c r="AB99" s="67" t="s">
        <v>67</v>
      </c>
      <c r="AC99" s="67" t="s">
        <v>81</v>
      </c>
      <c r="AD99" s="67" t="s">
        <v>82</v>
      </c>
      <c r="AE99" s="67" t="s">
        <v>83</v>
      </c>
      <c r="AF99" s="67" t="s">
        <v>84</v>
      </c>
      <c r="AG99" s="67" t="s">
        <v>85</v>
      </c>
      <c r="AH99" s="67" t="s">
        <v>86</v>
      </c>
      <c r="AI99" s="67" t="s">
        <v>87</v>
      </c>
      <c r="AJ99" s="67" t="s">
        <v>88</v>
      </c>
      <c r="AK99" s="67" t="s">
        <v>89</v>
      </c>
      <c r="AL99" s="67" t="s">
        <v>106</v>
      </c>
      <c r="AM99" s="67" t="s">
        <v>90</v>
      </c>
      <c r="AN99" s="67" t="s">
        <v>91</v>
      </c>
      <c r="AO99" s="67" t="s">
        <v>92</v>
      </c>
      <c r="AS99" s="60"/>
      <c r="AT99" s="60"/>
      <c r="AU99" s="60"/>
      <c r="AV99" s="60"/>
      <c r="AW99" s="60"/>
      <c r="AX99" s="60"/>
    </row>
    <row r="100" spans="1:50" ht="19.5" customHeight="1" x14ac:dyDescent="0.25">
      <c r="A100" s="60"/>
      <c r="B100" s="328"/>
      <c r="C100" s="328"/>
      <c r="D100" s="328"/>
      <c r="E100" s="328"/>
      <c r="F100" s="328"/>
      <c r="G100" s="328"/>
      <c r="H100" s="328"/>
      <c r="I100" s="328"/>
      <c r="M100" s="36"/>
      <c r="N100" s="63"/>
      <c r="O100" s="63"/>
      <c r="P100" s="63"/>
      <c r="Q100" s="63"/>
      <c r="R100" s="3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60"/>
      <c r="AT100" s="60"/>
      <c r="AU100" s="60"/>
      <c r="AV100" s="60"/>
      <c r="AW100" s="60"/>
      <c r="AX100" s="60"/>
    </row>
    <row r="101" spans="1:50" ht="19.5" customHeight="1" thickBot="1" x14ac:dyDescent="0.3">
      <c r="A101" s="60"/>
      <c r="B101" s="111"/>
      <c r="C101" s="111"/>
      <c r="D101" s="108"/>
      <c r="H101" s="102"/>
      <c r="I101" s="102"/>
      <c r="M101" s="303" t="s">
        <v>239</v>
      </c>
      <c r="N101" s="304"/>
      <c r="O101" s="364" t="s">
        <v>229</v>
      </c>
      <c r="P101" s="364"/>
      <c r="Q101" s="364"/>
      <c r="R101" s="13"/>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60"/>
      <c r="AT101" s="60"/>
      <c r="AU101" s="60"/>
      <c r="AV101" s="60"/>
      <c r="AW101" s="60"/>
      <c r="AX101" s="60"/>
    </row>
    <row r="102" spans="1:50" ht="19.5" customHeight="1" thickBot="1" x14ac:dyDescent="0.3">
      <c r="A102" s="60"/>
      <c r="B102" s="321" t="s">
        <v>417</v>
      </c>
      <c r="C102" s="322"/>
      <c r="D102" s="322"/>
      <c r="E102" s="322"/>
      <c r="F102" s="322"/>
      <c r="G102" s="322"/>
      <c r="H102" s="322"/>
      <c r="I102" s="323"/>
      <c r="M102" s="303"/>
      <c r="N102" s="304"/>
      <c r="O102" s="330" t="s">
        <v>285</v>
      </c>
      <c r="P102" s="330"/>
      <c r="Q102" s="330"/>
      <c r="R102" s="13"/>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60"/>
      <c r="AT102" s="60"/>
      <c r="AU102" s="60"/>
      <c r="AV102" s="60"/>
      <c r="AW102" s="60"/>
      <c r="AX102" s="60"/>
    </row>
    <row r="103" spans="1:50" ht="19.5" customHeight="1" x14ac:dyDescent="0.25">
      <c r="B103" s="121"/>
      <c r="C103" s="121"/>
      <c r="D103" s="121"/>
      <c r="E103" s="121"/>
      <c r="F103" s="121"/>
      <c r="G103" s="121"/>
      <c r="H103" s="121"/>
      <c r="M103" s="303"/>
      <c r="N103" s="304"/>
      <c r="O103" s="330" t="s">
        <v>231</v>
      </c>
      <c r="P103" s="330"/>
      <c r="Q103" s="330"/>
      <c r="R103" s="13"/>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60"/>
      <c r="AT103" s="60"/>
      <c r="AU103" s="60"/>
      <c r="AV103" s="60"/>
      <c r="AW103" s="60"/>
      <c r="AX103" s="60"/>
    </row>
    <row r="104" spans="1:50" ht="19.5" customHeight="1" x14ac:dyDescent="0.25">
      <c r="B104" s="121"/>
      <c r="C104" s="102" t="s">
        <v>457</v>
      </c>
      <c r="D104" s="102"/>
      <c r="E104" s="121"/>
      <c r="G104" s="369">
        <f>IFERROR((I27+I30+I38+I45+I48+I51+I54+I57+I60+I63+I66+I69+I72+I82+I85+I88+I91+I94),0)</f>
        <v>10192.552329352795</v>
      </c>
      <c r="H104" s="369"/>
      <c r="I104" s="112"/>
      <c r="M104" s="303"/>
      <c r="N104" s="304"/>
      <c r="O104" s="330" t="s">
        <v>97</v>
      </c>
      <c r="P104" s="330"/>
      <c r="Q104" s="330"/>
      <c r="R104" s="13"/>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60"/>
      <c r="AT104" s="60"/>
      <c r="AU104" s="60"/>
      <c r="AV104" s="60"/>
      <c r="AW104" s="60"/>
      <c r="AX104" s="60"/>
    </row>
    <row r="105" spans="1:50" ht="19.5" customHeight="1" x14ac:dyDescent="0.25">
      <c r="B105" s="121"/>
      <c r="C105" s="121"/>
      <c r="D105" s="121"/>
      <c r="G105" s="121"/>
      <c r="H105" s="121"/>
      <c r="M105" s="303"/>
      <c r="N105" s="304"/>
      <c r="O105" s="330" t="s">
        <v>96</v>
      </c>
      <c r="P105" s="330"/>
      <c r="Q105" s="330"/>
      <c r="R105" s="13"/>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60"/>
      <c r="AT105" s="60"/>
      <c r="AU105" s="60"/>
      <c r="AV105" s="60"/>
      <c r="AW105" s="60"/>
      <c r="AX105" s="60"/>
    </row>
    <row r="106" spans="1:50" ht="19.5" customHeight="1" x14ac:dyDescent="0.25">
      <c r="B106" s="121"/>
      <c r="C106" s="102" t="s">
        <v>458</v>
      </c>
      <c r="D106" s="102"/>
      <c r="E106" s="121"/>
      <c r="G106" s="369">
        <f>IFERROR((I27+I30+I38+I48+I51+I54+I57+I60+I63+I66+I69+I72+I82+I85+I88+I91+I94),0)</f>
        <v>10192.552329352795</v>
      </c>
      <c r="H106" s="369"/>
      <c r="M106" s="303"/>
      <c r="N106" s="304"/>
      <c r="O106" s="330"/>
      <c r="P106" s="330"/>
      <c r="Q106" s="330"/>
      <c r="R106" s="13"/>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B107" s="121"/>
      <c r="C107" s="317"/>
      <c r="D107" s="317"/>
      <c r="M107" s="38"/>
      <c r="N107" s="62"/>
      <c r="O107" s="62"/>
      <c r="P107" s="62"/>
      <c r="Q107" s="62"/>
      <c r="R107" s="39"/>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B108" s="121"/>
      <c r="C108" s="102" t="s">
        <v>459</v>
      </c>
      <c r="D108" s="102"/>
      <c r="E108" s="121"/>
      <c r="G108" s="369">
        <f>IFERROR((I28+I31+I39+I46+I49+I52+I55+I58+I61+I64+I67+I70+I73+I83+I86+I89+I92+I95),0)</f>
        <v>81.540418634822359</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B109" s="121"/>
      <c r="C109" s="121"/>
      <c r="D109" s="121"/>
      <c r="G109" s="121"/>
      <c r="H109" s="121"/>
      <c r="M109" s="36"/>
      <c r="N109" s="63"/>
      <c r="O109" s="63"/>
      <c r="P109" s="63"/>
      <c r="Q109" s="63"/>
      <c r="R109" s="3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B110" s="121"/>
      <c r="C110" s="102" t="s">
        <v>460</v>
      </c>
      <c r="D110" s="102"/>
      <c r="E110" s="121"/>
      <c r="G110" s="369">
        <f>IFERROR((I28+I31+I39+I49+I52+I55+I58+I61+I64+I67+I70+I73+I83+I86+I89+I92+I95),0)</f>
        <v>81.540418634822359</v>
      </c>
      <c r="H110" s="369"/>
      <c r="M110" s="59" t="s">
        <v>243</v>
      </c>
      <c r="N110" s="25" t="s">
        <v>84</v>
      </c>
      <c r="O110" s="25" t="s">
        <v>87</v>
      </c>
      <c r="P110" s="25" t="s">
        <v>85</v>
      </c>
      <c r="Q110" s="25" t="s">
        <v>86</v>
      </c>
      <c r="R110" s="13"/>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B111" s="121"/>
      <c r="C111" s="121"/>
      <c r="D111" s="121"/>
      <c r="E111" s="121"/>
      <c r="F111" s="121"/>
      <c r="G111" s="121"/>
      <c r="H111" s="121"/>
      <c r="M111" s="59" t="s">
        <v>236</v>
      </c>
      <c r="N111" s="26">
        <f>AS26</f>
        <v>8</v>
      </c>
      <c r="O111" s="26">
        <f>AT26</f>
        <v>0</v>
      </c>
      <c r="P111" s="26">
        <f>AU26</f>
        <v>0</v>
      </c>
      <c r="Q111" s="26">
        <f>AV26</f>
        <v>0</v>
      </c>
      <c r="R111" s="13"/>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59" t="s">
        <v>244</v>
      </c>
      <c r="N112" s="6">
        <f>AW45</f>
        <v>0</v>
      </c>
      <c r="O112" s="6">
        <f>AX45</f>
        <v>0</v>
      </c>
      <c r="P112" s="6">
        <f>AY45</f>
        <v>0</v>
      </c>
      <c r="Q112" s="6">
        <f>AZ45</f>
        <v>0</v>
      </c>
      <c r="R112" s="13"/>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38"/>
      <c r="N113" s="62"/>
      <c r="O113" s="62"/>
      <c r="P113" s="62"/>
      <c r="Q113" s="62"/>
      <c r="R113" s="39"/>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122"/>
      <c r="N115" s="120"/>
      <c r="O115" s="120"/>
      <c r="P115" s="120"/>
      <c r="Q115" s="120"/>
      <c r="R115" s="123"/>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124"/>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124"/>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124"/>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124"/>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124"/>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124"/>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124"/>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124"/>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124"/>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124"/>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124"/>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124"/>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124"/>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124"/>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124"/>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124"/>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124"/>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124"/>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124"/>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124"/>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124"/>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124"/>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124"/>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124"/>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124"/>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124"/>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124"/>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124"/>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17"/>
      <c r="P144" s="117"/>
      <c r="Q144" s="117"/>
      <c r="R144" s="124"/>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17"/>
      <c r="P146" s="117"/>
      <c r="Q146" s="117"/>
      <c r="R146" s="124"/>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125"/>
      <c r="N148" s="119"/>
      <c r="O148" s="119"/>
      <c r="P148" s="119"/>
      <c r="Q148" s="119"/>
      <c r="R148" s="126"/>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6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6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6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6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60"/>
      <c r="L158" s="6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60"/>
      <c r="L159" s="6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60"/>
      <c r="L160" s="6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60"/>
      <c r="L161" s="6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60"/>
      <c r="L162" s="6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60"/>
      <c r="L163" s="6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60"/>
      <c r="L164" s="6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60"/>
      <c r="L165" s="6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60"/>
      <c r="L166" s="6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60"/>
      <c r="L167" s="6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60"/>
      <c r="L168" s="6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60"/>
      <c r="L169" s="6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60"/>
      <c r="AQ169" s="60"/>
      <c r="AR169" s="60"/>
    </row>
    <row r="170" spans="11:44" ht="19.5" customHeight="1" x14ac:dyDescent="0.25">
      <c r="K170" s="60"/>
      <c r="L170" s="6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60"/>
      <c r="L171" s="6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60"/>
      <c r="L172" s="6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60"/>
      <c r="L173" s="6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60"/>
      <c r="L174" s="6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60"/>
      <c r="L175" s="6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60"/>
      <c r="L176" s="6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60"/>
      <c r="L177" s="6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60"/>
      <c r="L178" s="6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60"/>
      <c r="L179" s="6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4" spans="11:46" ht="19.5" customHeight="1" x14ac:dyDescent="0.25">
      <c r="AE184" s="121"/>
      <c r="AF184" s="121"/>
      <c r="AG184" s="121"/>
      <c r="AH184" s="121"/>
      <c r="AI184" s="121"/>
      <c r="AJ184" s="121"/>
      <c r="AK184" s="121"/>
      <c r="AL184" s="121"/>
      <c r="AM184" s="121"/>
      <c r="AN184" s="121"/>
      <c r="AO184" s="121"/>
      <c r="AP184" s="121"/>
      <c r="AQ184" s="121"/>
      <c r="AR184" s="121"/>
      <c r="AS184" s="121"/>
      <c r="AT184" s="121"/>
    </row>
    <row r="186" spans="11:46" ht="19.5" customHeight="1" x14ac:dyDescent="0.25">
      <c r="U186" s="372" t="s">
        <v>124</v>
      </c>
      <c r="V186" s="372" t="s">
        <v>76</v>
      </c>
      <c r="W186" s="372" t="s">
        <v>77</v>
      </c>
      <c r="X186" s="372" t="s">
        <v>78</v>
      </c>
      <c r="Y186" s="372"/>
      <c r="Z186" s="372"/>
      <c r="AA186" s="301" t="s">
        <v>456</v>
      </c>
      <c r="AB186" s="301"/>
      <c r="AC186" s="301"/>
      <c r="AD186" s="301"/>
      <c r="AE186" s="301"/>
      <c r="AF186" s="121"/>
      <c r="AG186" s="12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127" t="s">
        <v>33</v>
      </c>
      <c r="Y187" s="127" t="s">
        <v>66</v>
      </c>
      <c r="Z187" s="127" t="s">
        <v>67</v>
      </c>
      <c r="AA187" s="127" t="s">
        <v>451</v>
      </c>
      <c r="AB187" s="127" t="s">
        <v>452</v>
      </c>
      <c r="AC187" s="127" t="s">
        <v>33</v>
      </c>
      <c r="AD187" s="127" t="s">
        <v>66</v>
      </c>
      <c r="AE187" s="127" t="s">
        <v>199</v>
      </c>
      <c r="AH187" s="132"/>
      <c r="AI187" s="132"/>
      <c r="AJ187" s="132"/>
      <c r="AK187" s="132"/>
      <c r="AL187" s="132"/>
      <c r="AM187" s="132"/>
      <c r="AN187" s="132"/>
      <c r="AO187" s="132"/>
      <c r="AP187" s="117"/>
      <c r="AQ187" s="117"/>
      <c r="AR187" s="117"/>
      <c r="AS187" s="117"/>
      <c r="AT187" s="117"/>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17"/>
      <c r="AQ188" s="117"/>
      <c r="AR188" s="117"/>
      <c r="AS188" s="117"/>
      <c r="AT188" s="117"/>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01" si="23">AA189*W189</f>
        <v>0</v>
      </c>
      <c r="AC189" s="129">
        <f t="shared" ref="AC189:AC201" si="24">AA189*X189%</f>
        <v>0</v>
      </c>
      <c r="AD189" s="129">
        <f t="shared" ref="AD189:AD201" si="25">AA189*Y189%</f>
        <v>0</v>
      </c>
      <c r="AE189" s="129">
        <f t="shared" ref="AE189:AE201" si="26">AA189*Z189%</f>
        <v>0</v>
      </c>
      <c r="AH189" s="133"/>
      <c r="AI189" s="133"/>
      <c r="AJ189" s="133"/>
      <c r="AK189" s="133"/>
      <c r="AL189" s="133"/>
      <c r="AM189" s="133"/>
      <c r="AN189" s="133"/>
      <c r="AO189" s="133"/>
      <c r="AP189" s="117"/>
      <c r="AQ189" s="117"/>
      <c r="AR189" s="117"/>
      <c r="AS189" s="117"/>
      <c r="AT189" s="117"/>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17"/>
      <c r="AQ190" s="117"/>
      <c r="AR190" s="117"/>
      <c r="AS190" s="117"/>
      <c r="AT190" s="117"/>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17"/>
      <c r="AQ191" s="117"/>
      <c r="AR191" s="117"/>
      <c r="AS191" s="117"/>
      <c r="AT191" s="117"/>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17"/>
      <c r="AQ192" s="117"/>
      <c r="AR192" s="117"/>
      <c r="AS192" s="117"/>
      <c r="AT192" s="117"/>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17"/>
      <c r="AQ193" s="117"/>
      <c r="AR193" s="117"/>
      <c r="AS193" s="117"/>
      <c r="AT193" s="117"/>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17"/>
      <c r="AQ194" s="117"/>
      <c r="AR194" s="117"/>
      <c r="AS194" s="117"/>
      <c r="AT194" s="117"/>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17"/>
      <c r="AQ195" s="117"/>
      <c r="AR195" s="117"/>
      <c r="AS195" s="117"/>
      <c r="AT195" s="117"/>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17"/>
      <c r="AQ196" s="117"/>
      <c r="AR196" s="117"/>
      <c r="AS196" s="117"/>
      <c r="AT196" s="117"/>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17"/>
      <c r="AQ197" s="117"/>
      <c r="AR197" s="117"/>
      <c r="AS197" s="117"/>
      <c r="AT197" s="117"/>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17"/>
      <c r="AQ198" s="117"/>
      <c r="AR198" s="117"/>
      <c r="AS198" s="117"/>
      <c r="AT198" s="117"/>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17"/>
      <c r="AQ199" s="117"/>
      <c r="AR199" s="117"/>
      <c r="AS199" s="117"/>
      <c r="AT199" s="117"/>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17"/>
      <c r="AQ200" s="117"/>
      <c r="AR200" s="117"/>
      <c r="AS200" s="117"/>
      <c r="AT200" s="117"/>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17"/>
      <c r="AQ201" s="117"/>
      <c r="AR201" s="117"/>
      <c r="AS201" s="117"/>
      <c r="AT201" s="117"/>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ref="AB202:AB214" si="27">AA202*W202</f>
        <v>2794.5105784819289</v>
      </c>
      <c r="AC202" s="129">
        <f t="shared" ref="AC202:AC214" si="28">AA202*X202%</f>
        <v>0</v>
      </c>
      <c r="AD202" s="129">
        <f t="shared" ref="AD202:AD214" si="29">AA202*Y202%</f>
        <v>0</v>
      </c>
      <c r="AE202" s="129">
        <f t="shared" ref="AE202:AE214" si="30">AA202*Z202%</f>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7"/>
        <v>0</v>
      </c>
      <c r="AC203" s="129">
        <f t="shared" si="28"/>
        <v>0</v>
      </c>
      <c r="AD203" s="129">
        <f t="shared" si="29"/>
        <v>0</v>
      </c>
      <c r="AE203" s="129">
        <f t="shared" si="30"/>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7"/>
        <v>0</v>
      </c>
      <c r="AC204" s="129">
        <f t="shared" si="28"/>
        <v>0</v>
      </c>
      <c r="AD204" s="129">
        <f t="shared" si="29"/>
        <v>0</v>
      </c>
      <c r="AE204" s="129">
        <f t="shared" si="30"/>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7"/>
        <v>0</v>
      </c>
      <c r="AC205" s="129">
        <f t="shared" si="28"/>
        <v>0</v>
      </c>
      <c r="AD205" s="129">
        <f t="shared" si="29"/>
        <v>0</v>
      </c>
      <c r="AE205" s="129">
        <f t="shared" si="30"/>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7"/>
        <v>0</v>
      </c>
      <c r="AC206" s="129">
        <f t="shared" si="28"/>
        <v>0</v>
      </c>
      <c r="AD206" s="129">
        <f t="shared" si="29"/>
        <v>0</v>
      </c>
      <c r="AE206" s="129">
        <f t="shared" si="30"/>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7"/>
        <v>0</v>
      </c>
      <c r="AC207" s="129">
        <f t="shared" si="28"/>
        <v>0</v>
      </c>
      <c r="AD207" s="129">
        <f t="shared" si="29"/>
        <v>0</v>
      </c>
      <c r="AE207" s="129">
        <f t="shared" si="30"/>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7"/>
        <v>0</v>
      </c>
      <c r="AC208" s="129">
        <f t="shared" si="28"/>
        <v>0</v>
      </c>
      <c r="AD208" s="129">
        <f t="shared" si="29"/>
        <v>0</v>
      </c>
      <c r="AE208" s="129">
        <f t="shared" si="30"/>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7"/>
        <v>0</v>
      </c>
      <c r="AC209" s="129">
        <f t="shared" si="28"/>
        <v>0</v>
      </c>
      <c r="AD209" s="129">
        <f t="shared" si="29"/>
        <v>0</v>
      </c>
      <c r="AE209" s="129">
        <f t="shared" si="30"/>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7"/>
        <v>0</v>
      </c>
      <c r="AC210" s="129">
        <f t="shared" si="28"/>
        <v>0</v>
      </c>
      <c r="AD210" s="129">
        <f t="shared" si="29"/>
        <v>0</v>
      </c>
      <c r="AE210" s="129">
        <f t="shared" si="30"/>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7"/>
        <v>0</v>
      </c>
      <c r="AC211" s="129">
        <f t="shared" si="28"/>
        <v>0</v>
      </c>
      <c r="AD211" s="129">
        <f t="shared" si="29"/>
        <v>0</v>
      </c>
      <c r="AE211" s="129">
        <f t="shared" si="30"/>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7"/>
        <v>0</v>
      </c>
      <c r="AC212" s="129">
        <f t="shared" si="28"/>
        <v>0</v>
      </c>
      <c r="AD212" s="129">
        <f t="shared" si="29"/>
        <v>0</v>
      </c>
      <c r="AE212" s="129">
        <f t="shared" si="30"/>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7"/>
        <v>0</v>
      </c>
      <c r="AC213" s="129">
        <f t="shared" si="28"/>
        <v>0</v>
      </c>
      <c r="AD213" s="129">
        <f t="shared" si="29"/>
        <v>0</v>
      </c>
      <c r="AE213" s="129">
        <f t="shared" si="30"/>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7"/>
        <v>0</v>
      </c>
      <c r="AC214" s="129">
        <f t="shared" si="28"/>
        <v>0</v>
      </c>
      <c r="AD214" s="129">
        <f t="shared" si="29"/>
        <v>0</v>
      </c>
      <c r="AE214" s="129">
        <f t="shared" si="30"/>
        <v>0</v>
      </c>
    </row>
    <row r="215" spans="21:31" ht="19.5" customHeight="1" x14ac:dyDescent="0.2">
      <c r="V215" s="121"/>
      <c r="AA215" s="130">
        <f>SUM(AA188:AA214)</f>
        <v>46040.013205690877</v>
      </c>
      <c r="AB215" s="130">
        <f>SUM(AB188:AB214)</f>
        <v>2794.5105784819289</v>
      </c>
      <c r="AC215" s="130">
        <f t="shared" ref="AC215:AE215" si="31">SUM(AC188:AC214)</f>
        <v>1199.9999995442874</v>
      </c>
      <c r="AD215" s="130">
        <f t="shared" si="31"/>
        <v>1040.0000005393354</v>
      </c>
      <c r="AE215" s="130">
        <f t="shared" si="31"/>
        <v>1119.9999998647588</v>
      </c>
    </row>
    <row r="220" spans="21:31" ht="19.5" customHeight="1" x14ac:dyDescent="0.25">
      <c r="AD220" s="10" t="s">
        <v>33</v>
      </c>
      <c r="AE220" s="10">
        <v>126</v>
      </c>
    </row>
    <row r="221" spans="21:31" ht="19.5" customHeight="1" x14ac:dyDescent="0.25">
      <c r="AD221" s="10" t="s">
        <v>66</v>
      </c>
      <c r="AE221" s="10">
        <v>108</v>
      </c>
    </row>
    <row r="222" spans="21:31" ht="19.5" customHeight="1" x14ac:dyDescent="0.25">
      <c r="AD222" s="10" t="s">
        <v>67</v>
      </c>
      <c r="AE222" s="10">
        <v>144</v>
      </c>
    </row>
  </sheetData>
  <mergeCells count="290">
    <mergeCell ref="M116:N143"/>
    <mergeCell ref="U188:U214"/>
    <mergeCell ref="X186:Z186"/>
    <mergeCell ref="AA186:AE186"/>
    <mergeCell ref="G106:H106"/>
    <mergeCell ref="C107:D107"/>
    <mergeCell ref="G110:H110"/>
    <mergeCell ref="U186:U187"/>
    <mergeCell ref="V186:V187"/>
    <mergeCell ref="W186:W187"/>
    <mergeCell ref="O125:P125"/>
    <mergeCell ref="O126:P126"/>
    <mergeCell ref="O127:P127"/>
    <mergeCell ref="O128:P128"/>
    <mergeCell ref="O129:P129"/>
    <mergeCell ref="O130:P130"/>
    <mergeCell ref="O131:P131"/>
    <mergeCell ref="O132:P132"/>
    <mergeCell ref="O133:P133"/>
    <mergeCell ref="O134:P134"/>
    <mergeCell ref="O135:P135"/>
    <mergeCell ref="O136:P136"/>
    <mergeCell ref="O137:P137"/>
    <mergeCell ref="O138:P138"/>
    <mergeCell ref="O139:P139"/>
    <mergeCell ref="O140:P140"/>
    <mergeCell ref="O141:P141"/>
    <mergeCell ref="O142:P142"/>
    <mergeCell ref="O145:P145"/>
    <mergeCell ref="O147:P147"/>
    <mergeCell ref="M145:N147"/>
    <mergeCell ref="B82:C83"/>
    <mergeCell ref="B85:C86"/>
    <mergeCell ref="E82:G82"/>
    <mergeCell ref="E83:G83"/>
    <mergeCell ref="E89:G89"/>
    <mergeCell ref="E92:G92"/>
    <mergeCell ref="E95:G95"/>
    <mergeCell ref="E86:G86"/>
    <mergeCell ref="B88:C89"/>
    <mergeCell ref="B91:C92"/>
    <mergeCell ref="B94:C95"/>
    <mergeCell ref="E85:G85"/>
    <mergeCell ref="E88:G88"/>
    <mergeCell ref="E91:G91"/>
    <mergeCell ref="E94:G94"/>
    <mergeCell ref="G108:H108"/>
    <mergeCell ref="G104:H104"/>
    <mergeCell ref="O116:Q116"/>
    <mergeCell ref="O143:P143"/>
    <mergeCell ref="E70:G70"/>
    <mergeCell ref="E73:G73"/>
    <mergeCell ref="E28:G28"/>
    <mergeCell ref="E30:G30"/>
    <mergeCell ref="E31:G31"/>
    <mergeCell ref="E29:G29"/>
    <mergeCell ref="B97:I100"/>
    <mergeCell ref="B75:I78"/>
    <mergeCell ref="E45:G45"/>
    <mergeCell ref="B45:C46"/>
    <mergeCell ref="E49:G49"/>
    <mergeCell ref="E52:G52"/>
    <mergeCell ref="E55:G55"/>
    <mergeCell ref="E58:G58"/>
    <mergeCell ref="E61:G61"/>
    <mergeCell ref="E64:G64"/>
    <mergeCell ref="E67:G67"/>
    <mergeCell ref="B69:C70"/>
    <mergeCell ref="E57:G57"/>
    <mergeCell ref="B57:C58"/>
    <mergeCell ref="E46:G46"/>
    <mergeCell ref="E51:G51"/>
    <mergeCell ref="B48:C49"/>
    <mergeCell ref="B51:C52"/>
    <mergeCell ref="E48:G48"/>
    <mergeCell ref="E54:G54"/>
    <mergeCell ref="B54:C55"/>
    <mergeCell ref="E66:G66"/>
    <mergeCell ref="E69:G69"/>
    <mergeCell ref="E72:G72"/>
    <mergeCell ref="B66:C67"/>
    <mergeCell ref="B72:C73"/>
    <mergeCell ref="AT50:AV50"/>
    <mergeCell ref="AQ54:AQ55"/>
    <mergeCell ref="AS54:AS55"/>
    <mergeCell ref="B80:I80"/>
    <mergeCell ref="M97:N97"/>
    <mergeCell ref="M101:N106"/>
    <mergeCell ref="O101:Q101"/>
    <mergeCell ref="O102:Q102"/>
    <mergeCell ref="O103:Q103"/>
    <mergeCell ref="O104:Q104"/>
    <mergeCell ref="O105:Q105"/>
    <mergeCell ref="O106:Q106"/>
    <mergeCell ref="U100:U114"/>
    <mergeCell ref="M95:N95"/>
    <mergeCell ref="O78:Q78"/>
    <mergeCell ref="O79:P79"/>
    <mergeCell ref="V98:V99"/>
    <mergeCell ref="W98:W99"/>
    <mergeCell ref="X98:AO98"/>
    <mergeCell ref="V54:V55"/>
    <mergeCell ref="O62:Q62"/>
    <mergeCell ref="M55:N65"/>
    <mergeCell ref="M96:N96"/>
    <mergeCell ref="M46:N50"/>
    <mergeCell ref="U151:U159"/>
    <mergeCell ref="U160:U169"/>
    <mergeCell ref="U170:U179"/>
    <mergeCell ref="U98:U99"/>
    <mergeCell ref="V71:V72"/>
    <mergeCell ref="X48:Y48"/>
    <mergeCell ref="X49:Y49"/>
    <mergeCell ref="O50:P50"/>
    <mergeCell ref="O56:Q56"/>
    <mergeCell ref="U131:U150"/>
    <mergeCell ref="O87:P87"/>
    <mergeCell ref="O88:P88"/>
    <mergeCell ref="O89:P89"/>
    <mergeCell ref="O91:Q91"/>
    <mergeCell ref="U115:U130"/>
    <mergeCell ref="O124:P124"/>
    <mergeCell ref="O117:P117"/>
    <mergeCell ref="O118:P118"/>
    <mergeCell ref="O119:P119"/>
    <mergeCell ref="O120:P120"/>
    <mergeCell ref="O121:P121"/>
    <mergeCell ref="O122:P122"/>
    <mergeCell ref="O123:P123"/>
    <mergeCell ref="O60:Q60"/>
    <mergeCell ref="O70:Q70"/>
    <mergeCell ref="U73:U82"/>
    <mergeCell ref="O71:P71"/>
    <mergeCell ref="O72:P72"/>
    <mergeCell ref="O73:P73"/>
    <mergeCell ref="O75:Q75"/>
    <mergeCell ref="O77:Q77"/>
    <mergeCell ref="U87:U95"/>
    <mergeCell ref="O85:Q85"/>
    <mergeCell ref="O86:Q86"/>
    <mergeCell ref="AQ58:AR58"/>
    <mergeCell ref="B116:E116"/>
    <mergeCell ref="F116:I116"/>
    <mergeCell ref="U56:U68"/>
    <mergeCell ref="B113:E115"/>
    <mergeCell ref="F113:I115"/>
    <mergeCell ref="W71:W72"/>
    <mergeCell ref="X71:Z71"/>
    <mergeCell ref="M69:N89"/>
    <mergeCell ref="O80:P80"/>
    <mergeCell ref="O81:P81"/>
    <mergeCell ref="U85:U86"/>
    <mergeCell ref="V85:V86"/>
    <mergeCell ref="W85:W86"/>
    <mergeCell ref="X85:AE85"/>
    <mergeCell ref="O83:Q83"/>
    <mergeCell ref="O69:Q69"/>
    <mergeCell ref="B60:C61"/>
    <mergeCell ref="B63:C64"/>
    <mergeCell ref="E60:G60"/>
    <mergeCell ref="E63:G63"/>
    <mergeCell ref="B102:I102"/>
    <mergeCell ref="U71:U72"/>
    <mergeCell ref="O58:Q59"/>
    <mergeCell ref="U45:V45"/>
    <mergeCell ref="X45:Z45"/>
    <mergeCell ref="X46:Y46"/>
    <mergeCell ref="O45:Q46"/>
    <mergeCell ref="O48:Q49"/>
    <mergeCell ref="AQ57:AR57"/>
    <mergeCell ref="O55:Q55"/>
    <mergeCell ref="U54:U55"/>
    <mergeCell ref="W54:W55"/>
    <mergeCell ref="AP54:AP55"/>
    <mergeCell ref="O47:P47"/>
    <mergeCell ref="X47:Y47"/>
    <mergeCell ref="X54:AA54"/>
    <mergeCell ref="M36:R36"/>
    <mergeCell ref="AB36:AC36"/>
    <mergeCell ref="AQ36:AR36"/>
    <mergeCell ref="B44:I44"/>
    <mergeCell ref="M38:N42"/>
    <mergeCell ref="O38:Q38"/>
    <mergeCell ref="AB38:AC38"/>
    <mergeCell ref="P39:Q39"/>
    <mergeCell ref="AB39:AC39"/>
    <mergeCell ref="AP39:AQ39"/>
    <mergeCell ref="AP40:AQ40"/>
    <mergeCell ref="O41:Q41"/>
    <mergeCell ref="AP41:AQ41"/>
    <mergeCell ref="E38:G38"/>
    <mergeCell ref="E39:G39"/>
    <mergeCell ref="B38:C39"/>
    <mergeCell ref="O42:Q42"/>
    <mergeCell ref="AP42:AQ42"/>
    <mergeCell ref="B41:I42"/>
    <mergeCell ref="AP43:AQ43"/>
    <mergeCell ref="M44:R44"/>
    <mergeCell ref="AP44:AQ44"/>
    <mergeCell ref="AQ35:AR35"/>
    <mergeCell ref="O31:Q31"/>
    <mergeCell ref="AQ31:AR31"/>
    <mergeCell ref="AQ32:AR32"/>
    <mergeCell ref="B37:I37"/>
    <mergeCell ref="O33:Q33"/>
    <mergeCell ref="AQ33:AR33"/>
    <mergeCell ref="AD22:AD23"/>
    <mergeCell ref="AP25:AP26"/>
    <mergeCell ref="AQ25:AR26"/>
    <mergeCell ref="B26:I26"/>
    <mergeCell ref="U26:Z26"/>
    <mergeCell ref="B27:C28"/>
    <mergeCell ref="AP27:AP36"/>
    <mergeCell ref="AQ27:AR27"/>
    <mergeCell ref="B33:I35"/>
    <mergeCell ref="AQ28:AR28"/>
    <mergeCell ref="B30:C31"/>
    <mergeCell ref="M29:N34"/>
    <mergeCell ref="O29:Q29"/>
    <mergeCell ref="E27:G27"/>
    <mergeCell ref="AQ29:AR29"/>
    <mergeCell ref="AQ30:AR30"/>
    <mergeCell ref="O34:Q34"/>
    <mergeCell ref="AQ34:AR34"/>
    <mergeCell ref="B16:I16"/>
    <mergeCell ref="AP16:AP17"/>
    <mergeCell ref="AQ18:AR18"/>
    <mergeCell ref="AQ19:AR19"/>
    <mergeCell ref="B20:E20"/>
    <mergeCell ref="V20:X20"/>
    <mergeCell ref="AQ20:AR20"/>
    <mergeCell ref="Z21:AB21"/>
    <mergeCell ref="AQ16:AR17"/>
    <mergeCell ref="U17:X19"/>
    <mergeCell ref="Y17:AD20"/>
    <mergeCell ref="B18:D18"/>
    <mergeCell ref="F18:H18"/>
    <mergeCell ref="AF18:AF20"/>
    <mergeCell ref="AJ18:AJ20"/>
    <mergeCell ref="AK18:AK20"/>
    <mergeCell ref="AB29:AC29"/>
    <mergeCell ref="H29:I29"/>
    <mergeCell ref="AB35:AC35"/>
    <mergeCell ref="M2:R2"/>
    <mergeCell ref="U3:X5"/>
    <mergeCell ref="Y3:AD6"/>
    <mergeCell ref="O4:P4"/>
    <mergeCell ref="AP4:AP5"/>
    <mergeCell ref="AD8:AD11"/>
    <mergeCell ref="AG8:AH8"/>
    <mergeCell ref="AI8:AJ8"/>
    <mergeCell ref="AM18:AM20"/>
    <mergeCell ref="AF15:AF17"/>
    <mergeCell ref="AJ15:AJ17"/>
    <mergeCell ref="AK15:AK17"/>
    <mergeCell ref="AL15:AL17"/>
    <mergeCell ref="AM15:AM17"/>
    <mergeCell ref="AL18:AL20"/>
    <mergeCell ref="AF9:AF11"/>
    <mergeCell ref="AJ9:AJ11"/>
    <mergeCell ref="AK9:AK11"/>
    <mergeCell ref="AL9:AL11"/>
    <mergeCell ref="AM9:AM11"/>
    <mergeCell ref="AP10:AP11"/>
    <mergeCell ref="AF12:AF14"/>
    <mergeCell ref="AJ12:AJ14"/>
    <mergeCell ref="B9:I9"/>
    <mergeCell ref="AQ10:AR11"/>
    <mergeCell ref="AV10:AV11"/>
    <mergeCell ref="C11:I11"/>
    <mergeCell ref="C12:I12"/>
    <mergeCell ref="AL12:AL14"/>
    <mergeCell ref="AM12:AM14"/>
    <mergeCell ref="AQ12:AR12"/>
    <mergeCell ref="C13:I13"/>
    <mergeCell ref="AQ13:AR13"/>
    <mergeCell ref="C14:G14"/>
    <mergeCell ref="AQ14:AR14"/>
    <mergeCell ref="AK12:AK14"/>
    <mergeCell ref="M4:N25"/>
    <mergeCell ref="AQ4:AR5"/>
    <mergeCell ref="AV4:AV5"/>
    <mergeCell ref="V6:X6"/>
    <mergeCell ref="AQ6:AR6"/>
    <mergeCell ref="Z7:AB7"/>
    <mergeCell ref="AF7:AM7"/>
    <mergeCell ref="AQ7:AR7"/>
    <mergeCell ref="AQ8:AR8"/>
    <mergeCell ref="AV16:AV17"/>
    <mergeCell ref="K4:L4"/>
  </mergeCells>
  <dataValidations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$AE$31:$AE$35</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ignoredErrors>
    <ignoredError sqref="D49:E49 B48 E48 D46 E45:E46 E51:E52 D52 I45 I48 I51" unlockedFormula="1"/>
  </ignoredErrors>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(1)'!$C$104:$C$113</xm:f>
          </x14:formula1>
          <xm:sqref>O56:Q56</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(1)'!$C$3:$C$62</xm:f>
          </x14:formula1>
          <xm:sqref>O71:P73 O79:P81 O87:P89 O117:P143</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9.6000000000000014</v>
      </c>
      <c r="AT5" s="9">
        <f>$AC$31</f>
        <v>5.120000000000001</v>
      </c>
      <c r="AU5" s="9">
        <f>$AC$32</f>
        <v>7.6800000000000015</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5.1200000000000019</v>
      </c>
      <c r="AU7" s="9">
        <f>IFERROR((VLOOKUP(AQ7,$V$100:$AB$179,7,0)*0.01)*AV7,0)</f>
        <v>0</v>
      </c>
      <c r="AV7" s="9">
        <f>IFERROR($AT$5*Q72/(VLOOKUP(AQ7,$V$100:$AB$179,5,0)/100),0)</f>
        <v>29.257142857142863</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3.2000000000000008E-2</v>
      </c>
      <c r="AL9" s="301">
        <f>(AM9*1000)/$E$18</f>
        <v>3.2000000000000008E-2</v>
      </c>
      <c r="AM9" s="302">
        <v>1</v>
      </c>
      <c r="AO9" s="7"/>
      <c r="AP9" s="7"/>
      <c r="AQ9" s="7"/>
      <c r="AR9" s="7"/>
      <c r="AS9" s="28">
        <f>AS5-(SUM(AS6:AS8))</f>
        <v>9.6000000000000014</v>
      </c>
      <c r="AT9" s="28">
        <f>AT5-(SUM(AT6:AT8))</f>
        <v>0</v>
      </c>
      <c r="AU9" s="28">
        <f>AU5-(SUM(AU6:AU8))</f>
        <v>7.6800000000000015</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9.6000000000000014</v>
      </c>
      <c r="AT11" s="9">
        <f t="shared" ref="AT11:AU11" si="0">AT9</f>
        <v>0</v>
      </c>
      <c r="AU11" s="9">
        <f t="shared" si="0"/>
        <v>7.6800000000000015</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1.6000000000000004E-2</v>
      </c>
      <c r="AM12" s="302">
        <v>0.5</v>
      </c>
      <c r="AO12" s="7"/>
      <c r="AP12" s="186">
        <v>7</v>
      </c>
      <c r="AQ12" s="295" t="str">
        <f>O79</f>
        <v>Kmag</v>
      </c>
      <c r="AR12" s="295"/>
      <c r="AS12" s="9">
        <f>IFERROR((VLOOKUP(AQ12,$V$100:$AB$179,3,0)*0.01)*AV12,0)</f>
        <v>0</v>
      </c>
      <c r="AT12" s="9">
        <f>IFERROR((VLOOKUP(AQ12,$V$100:$AB$179,5,0)*0.01)*AV12,0)</f>
        <v>0</v>
      </c>
      <c r="AU12" s="9">
        <f>IFERROR((VLOOKUP(AQ12,$V$100:$AB$179,7,0)*0.01)*AV12,0)</f>
        <v>7.6800000000000006</v>
      </c>
      <c r="AV12" s="9">
        <f>IFERROR($AU$11*Q79/(VLOOKUP(AQ12,$V$100:$AB$179,7,0)/100),0)</f>
        <v>36.571428571428577</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3.2000000000000008E-2</v>
      </c>
      <c r="AM15" s="302">
        <v>1</v>
      </c>
      <c r="AO15" s="7"/>
      <c r="AP15" s="7"/>
      <c r="AQ15" s="7"/>
      <c r="AR15" s="7"/>
      <c r="AS15" s="28">
        <f>AS11-(SUM(AS12:AS14))</f>
        <v>9.6000000000000014</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9.6000000000000014</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31249.999999999993</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0.16000000000000003</v>
      </c>
      <c r="AM18" s="302">
        <v>5</v>
      </c>
      <c r="AO18" s="7"/>
      <c r="AP18" s="186">
        <v>13</v>
      </c>
      <c r="AQ18" s="295" t="str">
        <f>O87</f>
        <v>Torta de mamona Hortibraz</v>
      </c>
      <c r="AR18" s="295"/>
      <c r="AS18" s="9">
        <f>IFERROR((VLOOKUP(AQ18,$V$100:$AB$179,3,0)*0.01)*AV18,0)</f>
        <v>9.6000000000000014</v>
      </c>
      <c r="AT18" s="9">
        <f>IFERROR((VLOOKUP(AQ18,$V$100:$AB$179,5,0)*0.01)*AV18,0)</f>
        <v>0</v>
      </c>
      <c r="AU18" s="9">
        <f>IFERROR((VLOOKUP(AQ18,$V$100:$AB$179,7,0)*0.01)*AV18,0)</f>
        <v>0</v>
      </c>
      <c r="AV18" s="9">
        <f>IFERROR($AS$17*Q87/(VLOOKUP(AQ18,$V$100:$AB$179,3,0)/100),0)</f>
        <v>160.00000000000003</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3.2000000000000008E-2</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300" t="s">
        <v>281</v>
      </c>
      <c r="V26" s="298"/>
      <c r="W26" s="298"/>
      <c r="X26" s="298"/>
      <c r="Y26" s="298"/>
      <c r="Z26" s="299"/>
      <c r="AO26" s="7"/>
      <c r="AP26" s="326"/>
      <c r="AQ26" s="326"/>
      <c r="AR26" s="326"/>
      <c r="AS26" s="3">
        <f>AK9</f>
        <v>3.2000000000000008E-2</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0.17027863777089697</v>
      </c>
      <c r="E27" s="329" t="str">
        <f>IF(J27&gt;0,"toneladas por hectare ou,","-")</f>
        <v>toneladas por hectare ou,</v>
      </c>
      <c r="F27" s="329"/>
      <c r="G27" s="329"/>
      <c r="H27" s="101" t="s">
        <v>447</v>
      </c>
      <c r="I27" s="101">
        <f>IFERROR((D27*1000*VLOOKUP(B27,$V$56:$W$68,2,0)*$O$34),0)</f>
        <v>95.35603715170231</v>
      </c>
      <c r="J27" s="32">
        <f>V51</f>
        <v>0.17027863777089697</v>
      </c>
      <c r="U27" s="191" t="s">
        <v>271</v>
      </c>
      <c r="V27" s="191" t="s">
        <v>282</v>
      </c>
      <c r="W27" s="191" t="s">
        <v>75</v>
      </c>
      <c r="X27" s="191" t="s">
        <v>71</v>
      </c>
      <c r="Y27" s="191" t="s">
        <v>283</v>
      </c>
      <c r="Z27" s="191"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1.7027863777089695E-2</v>
      </c>
      <c r="E28" s="332" t="str">
        <f>IF(J28&gt;0,"gramas por metro quadrado","-")</f>
        <v>gramas por metro quadrado</v>
      </c>
      <c r="F28" s="332"/>
      <c r="G28" s="332"/>
      <c r="H28" s="102" t="s">
        <v>419</v>
      </c>
      <c r="I28" s="102">
        <f>I27/$E$18</f>
        <v>3.0513931888544745E-3</v>
      </c>
      <c r="J28" s="32">
        <f>J27/10</f>
        <v>1.7027863777089695E-2</v>
      </c>
      <c r="M28" s="207"/>
      <c r="N28" s="201"/>
      <c r="O28" s="201"/>
      <c r="P28" s="201"/>
      <c r="Q28" s="201"/>
      <c r="R28" s="208"/>
      <c r="U28" s="191" t="s">
        <v>50</v>
      </c>
      <c r="V28" s="191">
        <v>180000</v>
      </c>
      <c r="W28" s="191" t="s">
        <v>68</v>
      </c>
      <c r="X28" s="191" t="str">
        <f>CONCATENATE(U28," - ",W28)</f>
        <v>&lt; 20 - baixo</v>
      </c>
      <c r="Y28" s="191">
        <v>90000</v>
      </c>
      <c r="Z28" s="191">
        <v>230000</v>
      </c>
      <c r="AE28" s="190" t="s">
        <v>63</v>
      </c>
      <c r="AG28" s="191" t="s">
        <v>63</v>
      </c>
      <c r="AI28" s="15" t="s">
        <v>63</v>
      </c>
      <c r="AK28" s="15" t="s">
        <v>63</v>
      </c>
      <c r="AL28" s="191"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50</v>
      </c>
      <c r="V29" s="191">
        <v>180000</v>
      </c>
      <c r="W29" s="191" t="s">
        <v>69</v>
      </c>
      <c r="X29" s="191" t="str">
        <f t="shared" ref="X29:X42" si="8">CONCATENATE(U29," - ",W29)</f>
        <v>&lt; 20 - medio</v>
      </c>
      <c r="Y29" s="191">
        <v>70000</v>
      </c>
      <c r="Z29" s="191">
        <v>180000</v>
      </c>
      <c r="AB29" s="312" t="s">
        <v>65</v>
      </c>
      <c r="AC29" s="312"/>
      <c r="AE29" s="190" t="s">
        <v>271</v>
      </c>
      <c r="AG29" s="191"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0.8</v>
      </c>
      <c r="P30" s="4" t="s">
        <v>179</v>
      </c>
      <c r="Q30" s="5">
        <v>0.4</v>
      </c>
      <c r="R30" s="209"/>
      <c r="U30" s="191" t="s">
        <v>50</v>
      </c>
      <c r="V30" s="191">
        <v>180000</v>
      </c>
      <c r="W30" s="191" t="s">
        <v>70</v>
      </c>
      <c r="X30" s="191" t="str">
        <f t="shared" si="8"/>
        <v>&lt; 20 - adequado</v>
      </c>
      <c r="Y30" s="191">
        <v>35000</v>
      </c>
      <c r="Z30" s="191">
        <v>140000</v>
      </c>
      <c r="AB30" s="202" t="s">
        <v>33</v>
      </c>
      <c r="AC30" s="4">
        <f>(VLOOKUP($P$39,$U$28:$V$42,2,0)/$E$18)/AD30</f>
        <v>9.6000000000000014</v>
      </c>
      <c r="AD30" s="184">
        <f>'Abacate produção (1)'!AD30</f>
        <v>1</v>
      </c>
      <c r="AE30" s="190" t="s">
        <v>34</v>
      </c>
      <c r="AG30" s="191"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270</v>
      </c>
      <c r="V31" s="191">
        <v>200000</v>
      </c>
      <c r="W31" s="191" t="s">
        <v>68</v>
      </c>
      <c r="X31" s="191" t="str">
        <f t="shared" si="8"/>
        <v>20,1 - 30 - baixo</v>
      </c>
      <c r="Y31" s="191">
        <v>120000</v>
      </c>
      <c r="Z31" s="191">
        <v>290000</v>
      </c>
      <c r="AB31" s="202" t="s">
        <v>66</v>
      </c>
      <c r="AC31" s="202">
        <f>(VLOOKUP(AB36,X28:Z42,2,0)/$E$18)/AD31</f>
        <v>5.120000000000001</v>
      </c>
      <c r="AD31" s="184">
        <f>'Abacate produção (1)'!AD31</f>
        <v>1</v>
      </c>
      <c r="AE31" s="190" t="s">
        <v>50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09"/>
      <c r="U32" s="191" t="s">
        <v>270</v>
      </c>
      <c r="V32" s="191">
        <v>200000</v>
      </c>
      <c r="W32" s="191" t="s">
        <v>69</v>
      </c>
      <c r="X32" s="191" t="str">
        <f t="shared" si="8"/>
        <v>20,1 - 30 - medio</v>
      </c>
      <c r="Y32" s="191">
        <v>90000</v>
      </c>
      <c r="Z32" s="191">
        <v>230000</v>
      </c>
      <c r="AB32" s="202" t="s">
        <v>67</v>
      </c>
      <c r="AC32" s="202">
        <f>(VLOOKUP($AB$39,X28:Z42,3,0)/$E$18)/AD32</f>
        <v>7.6800000000000015</v>
      </c>
      <c r="AD32" s="184">
        <f>'Abacate produção (1)'!AD32</f>
        <v>1</v>
      </c>
      <c r="AE32" s="190" t="s">
        <v>270</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270</v>
      </c>
      <c r="V33" s="191">
        <v>200000</v>
      </c>
      <c r="W33" s="191" t="s">
        <v>70</v>
      </c>
      <c r="X33" s="191" t="str">
        <f t="shared" si="8"/>
        <v>20,1 - 30 - adequado</v>
      </c>
      <c r="Y33" s="191">
        <v>45000</v>
      </c>
      <c r="Z33" s="191">
        <v>170000</v>
      </c>
      <c r="AE33" s="190" t="s">
        <v>287</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287</v>
      </c>
      <c r="V34" s="191">
        <v>300000</v>
      </c>
      <c r="W34" s="191" t="s">
        <v>68</v>
      </c>
      <c r="X34" s="191" t="str">
        <f t="shared" si="8"/>
        <v>30,1 - 40 - baixo</v>
      </c>
      <c r="Y34" s="191">
        <v>160000</v>
      </c>
      <c r="Z34" s="191">
        <v>400000</v>
      </c>
      <c r="AE34" s="190" t="s">
        <v>288</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31249.999999999993</v>
      </c>
      <c r="P35" s="17">
        <f>10000/($O$30*$Q$30)</f>
        <v>31249.999999999993</v>
      </c>
      <c r="Q35" s="17" t="e">
        <f>10000/((($O$32/2)+($P$32/2))*$Q$32)</f>
        <v>#DIV/0!</v>
      </c>
      <c r="R35" s="211"/>
      <c r="U35" s="191" t="s">
        <v>287</v>
      </c>
      <c r="V35" s="191">
        <v>300000</v>
      </c>
      <c r="W35" s="191" t="s">
        <v>69</v>
      </c>
      <c r="X35" s="191" t="str">
        <f t="shared" si="8"/>
        <v>30,1 - 40 - medio</v>
      </c>
      <c r="Y35" s="191">
        <v>120000</v>
      </c>
      <c r="Z35" s="191">
        <v>320000</v>
      </c>
      <c r="AB35" s="301" t="s">
        <v>72</v>
      </c>
      <c r="AC35" s="301"/>
      <c r="AE35" s="190" t="s">
        <v>462</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91" t="s">
        <v>287</v>
      </c>
      <c r="V36" s="191">
        <v>300000</v>
      </c>
      <c r="W36" s="191" t="s">
        <v>70</v>
      </c>
      <c r="X36" s="191" t="str">
        <f t="shared" si="8"/>
        <v>30,1 - 40 - adequado</v>
      </c>
      <c r="Y36" s="191">
        <v>60000</v>
      </c>
      <c r="Z36" s="191">
        <v>240000</v>
      </c>
      <c r="AB36" s="301" t="str">
        <f>CONCATENATE($P$39," - ",$AD$8)</f>
        <v>30,1 - 40 -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288</v>
      </c>
      <c r="V37" s="191">
        <v>400000</v>
      </c>
      <c r="W37" s="191" t="s">
        <v>68</v>
      </c>
      <c r="X37" s="191" t="str">
        <f t="shared" si="8"/>
        <v>40,1 - 50 - baixo</v>
      </c>
      <c r="Y37" s="191">
        <v>200000</v>
      </c>
      <c r="Z37" s="191">
        <v>510000</v>
      </c>
      <c r="AI37" s="15">
        <v>0.7</v>
      </c>
      <c r="AK37" s="73" t="str">
        <f>'Adubos e corretivos (1)'!E128</f>
        <v>Compostos orgânicos</v>
      </c>
      <c r="AL37" s="105">
        <f>'Adubos e corretivos (1)'!F128</f>
        <v>0.7</v>
      </c>
      <c r="AO37" s="29"/>
      <c r="AP37" s="29"/>
      <c r="AQ37" s="29"/>
      <c r="AR37" s="29"/>
      <c r="AS37" s="28">
        <f>IF(AS24&gt;0,AS24,0)</f>
        <v>3.2000000000000008E-2</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288</v>
      </c>
      <c r="V38" s="191">
        <v>400000</v>
      </c>
      <c r="W38" s="191" t="s">
        <v>69</v>
      </c>
      <c r="X38" s="191" t="str">
        <f t="shared" si="8"/>
        <v>40,1 - 50 - medio</v>
      </c>
      <c r="Y38" s="191">
        <v>150000</v>
      </c>
      <c r="Z38" s="191">
        <v>410000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8.6640000000000016E-3</v>
      </c>
      <c r="J39" s="33">
        <f>J38/10</f>
        <v>35.625</v>
      </c>
      <c r="K39" s="35"/>
      <c r="M39" s="303"/>
      <c r="N39" s="332"/>
      <c r="O39" s="191" t="s">
        <v>274</v>
      </c>
      <c r="P39" s="330" t="s">
        <v>287</v>
      </c>
      <c r="Q39" s="330"/>
      <c r="R39" s="209"/>
      <c r="U39" s="191" t="s">
        <v>288</v>
      </c>
      <c r="V39" s="191">
        <v>400000</v>
      </c>
      <c r="W39" s="191" t="s">
        <v>70</v>
      </c>
      <c r="X39" s="191" t="str">
        <f t="shared" si="8"/>
        <v>40,1 - 50 - adequado</v>
      </c>
      <c r="Y39" s="191">
        <v>75000</v>
      </c>
      <c r="Z39" s="191">
        <v>310000</v>
      </c>
      <c r="AB39" s="301" t="str">
        <f>CONCATENATE($P$39," - ",$AD$22)</f>
        <v>30,1 - 40 -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U40" s="190" t="s">
        <v>462</v>
      </c>
      <c r="V40" s="191">
        <v>500000</v>
      </c>
      <c r="W40" s="191" t="s">
        <v>68</v>
      </c>
      <c r="X40" s="191" t="str">
        <f t="shared" si="8"/>
        <v>50,1  - 60 - baixo</v>
      </c>
      <c r="Y40" s="191">
        <v>240000</v>
      </c>
      <c r="Z40" s="191">
        <v>620000</v>
      </c>
      <c r="AI40" s="15">
        <v>1</v>
      </c>
      <c r="AO40" s="7"/>
      <c r="AP40" s="295" t="str">
        <f>O102</f>
        <v>Ácido Bórico</v>
      </c>
      <c r="AQ40" s="295"/>
      <c r="AR40" s="9">
        <f>IFERROR($AS$37/((VLOOKUP(AP40,$V$100:$AO$179,11,0)*0.01)),0)</f>
        <v>0.18285714285714288</v>
      </c>
      <c r="AS40" s="9">
        <f>IFERROR($AT$37/((VLOOKUP(AP40,$V$100:$AO$179,14,0)*0.01)),0)</f>
        <v>0</v>
      </c>
      <c r="AT40" s="9">
        <f>IFERROR($AU$37/((VLOOKUP(AP40,$V$100:$AO$179,12,0)*0.01)),0)</f>
        <v>0</v>
      </c>
      <c r="AU40" s="9">
        <f>IFERROR($AV$37/((VLOOKUP(AP40,$V$100:$AO$179,13,0)*0.01)),0)</f>
        <v>0</v>
      </c>
      <c r="AV40" s="9">
        <f>MAX(AR40:AU40)</f>
        <v>0.18285714285714288</v>
      </c>
      <c r="AW40" s="9">
        <f>IFERROR(AV40*(VLOOKUP(AP40,$V$100:$AO$179,11,0)*0.01),0)</f>
        <v>3.2000000000000008E-2</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U41" s="190" t="s">
        <v>462</v>
      </c>
      <c r="V41" s="191">
        <v>500000</v>
      </c>
      <c r="W41" s="191" t="s">
        <v>69</v>
      </c>
      <c r="X41" s="191" t="str">
        <f t="shared" si="8"/>
        <v>50,1  - 60 - medio</v>
      </c>
      <c r="Y41" s="191">
        <v>180000</v>
      </c>
      <c r="Z41" s="191">
        <v>500000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U42" s="190" t="s">
        <v>462</v>
      </c>
      <c r="V42" s="191">
        <v>500000</v>
      </c>
      <c r="W42" s="191" t="s">
        <v>70</v>
      </c>
      <c r="X42" s="191" t="str">
        <f t="shared" si="8"/>
        <v>50,1  - 60 - adequado</v>
      </c>
      <c r="Y42" s="191">
        <v>90000</v>
      </c>
      <c r="Z42" s="191">
        <v>380000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29.257142857142863</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31">
        <f>'Adubos e corretivos (1)'!C120</f>
        <v>50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36.571428571428577</v>
      </c>
      <c r="K47" s="35"/>
      <c r="M47" s="303"/>
      <c r="N47" s="332"/>
      <c r="O47" s="333" t="s">
        <v>442</v>
      </c>
      <c r="P47" s="335"/>
      <c r="Q47" s="18">
        <v>1</v>
      </c>
      <c r="R47" s="209"/>
      <c r="U47" s="191" t="s">
        <v>104</v>
      </c>
      <c r="V47" s="2">
        <f>IFERROR((((V46-P24)*P25)/V49),0)</f>
        <v>0.17027863777089697</v>
      </c>
      <c r="X47" s="336" t="s">
        <v>182</v>
      </c>
      <c r="Y47" s="336"/>
      <c r="Z47" s="2">
        <f>IFERROR((($V$50/$Z$46)*$V$47),0)</f>
        <v>0.84021571089239933</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0.17027863777089697</v>
      </c>
      <c r="X48" s="336" t="s">
        <v>180</v>
      </c>
      <c r="Y48" s="336"/>
      <c r="Z48" s="2">
        <f>IFERROR(IF(Z47&lt;0,(0),IF(Z47&gt;=0,(Z47))),0)</f>
        <v>0.84021571089239933</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160.00000000000003</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914.28571428571422</v>
      </c>
      <c r="E51" s="332" t="str">
        <f>IF(J45&gt;0,"quilos para área total","-")</f>
        <v>quilos para área total</v>
      </c>
      <c r="F51" s="332"/>
      <c r="G51" s="332"/>
      <c r="H51" s="102" t="s">
        <v>447</v>
      </c>
      <c r="I51" s="102">
        <f>I52*$E$18*$I$18</f>
        <v>2125.7142857142858</v>
      </c>
      <c r="J51" s="33">
        <f>AV19</f>
        <v>0</v>
      </c>
      <c r="K51" s="35"/>
      <c r="L51" s="188"/>
      <c r="M51" s="210"/>
      <c r="N51" s="200"/>
      <c r="O51" s="200"/>
      <c r="P51" s="200"/>
      <c r="Q51" s="200"/>
      <c r="R51" s="211"/>
      <c r="U51" s="191" t="s">
        <v>247</v>
      </c>
      <c r="V51" s="2">
        <f>V48*$Q$47</f>
        <v>0.17027863777089697</v>
      </c>
      <c r="AT51" s="187" t="s">
        <v>264</v>
      </c>
      <c r="AU51" s="96" t="str">
        <f>AK29</f>
        <v>Composto de lixo (COL)</v>
      </c>
      <c r="AV51" s="187">
        <v>12</v>
      </c>
    </row>
    <row r="52" spans="2:50" ht="19.5" customHeight="1" x14ac:dyDescent="0.25">
      <c r="B52" s="327"/>
      <c r="C52" s="327"/>
      <c r="D52" s="109">
        <f>IF(J45&gt;0,J45,"-")</f>
        <v>29.257142857142863</v>
      </c>
      <c r="E52" s="332" t="str">
        <f>IF(J45&gt;0,"gramas por planta","-")</f>
        <v>gramas por planta</v>
      </c>
      <c r="F52" s="332"/>
      <c r="G52" s="332"/>
      <c r="H52" s="102" t="s">
        <v>446</v>
      </c>
      <c r="I52" s="102">
        <f>IFERROR((D52/1000)*VLOOKUP(B51,$V$100:$W$179,2,0),0)</f>
        <v>6.8022857142857163E-2</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1142.8571428571427</v>
      </c>
      <c r="E57" s="354" t="str">
        <f>IF(J47&gt;0,"quilos para área total","-")</f>
        <v>quilos para área total</v>
      </c>
      <c r="F57" s="354"/>
      <c r="G57" s="354"/>
      <c r="H57" s="102" t="s">
        <v>447</v>
      </c>
      <c r="I57" s="102">
        <f>I58*$E$18*$I$18</f>
        <v>3314.2857142857138</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36.571428571428577</v>
      </c>
      <c r="E58" s="332" t="str">
        <f>IF(J47&gt;0,"gramas por planta","-")</f>
        <v>gramas por planta</v>
      </c>
      <c r="F58" s="332"/>
      <c r="G58" s="332"/>
      <c r="H58" s="102" t="s">
        <v>446</v>
      </c>
      <c r="I58" s="102">
        <f>IFERROR((D58/1000)*VLOOKUP(B57,$V$100:$W$179,2,0),0)</f>
        <v>0.10605714285714286</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5000</v>
      </c>
      <c r="E66" s="354" t="str">
        <f>IF(J50&gt;0,"quilos para área total","-")</f>
        <v>quilos para área total</v>
      </c>
      <c r="F66" s="354"/>
      <c r="G66" s="354"/>
      <c r="H66" s="102" t="s">
        <v>447</v>
      </c>
      <c r="I66" s="102">
        <f>I67*$E$18*$I$18</f>
        <v>7600</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160.00000000000003</v>
      </c>
      <c r="E67" s="332" t="str">
        <f>IF(J50&gt;0,"gramas por planta","-")</f>
        <v>gramas por planta</v>
      </c>
      <c r="F67" s="332"/>
      <c r="G67" s="332"/>
      <c r="H67" s="102" t="s">
        <v>446</v>
      </c>
      <c r="I67" s="102">
        <f>IFERROR((D67/1000)*VLOOKUP(B66,$V$100:$W$179,2,0),0)</f>
        <v>0.24320000000000006</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5.7142857142857144</v>
      </c>
      <c r="E82" s="354" t="str">
        <f>IF(AV40&gt;0,"quilos para área total","-")</f>
        <v>quilos para área total</v>
      </c>
      <c r="F82" s="354"/>
      <c r="G82" s="354"/>
      <c r="H82" s="102" t="s">
        <v>447</v>
      </c>
      <c r="I82" s="102">
        <f>I83*$E$18*$I$18</f>
        <v>31.542857142857141</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0.18285714285714288</v>
      </c>
      <c r="E83" s="332" t="str">
        <f>IF(AV40&gt;0,"gramas por planta","-")</f>
        <v>gramas por planta</v>
      </c>
      <c r="F83" s="332"/>
      <c r="G83" s="332"/>
      <c r="H83" s="102" t="s">
        <v>446</v>
      </c>
      <c r="I83" s="102">
        <f>IFERROR((D83/1000)*VLOOKUP(B82,$V$100:$W$179,2,0),0)</f>
        <v>1.0093714285714288E-3</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9.6000000000000014</v>
      </c>
      <c r="P96" s="26">
        <f>$AC$31</f>
        <v>5.120000000000001</v>
      </c>
      <c r="Q96" s="26">
        <f>$AC$32</f>
        <v>7.6800000000000015</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13437.648894294558</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13437.648894294558</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0.43000476461742604</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0.43000476461742604</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3.2000000000000008E-2</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8.9424338511421744E-2</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90">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6:AR36"/>
    <mergeCell ref="B30:C31"/>
    <mergeCell ref="E30:G30"/>
    <mergeCell ref="AQ30:AR30"/>
    <mergeCell ref="E31:G31"/>
    <mergeCell ref="O31:Q31"/>
    <mergeCell ref="AQ31:AR31"/>
    <mergeCell ref="AP39:AQ39"/>
    <mergeCell ref="AP40:AQ40"/>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M4" sqref="M4:N25"/>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200</v>
      </c>
      <c r="AT5" s="9">
        <f>$AC$31</f>
        <v>190</v>
      </c>
      <c r="AU5" s="9">
        <f>$AC$32</f>
        <v>60</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190.00000000000003</v>
      </c>
      <c r="AU7" s="9">
        <f>IFERROR((VLOOKUP(AQ7,$V$100:$AB$179,7,0)*0.01)*AV7,0)</f>
        <v>0</v>
      </c>
      <c r="AV7" s="9">
        <f>IFERROR($AT$5*Q72/(VLOOKUP(AQ7,$V$100:$AB$179,5,0)/100),0)</f>
        <v>1085.7142857142858</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16</v>
      </c>
      <c r="AL9" s="301">
        <f>(AM9*1000)/$E$18</f>
        <v>16</v>
      </c>
      <c r="AM9" s="302">
        <v>2</v>
      </c>
      <c r="AO9" s="7"/>
      <c r="AP9" s="7"/>
      <c r="AQ9" s="7"/>
      <c r="AR9" s="7"/>
      <c r="AS9" s="28">
        <f>AS5-(SUM(AS6:AS8))</f>
        <v>200</v>
      </c>
      <c r="AT9" s="28">
        <f>AT5-(SUM(AT6:AT8))</f>
        <v>0</v>
      </c>
      <c r="AU9" s="28">
        <f>AU5-(SUM(AU6:AU8))</f>
        <v>60</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200</v>
      </c>
      <c r="AT11" s="9">
        <f t="shared" ref="AT11:AU11" si="0">AT9</f>
        <v>0</v>
      </c>
      <c r="AU11" s="9">
        <f t="shared" si="0"/>
        <v>60</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16</v>
      </c>
      <c r="AM12" s="302">
        <v>2</v>
      </c>
      <c r="AO12" s="7"/>
      <c r="AP12" s="254">
        <v>7</v>
      </c>
      <c r="AQ12" s="295" t="str">
        <f>O79</f>
        <v>Kmag</v>
      </c>
      <c r="AR12" s="295"/>
      <c r="AS12" s="9">
        <f>IFERROR((VLOOKUP(AQ12,$V$100:$AB$179,3,0)*0.01)*AV12,0)</f>
        <v>0</v>
      </c>
      <c r="AT12" s="9">
        <f>IFERROR((VLOOKUP(AQ12,$V$100:$AB$179,5,0)*0.01)*AV12,0)</f>
        <v>0</v>
      </c>
      <c r="AU12" s="9">
        <f>IFERROR((VLOOKUP(AQ12,$V$100:$AB$179,7,0)*0.01)*AV12,0)</f>
        <v>60</v>
      </c>
      <c r="AV12" s="9">
        <f>IFERROR($AU$11*Q79/(VLOOKUP(AQ12,$V$100:$AB$179,7,0)/100),0)</f>
        <v>285.71428571428572</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48</v>
      </c>
      <c r="AM15" s="302">
        <v>6</v>
      </c>
      <c r="AO15" s="7"/>
      <c r="AP15" s="7"/>
      <c r="AQ15" s="7"/>
      <c r="AR15" s="7"/>
      <c r="AS15" s="28">
        <f>AS11-(SUM(AS12:AS14))</f>
        <v>200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200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48</v>
      </c>
      <c r="AM18" s="302">
        <v>6</v>
      </c>
      <c r="AO18" s="7"/>
      <c r="AP18" s="254">
        <v>13</v>
      </c>
      <c r="AQ18" s="295" t="str">
        <f>O87</f>
        <v>Torta de mamona Hortibraz</v>
      </c>
      <c r="AR18" s="295"/>
      <c r="AS18" s="9">
        <f>IFERROR((VLOOKUP(AQ18,$V$100:$AB$179,3,0)*0.01)*AV18,0)</f>
        <v>200</v>
      </c>
      <c r="AT18" s="9">
        <f>IFERROR((VLOOKUP(AQ18,$V$100:$AB$179,5,0)*0.01)*AV18,0)</f>
        <v>0</v>
      </c>
      <c r="AU18" s="9">
        <f>IFERROR((VLOOKUP(AQ18,$V$100:$AB$179,7,0)*0.01)*AV18,0)</f>
        <v>0</v>
      </c>
      <c r="AV18" s="9">
        <f>IFERROR($AS$17*Q87/(VLOOKUP(AQ18,$V$100:$AB$179,3,0)/100),0)</f>
        <v>3333.3333333333335</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11.553684210526312</v>
      </c>
      <c r="J28" s="32">
        <f>J27/10</f>
        <v>0.25789473684210518</v>
      </c>
      <c r="M28" s="246"/>
      <c r="N28" s="241"/>
      <c r="O28" s="241"/>
      <c r="P28" s="241"/>
      <c r="Q28" s="241"/>
      <c r="R28" s="247"/>
      <c r="U28" s="236">
        <v>0</v>
      </c>
      <c r="V28" s="236">
        <v>50</v>
      </c>
      <c r="W28" s="236" t="s">
        <v>68</v>
      </c>
      <c r="X28" s="236" t="str">
        <f>CONCATENATE(U28," - ",W28)</f>
        <v>0 - baixo</v>
      </c>
      <c r="Y28" s="236">
        <v>10</v>
      </c>
      <c r="Z28" s="236">
        <v>10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0</v>
      </c>
      <c r="V29" s="236">
        <v>50</v>
      </c>
      <c r="W29" s="236" t="s">
        <v>69</v>
      </c>
      <c r="X29" s="236" t="str">
        <f t="shared" ref="X29:X42" si="8">CONCATENATE(U29," - ",W29)</f>
        <v>0 - medio</v>
      </c>
      <c r="Y29" s="236">
        <v>10</v>
      </c>
      <c r="Z29" s="236">
        <v>10</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48"/>
      <c r="U30" s="236">
        <v>0</v>
      </c>
      <c r="V30" s="236">
        <v>50</v>
      </c>
      <c r="W30" s="236" t="s">
        <v>70</v>
      </c>
      <c r="X30" s="236" t="str">
        <f t="shared" si="8"/>
        <v>0 - adequado</v>
      </c>
      <c r="Y30" s="236">
        <v>10</v>
      </c>
      <c r="Z30" s="236">
        <v>10</v>
      </c>
      <c r="AB30" s="255" t="s">
        <v>33</v>
      </c>
      <c r="AC30" s="4">
        <f>(VLOOKUP($P$39,$U$28:$V$39,2,0))/AD30</f>
        <v>200</v>
      </c>
      <c r="AD30" s="184">
        <f>'Abacate produção (1)'!AD30</f>
        <v>1</v>
      </c>
      <c r="AE30" s="258" t="s">
        <v>34</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1</v>
      </c>
      <c r="V31" s="236">
        <v>50</v>
      </c>
      <c r="W31" s="236" t="s">
        <v>68</v>
      </c>
      <c r="X31" s="236" t="str">
        <f t="shared" si="8"/>
        <v>1 - baixo</v>
      </c>
      <c r="Y31" s="236">
        <v>100</v>
      </c>
      <c r="Z31" s="236">
        <v>100</v>
      </c>
      <c r="AB31" s="255" t="s">
        <v>66</v>
      </c>
      <c r="AC31" s="255">
        <f>(VLOOKUP(AB36,X28:Z39,2,0))/AD31</f>
        <v>190</v>
      </c>
      <c r="AD31" s="184">
        <f>'Abacate produção (1)'!AD31</f>
        <v>1</v>
      </c>
      <c r="AE31" s="258">
        <v>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48"/>
      <c r="U32" s="236">
        <v>1</v>
      </c>
      <c r="V32" s="236">
        <v>50</v>
      </c>
      <c r="W32" s="236" t="s">
        <v>69</v>
      </c>
      <c r="X32" s="236" t="str">
        <f t="shared" si="8"/>
        <v>1 - medio</v>
      </c>
      <c r="Y32" s="236">
        <v>60</v>
      </c>
      <c r="Z32" s="236">
        <v>60</v>
      </c>
      <c r="AB32" s="255" t="s">
        <v>67</v>
      </c>
      <c r="AC32" s="255">
        <f>(VLOOKUP($AB$39,X28:Z39,3,0))/AD32</f>
        <v>60</v>
      </c>
      <c r="AD32" s="184">
        <f>'Abacate produção (1)'!AD32</f>
        <v>1</v>
      </c>
      <c r="AE32" s="258">
        <v>1</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1</v>
      </c>
      <c r="V33" s="236">
        <v>50</v>
      </c>
      <c r="W33" s="236" t="s">
        <v>70</v>
      </c>
      <c r="X33" s="236" t="str">
        <f t="shared" si="8"/>
        <v>1 - adequado</v>
      </c>
      <c r="Y33" s="236">
        <v>0</v>
      </c>
      <c r="Z33" s="236">
        <v>30</v>
      </c>
      <c r="AE33" s="258">
        <v>2</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2</v>
      </c>
      <c r="V34" s="236">
        <v>140</v>
      </c>
      <c r="W34" s="236" t="s">
        <v>68</v>
      </c>
      <c r="X34" s="236" t="str">
        <f t="shared" si="8"/>
        <v>2 - baixo</v>
      </c>
      <c r="Y34" s="236">
        <v>150</v>
      </c>
      <c r="Z34" s="236">
        <v>150</v>
      </c>
      <c r="AE34" s="258">
        <v>3</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125</v>
      </c>
      <c r="P35" s="17">
        <f>10000/($O$30*$Q$30)</f>
        <v>125</v>
      </c>
      <c r="Q35" s="17" t="e">
        <f>10000/((($O$32/2)+($P$32/2))*$Q$32)</f>
        <v>#DIV/0!</v>
      </c>
      <c r="R35" s="251"/>
      <c r="U35" s="236">
        <v>2</v>
      </c>
      <c r="V35" s="236">
        <v>140</v>
      </c>
      <c r="W35" s="236" t="s">
        <v>69</v>
      </c>
      <c r="X35" s="236" t="str">
        <f t="shared" si="8"/>
        <v>2 - medio</v>
      </c>
      <c r="Y35" s="236">
        <v>100</v>
      </c>
      <c r="Z35" s="236">
        <v>100</v>
      </c>
      <c r="AB35" s="301" t="s">
        <v>72</v>
      </c>
      <c r="AC35" s="301"/>
      <c r="AE35" s="258">
        <v>4</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2</v>
      </c>
      <c r="V36" s="236">
        <v>140</v>
      </c>
      <c r="W36" s="236" t="s">
        <v>70</v>
      </c>
      <c r="X36" s="236" t="str">
        <f t="shared" si="8"/>
        <v>2 - adequado</v>
      </c>
      <c r="Y36" s="236">
        <v>50</v>
      </c>
      <c r="Z36" s="236">
        <v>50</v>
      </c>
      <c r="AB36" s="301" t="str">
        <f>CONCATENATE($P$39," - ",$AD$8)</f>
        <v>3 -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U37" s="236">
        <v>3</v>
      </c>
      <c r="V37" s="236">
        <v>200</v>
      </c>
      <c r="W37" s="236" t="s">
        <v>68</v>
      </c>
      <c r="X37" s="236" t="str">
        <f t="shared" si="8"/>
        <v>3 - baixo</v>
      </c>
      <c r="Y37" s="236">
        <v>190</v>
      </c>
      <c r="Z37" s="236">
        <v>190</v>
      </c>
      <c r="AI37" s="15">
        <v>0.7</v>
      </c>
      <c r="AK37" s="73" t="str">
        <f>'Adubos e corretivos (1)'!E128</f>
        <v>Compostos orgânicos</v>
      </c>
      <c r="AL37" s="105">
        <f>'Adubos e corretivos (1)'!F128</f>
        <v>0.7</v>
      </c>
      <c r="AO37" s="29"/>
      <c r="AP37" s="29"/>
      <c r="AQ37" s="29"/>
      <c r="AR37" s="29"/>
      <c r="AS37" s="28">
        <f>IF(AS24&gt;0,AS24,0)</f>
        <v>16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U38" s="236">
        <v>3</v>
      </c>
      <c r="V38" s="236">
        <v>200</v>
      </c>
      <c r="W38" s="236" t="s">
        <v>69</v>
      </c>
      <c r="X38" s="236" t="str">
        <f t="shared" si="8"/>
        <v>3 - medio</v>
      </c>
      <c r="Y38" s="236">
        <v>130</v>
      </c>
      <c r="Z38" s="236">
        <v>130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236" t="s">
        <v>163</v>
      </c>
      <c r="P39" s="330">
        <v>3</v>
      </c>
      <c r="Q39" s="330"/>
      <c r="R39" s="248"/>
      <c r="U39" s="236">
        <v>3</v>
      </c>
      <c r="V39" s="236">
        <v>200</v>
      </c>
      <c r="W39" s="236" t="s">
        <v>70</v>
      </c>
      <c r="X39" s="236" t="str">
        <f t="shared" si="8"/>
        <v>3 - adequado</v>
      </c>
      <c r="Y39" s="236">
        <v>60</v>
      </c>
      <c r="Z39" s="236">
        <v>60</v>
      </c>
      <c r="AB39" s="301" t="str">
        <f>CONCATENATE($P$39," - ",$AD$22)</f>
        <v>3 -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AI40" s="15">
        <v>1</v>
      </c>
      <c r="AO40" s="7"/>
      <c r="AP40" s="295" t="str">
        <f>O102</f>
        <v>Ácido Bórico</v>
      </c>
      <c r="AQ40" s="295"/>
      <c r="AR40" s="9">
        <f>IFERROR($AS$37/((VLOOKUP(AP40,$V$100:$AO$179,11,0)*0.01)),0)</f>
        <v>91.428571428571416</v>
      </c>
      <c r="AS40" s="9">
        <f>IFERROR($AT$37/((VLOOKUP(AP40,$V$100:$AO$179,14,0)*0.01)),0)</f>
        <v>0</v>
      </c>
      <c r="AT40" s="9">
        <f>IFERROR($AU$37/((VLOOKUP(AP40,$V$100:$AO$179,12,0)*0.01)),0)</f>
        <v>0</v>
      </c>
      <c r="AU40" s="9">
        <f>IFERROR($AV$37/((VLOOKUP(AP40,$V$100:$AO$179,13,0)*0.01)),0)</f>
        <v>0</v>
      </c>
      <c r="AV40" s="9">
        <f>MAX(AR40:AU40)</f>
        <v>91.428571428571416</v>
      </c>
      <c r="AW40" s="9">
        <f>IFERROR(AV40*(VLOOKUP(AP40,$V$100:$AO$179,11,0)*0.01),0)</f>
        <v>16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1085.7142857142858</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(1)'!C121</f>
        <v>70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285.71428571428572</v>
      </c>
      <c r="K47" s="35"/>
      <c r="M47" s="303"/>
      <c r="N47" s="332"/>
      <c r="O47" s="333" t="s">
        <v>442</v>
      </c>
      <c r="P47" s="335"/>
      <c r="Q47" s="18">
        <v>1</v>
      </c>
      <c r="R47" s="248"/>
      <c r="U47" s="236" t="s">
        <v>104</v>
      </c>
      <c r="V47" s="2">
        <f>IFERROR((((V46-P24)*P25)/V49),0)</f>
        <v>2.5789473684210518</v>
      </c>
      <c r="X47" s="336" t="s">
        <v>182</v>
      </c>
      <c r="Y47" s="336"/>
      <c r="Z47" s="2">
        <f>IFERROR((($V$50/$Z$46)*$V$47),0)</f>
        <v>12.725448857697671</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3333.3333333333335</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135.71428571428572</v>
      </c>
      <c r="E51" s="332" t="str">
        <f>IF(J45&gt;0,"quilos para área total","-")</f>
        <v>quilos para área total</v>
      </c>
      <c r="F51" s="332"/>
      <c r="G51" s="332"/>
      <c r="H51" s="102" t="s">
        <v>447</v>
      </c>
      <c r="I51" s="102">
        <f>I52*$E$18*$I$18</f>
        <v>315.53571428571439</v>
      </c>
      <c r="J51" s="33">
        <f>AV19</f>
        <v>0</v>
      </c>
      <c r="K51" s="35"/>
      <c r="L51" s="240"/>
      <c r="M51" s="249"/>
      <c r="N51" s="250"/>
      <c r="O51" s="250"/>
      <c r="P51" s="250"/>
      <c r="Q51" s="250"/>
      <c r="R51" s="251"/>
      <c r="U51" s="236" t="s">
        <v>247</v>
      </c>
      <c r="V51" s="2">
        <f>V48*$Q$47</f>
        <v>2.5789473684210518</v>
      </c>
      <c r="AT51" s="237" t="s">
        <v>264</v>
      </c>
      <c r="AU51" s="96" t="str">
        <f>AK29</f>
        <v>Composto de lixo (COL)</v>
      </c>
      <c r="AV51" s="237">
        <v>12</v>
      </c>
    </row>
    <row r="52" spans="2:50" ht="19.5" customHeight="1" x14ac:dyDescent="0.25">
      <c r="B52" s="327"/>
      <c r="C52" s="327"/>
      <c r="D52" s="109">
        <f>IF(J45&gt;0,J45,"-")</f>
        <v>1085.7142857142858</v>
      </c>
      <c r="E52" s="332" t="str">
        <f>IF(J45&gt;0,"gramas por planta","-")</f>
        <v>gramas por planta</v>
      </c>
      <c r="F52" s="332"/>
      <c r="G52" s="332"/>
      <c r="H52" s="102" t="s">
        <v>446</v>
      </c>
      <c r="I52" s="102">
        <f>IFERROR((D52/1000)*VLOOKUP(B51,$V$100:$W$179,2,0),0)</f>
        <v>2.5242857142857149</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35.714285714285715</v>
      </c>
      <c r="E57" s="354" t="str">
        <f>IF(J47&gt;0,"quilos para área total","-")</f>
        <v>quilos para área total</v>
      </c>
      <c r="F57" s="354"/>
      <c r="G57" s="354"/>
      <c r="H57" s="102" t="s">
        <v>447</v>
      </c>
      <c r="I57" s="102">
        <f>I58*$E$18*$I$18</f>
        <v>103.57142857142857</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285.71428571428572</v>
      </c>
      <c r="E58" s="332" t="str">
        <f>IF(J47&gt;0,"gramas por planta","-")</f>
        <v>gramas por planta</v>
      </c>
      <c r="F58" s="332"/>
      <c r="G58" s="332"/>
      <c r="H58" s="102" t="s">
        <v>446</v>
      </c>
      <c r="I58" s="102">
        <f>IFERROR((D58/1000)*VLOOKUP(B57,$V$100:$W$179,2,0),0)</f>
        <v>0.82857142857142851</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416.66666666666669</v>
      </c>
      <c r="E66" s="354" t="str">
        <f>IF(J50&gt;0,"quilos para área total","-")</f>
        <v>quilos para área total</v>
      </c>
      <c r="F66" s="354"/>
      <c r="G66" s="354"/>
      <c r="H66" s="102" t="s">
        <v>447</v>
      </c>
      <c r="I66" s="102">
        <f>I67*$E$18*$I$18</f>
        <v>633.33333333333337</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3333.3333333333335</v>
      </c>
      <c r="E67" s="332" t="str">
        <f>IF(J50&gt;0,"gramas por planta","-")</f>
        <v>gramas por planta</v>
      </c>
      <c r="F67" s="332"/>
      <c r="G67" s="332"/>
      <c r="H67" s="102" t="s">
        <v>446</v>
      </c>
      <c r="I67" s="102">
        <f>IFERROR((D67/1000)*VLOOKUP(B66,$V$100:$W$179,2,0),0)</f>
        <v>5.0666666666666673</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91.428571428571416</v>
      </c>
      <c r="E83" s="332" t="str">
        <f>IF(AV40&gt;0,"gramas por planta","-")</f>
        <v>gramas por planta</v>
      </c>
      <c r="F83" s="332"/>
      <c r="G83" s="332"/>
      <c r="H83" s="102" t="s">
        <v>446</v>
      </c>
      <c r="I83" s="102">
        <f>IFERROR((D83/1000)*VLOOKUP(B82,$V$100:$W$179,2,0),0)</f>
        <v>0.50468571428571418</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200</v>
      </c>
      <c r="P96" s="26">
        <f>$AC$31</f>
        <v>190</v>
      </c>
      <c r="Q96" s="26">
        <f>$AC$32</f>
        <v>60</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2830.4867167919797</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2830.4867167919797</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22.643893734335837</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22.643893734335837</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16</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disablePrompts="1"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$AE$31:$AE$35</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disablePrompts="1" count="4">
        <x14:dataValidation type="list" allowBlank="1" showInputMessage="1" showErrorMessage="1">
          <x14:formula1>
            <xm:f>'Adubos e corretivos (1)'!$C$104:$C$113</xm:f>
          </x14:formula1>
          <xm:sqref>O56:Q56</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(1)'!$C$3:$C$62</xm:f>
          </x14:formula1>
          <xm:sqref>O71:P73 O79:P81 O87:P89 O117:P143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L8" sqref="L8"/>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7" t="s">
        <v>280</v>
      </c>
      <c r="L4" s="417"/>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640</v>
      </c>
      <c r="AT5" s="9">
        <f>$AC$31</f>
        <v>720</v>
      </c>
      <c r="AU5" s="9">
        <f>$AC$32</f>
        <v>640</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720.00000000000011</v>
      </c>
      <c r="AU7" s="9">
        <f>IFERROR((VLOOKUP(AQ7,$V$100:$AB$179,7,0)*0.01)*AV7,0)</f>
        <v>0</v>
      </c>
      <c r="AV7" s="9">
        <f>IFERROR($AT$5*Q72/(VLOOKUP(AQ7,$V$100:$AB$179,5,0)/100),0)</f>
        <v>4114.2857142857147</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8</v>
      </c>
      <c r="AL9" s="301">
        <f>(AM9*1000)/$E$18</f>
        <v>8</v>
      </c>
      <c r="AM9" s="302">
        <v>1</v>
      </c>
      <c r="AO9" s="7"/>
      <c r="AP9" s="7"/>
      <c r="AQ9" s="7"/>
      <c r="AR9" s="7"/>
      <c r="AS9" s="28">
        <f>AS5-(SUM(AS6:AS8))</f>
        <v>640</v>
      </c>
      <c r="AT9" s="28">
        <f>AT5-(SUM(AT6:AT8))</f>
        <v>0</v>
      </c>
      <c r="AU9" s="28">
        <f>AU5-(SUM(AU6:AU8))</f>
        <v>640</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640</v>
      </c>
      <c r="AT11" s="9">
        <f t="shared" ref="AT11:AU11" si="0">AT9</f>
        <v>0</v>
      </c>
      <c r="AU11" s="9">
        <f t="shared" si="0"/>
        <v>640</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4</v>
      </c>
      <c r="AM12" s="302">
        <v>0.5</v>
      </c>
      <c r="AO12" s="7"/>
      <c r="AP12" s="186">
        <v>7</v>
      </c>
      <c r="AQ12" s="295" t="str">
        <f>O79</f>
        <v>Kmag</v>
      </c>
      <c r="AR12" s="295"/>
      <c r="AS12" s="9">
        <f>IFERROR((VLOOKUP(AQ12,$V$100:$AB$179,3,0)*0.01)*AV12,0)</f>
        <v>0</v>
      </c>
      <c r="AT12" s="9">
        <f>IFERROR((VLOOKUP(AQ12,$V$100:$AB$179,5,0)*0.01)*AV12,0)</f>
        <v>0</v>
      </c>
      <c r="AU12" s="9">
        <f>IFERROR((VLOOKUP(AQ12,$V$100:$AB$179,7,0)*0.01)*AV12,0)</f>
        <v>640</v>
      </c>
      <c r="AV12" s="9">
        <f>IFERROR($AU$11*Q79/(VLOOKUP(AQ12,$V$100:$AB$179,7,0)/100),0)</f>
        <v>3047.6190476190477</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8</v>
      </c>
      <c r="AM15" s="302">
        <v>1</v>
      </c>
      <c r="AO15" s="7"/>
      <c r="AP15" s="7"/>
      <c r="AQ15" s="7"/>
      <c r="AR15" s="7"/>
      <c r="AS15" s="28">
        <f>AS11-(SUM(AS12:AS14))</f>
        <v>640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640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40</v>
      </c>
      <c r="AM18" s="302">
        <v>5</v>
      </c>
      <c r="AO18" s="7"/>
      <c r="AP18" s="186">
        <v>13</v>
      </c>
      <c r="AQ18" s="295" t="str">
        <f>O87</f>
        <v>Torta de mamona Hortibraz</v>
      </c>
      <c r="AR18" s="295"/>
      <c r="AS18" s="9">
        <f>IFERROR((VLOOKUP(AQ18,$V$100:$AB$179,3,0)*0.01)*AV18,0)</f>
        <v>640</v>
      </c>
      <c r="AT18" s="9">
        <f>IFERROR((VLOOKUP(AQ18,$V$100:$AB$179,5,0)*0.01)*AV18,0)</f>
        <v>0</v>
      </c>
      <c r="AU18" s="9">
        <f>IFERROR((VLOOKUP(AQ18,$V$100:$AB$179,7,0)*0.01)*AV18,0)</f>
        <v>0</v>
      </c>
      <c r="AV18" s="9">
        <f>IFERROR($AS$17*Q87/(VLOOKUP(AQ18,$V$100:$AB$179,3,0)/100),0)</f>
        <v>10666.666666666668</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8</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300" t="s">
        <v>281</v>
      </c>
      <c r="V26" s="298"/>
      <c r="W26" s="298"/>
      <c r="X26" s="298"/>
      <c r="Y26" s="298"/>
      <c r="Z26" s="299"/>
      <c r="AO26" s="7"/>
      <c r="AP26" s="326"/>
      <c r="AQ26" s="326"/>
      <c r="AR26" s="326"/>
      <c r="AS26" s="3">
        <f>AK9</f>
        <v>8</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191" t="s">
        <v>271</v>
      </c>
      <c r="V27" s="191" t="s">
        <v>282</v>
      </c>
      <c r="W27" s="191" t="s">
        <v>75</v>
      </c>
      <c r="X27" s="191" t="s">
        <v>71</v>
      </c>
      <c r="Y27" s="191" t="s">
        <v>283</v>
      </c>
      <c r="Z27" s="191"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11.553684210526312</v>
      </c>
      <c r="J28" s="32">
        <f>J27/10</f>
        <v>0.25789473684210518</v>
      </c>
      <c r="M28" s="207"/>
      <c r="N28" s="201"/>
      <c r="O28" s="201"/>
      <c r="P28" s="201"/>
      <c r="Q28" s="201"/>
      <c r="R28" s="208"/>
      <c r="U28" s="191" t="s">
        <v>40</v>
      </c>
      <c r="V28" s="191">
        <v>30000</v>
      </c>
      <c r="W28" s="191" t="s">
        <v>68</v>
      </c>
      <c r="X28" s="191" t="str">
        <f>CONCATENATE(U28," - ",W28)</f>
        <v>&lt; 10 - baixo</v>
      </c>
      <c r="Y28" s="191">
        <v>40000</v>
      </c>
      <c r="Z28" s="191">
        <v>60000</v>
      </c>
      <c r="AE28" s="190" t="s">
        <v>63</v>
      </c>
      <c r="AG28" s="191" t="s">
        <v>63</v>
      </c>
      <c r="AI28" s="15" t="s">
        <v>63</v>
      </c>
      <c r="AK28" s="15" t="s">
        <v>63</v>
      </c>
      <c r="AL28" s="191"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40</v>
      </c>
      <c r="V29" s="191">
        <v>30000</v>
      </c>
      <c r="W29" s="191" t="s">
        <v>69</v>
      </c>
      <c r="X29" s="191" t="str">
        <f t="shared" ref="X29:X42" si="8">CONCATENATE(U29," - ",W29)</f>
        <v>&lt; 10 - medio</v>
      </c>
      <c r="Y29" s="191">
        <v>30000</v>
      </c>
      <c r="Z29" s="191">
        <v>45000</v>
      </c>
      <c r="AB29" s="312" t="s">
        <v>65</v>
      </c>
      <c r="AC29" s="312"/>
      <c r="AE29" s="190" t="s">
        <v>271</v>
      </c>
      <c r="AG29" s="191"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09"/>
      <c r="U30" s="191" t="s">
        <v>40</v>
      </c>
      <c r="V30" s="191">
        <v>30000</v>
      </c>
      <c r="W30" s="191" t="s">
        <v>70</v>
      </c>
      <c r="X30" s="191" t="str">
        <f t="shared" si="8"/>
        <v>&lt; 10 - adequado</v>
      </c>
      <c r="Y30" s="191">
        <v>0</v>
      </c>
      <c r="Z30" s="191">
        <v>30000</v>
      </c>
      <c r="AB30" s="202" t="s">
        <v>33</v>
      </c>
      <c r="AC30" s="4">
        <f>(VLOOKUP($P$39,$U$28:$V$42,2,0)/$E$18)/AD30</f>
        <v>640</v>
      </c>
      <c r="AD30" s="184">
        <f>'Abacate produção (1)'!AD30</f>
        <v>1</v>
      </c>
      <c r="AE30" s="190" t="s">
        <v>34</v>
      </c>
      <c r="AG30" s="191"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286</v>
      </c>
      <c r="V31" s="191">
        <v>40000</v>
      </c>
      <c r="W31" s="191" t="s">
        <v>68</v>
      </c>
      <c r="X31" s="191" t="str">
        <f t="shared" si="8"/>
        <v>10,1 - 20 - baixo</v>
      </c>
      <c r="Y31" s="191">
        <v>50000</v>
      </c>
      <c r="Z31" s="191">
        <v>80000</v>
      </c>
      <c r="AB31" s="202" t="s">
        <v>66</v>
      </c>
      <c r="AC31" s="202">
        <f>(VLOOKUP(AB36,X28:Z42,2,0)/$E$18)/AD31</f>
        <v>720</v>
      </c>
      <c r="AD31" s="184">
        <f>'Abacate produção (1)'!AD31</f>
        <v>1</v>
      </c>
      <c r="AE31" s="190" t="s">
        <v>40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09"/>
      <c r="U32" s="191" t="s">
        <v>286</v>
      </c>
      <c r="V32" s="191">
        <v>40000</v>
      </c>
      <c r="W32" s="191" t="s">
        <v>69</v>
      </c>
      <c r="X32" s="191" t="str">
        <f t="shared" si="8"/>
        <v>10,1 - 20 - medio</v>
      </c>
      <c r="Y32" s="191">
        <v>40000</v>
      </c>
      <c r="Z32" s="191">
        <v>70000</v>
      </c>
      <c r="AB32" s="202" t="s">
        <v>67</v>
      </c>
      <c r="AC32" s="202">
        <f>(VLOOKUP($AB$39,X28:Z42,3,0)/$E$18)/AD32</f>
        <v>640</v>
      </c>
      <c r="AD32" s="184">
        <f>'Abacate produção (1)'!AD32</f>
        <v>1</v>
      </c>
      <c r="AE32" s="190" t="s">
        <v>286</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286</v>
      </c>
      <c r="V33" s="191">
        <v>40000</v>
      </c>
      <c r="W33" s="191" t="s">
        <v>70</v>
      </c>
      <c r="X33" s="191" t="str">
        <f t="shared" si="8"/>
        <v>10,1 - 20 - adequado</v>
      </c>
      <c r="Y33" s="191">
        <v>10000</v>
      </c>
      <c r="Z33" s="191">
        <v>50000</v>
      </c>
      <c r="AE33" s="190" t="s">
        <v>270</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270</v>
      </c>
      <c r="V34" s="191">
        <v>80000</v>
      </c>
      <c r="W34" s="191" t="s">
        <v>68</v>
      </c>
      <c r="X34" s="191" t="str">
        <f t="shared" si="8"/>
        <v>20,1 - 30 - baixo</v>
      </c>
      <c r="Y34" s="191">
        <v>90000</v>
      </c>
      <c r="Z34" s="191">
        <v>140000</v>
      </c>
      <c r="AE34" s="190" t="s">
        <v>287</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125</v>
      </c>
      <c r="P35" s="17">
        <f>10000/($O$30*$Q$30)</f>
        <v>125</v>
      </c>
      <c r="Q35" s="17" t="e">
        <f>10000/((($O$32/2)+($P$32/2))*$Q$32)</f>
        <v>#DIV/0!</v>
      </c>
      <c r="R35" s="211"/>
      <c r="U35" s="191" t="s">
        <v>270</v>
      </c>
      <c r="V35" s="191">
        <v>80000</v>
      </c>
      <c r="W35" s="191" t="s">
        <v>69</v>
      </c>
      <c r="X35" s="191" t="str">
        <f t="shared" si="8"/>
        <v>20,1 - 30 - medio</v>
      </c>
      <c r="Y35" s="191">
        <v>80000</v>
      </c>
      <c r="Z35" s="191">
        <v>120000</v>
      </c>
      <c r="AB35" s="301" t="s">
        <v>72</v>
      </c>
      <c r="AC35" s="301"/>
      <c r="AE35" s="190" t="s">
        <v>288</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91" t="s">
        <v>270</v>
      </c>
      <c r="V36" s="191">
        <v>80000</v>
      </c>
      <c r="W36" s="191" t="s">
        <v>70</v>
      </c>
      <c r="X36" s="191" t="str">
        <f t="shared" si="8"/>
        <v>20,1 - 30 - adequado</v>
      </c>
      <c r="Y36" s="191">
        <v>20000</v>
      </c>
      <c r="Z36" s="191">
        <v>80000</v>
      </c>
      <c r="AB36" s="301" t="str">
        <f>CONCATENATE($P$39," - ",$AD$8)</f>
        <v>20,1 - 30 -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287</v>
      </c>
      <c r="V37" s="191">
        <v>110000</v>
      </c>
      <c r="W37" s="191" t="s">
        <v>68</v>
      </c>
      <c r="X37" s="191" t="str">
        <f t="shared" si="8"/>
        <v>30,1 - 40 - baixo</v>
      </c>
      <c r="Y37" s="191">
        <v>125000</v>
      </c>
      <c r="Z37" s="191">
        <v>200000</v>
      </c>
      <c r="AI37" s="15">
        <v>0.7</v>
      </c>
      <c r="AK37" s="73" t="str">
        <f>'Adubos e corretivos (1)'!E128</f>
        <v>Compostos orgânicos</v>
      </c>
      <c r="AL37" s="105">
        <f>'Adubos e corretivos (1)'!F128</f>
        <v>0.7</v>
      </c>
      <c r="AO37" s="29"/>
      <c r="AP37" s="29"/>
      <c r="AQ37" s="29"/>
      <c r="AR37" s="29"/>
      <c r="AS37" s="28">
        <f>IF(AS24&gt;0,AS24,0)</f>
        <v>8</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287</v>
      </c>
      <c r="V38" s="191">
        <v>110000</v>
      </c>
      <c r="W38" s="191" t="s">
        <v>69</v>
      </c>
      <c r="X38" s="191" t="str">
        <f t="shared" si="8"/>
        <v>30,1 - 40 - medio</v>
      </c>
      <c r="Y38" s="191">
        <v>100000</v>
      </c>
      <c r="Z38" s="191">
        <v>170000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191" t="s">
        <v>274</v>
      </c>
      <c r="P39" s="330" t="s">
        <v>270</v>
      </c>
      <c r="Q39" s="330"/>
      <c r="R39" s="209"/>
      <c r="U39" s="191" t="s">
        <v>287</v>
      </c>
      <c r="V39" s="191">
        <v>110000</v>
      </c>
      <c r="W39" s="191" t="s">
        <v>70</v>
      </c>
      <c r="X39" s="191" t="str">
        <f t="shared" si="8"/>
        <v>30,1 - 40 - adequado</v>
      </c>
      <c r="Y39" s="191">
        <v>25000</v>
      </c>
      <c r="Z39" s="191">
        <v>110000</v>
      </c>
      <c r="AB39" s="301" t="str">
        <f>CONCATENATE($P$39," - ",$AD$22)</f>
        <v>20,1 - 30 -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U40" s="190" t="s">
        <v>288</v>
      </c>
      <c r="V40" s="191">
        <v>140000</v>
      </c>
      <c r="W40" s="191" t="s">
        <v>68</v>
      </c>
      <c r="X40" s="191" t="str">
        <f t="shared" si="8"/>
        <v>40,1 - 50 - baixo</v>
      </c>
      <c r="Y40" s="191">
        <v>160000</v>
      </c>
      <c r="Z40" s="191">
        <v>260000</v>
      </c>
      <c r="AI40" s="15">
        <v>1</v>
      </c>
      <c r="AO40" s="7"/>
      <c r="AP40" s="295" t="str">
        <f>O102</f>
        <v>Ácido Bórico</v>
      </c>
      <c r="AQ40" s="295"/>
      <c r="AR40" s="9">
        <f>IFERROR($AS$37/((VLOOKUP(AP40,$V$100:$AO$179,11,0)*0.01)),0)</f>
        <v>45.714285714285708</v>
      </c>
      <c r="AS40" s="9">
        <f>IFERROR($AT$37/((VLOOKUP(AP40,$V$100:$AO$179,14,0)*0.01)),0)</f>
        <v>0</v>
      </c>
      <c r="AT40" s="9">
        <f>IFERROR($AU$37/((VLOOKUP(AP40,$V$100:$AO$179,12,0)*0.01)),0)</f>
        <v>0</v>
      </c>
      <c r="AU40" s="9">
        <f>IFERROR($AV$37/((VLOOKUP(AP40,$V$100:$AO$179,13,0)*0.01)),0)</f>
        <v>0</v>
      </c>
      <c r="AV40" s="9">
        <f>MAX(AR40:AU40)</f>
        <v>45.714285714285708</v>
      </c>
      <c r="AW40" s="9">
        <f>IFERROR(AV40*(VLOOKUP(AP40,$V$100:$AO$179,11,0)*0.01),0)</f>
        <v>8</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U41" s="190" t="s">
        <v>288</v>
      </c>
      <c r="V41" s="191">
        <v>140000</v>
      </c>
      <c r="W41" s="191" t="s">
        <v>69</v>
      </c>
      <c r="X41" s="191" t="str">
        <f t="shared" si="8"/>
        <v>40,1 - 50 - medio</v>
      </c>
      <c r="Y41" s="191">
        <v>130000</v>
      </c>
      <c r="Z41" s="191">
        <v>210000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U42" s="190" t="s">
        <v>288</v>
      </c>
      <c r="V42" s="191">
        <v>140000</v>
      </c>
      <c r="W42" s="191" t="s">
        <v>70</v>
      </c>
      <c r="X42" s="191" t="str">
        <f t="shared" si="8"/>
        <v>40,1 - 50 - adequado</v>
      </c>
      <c r="Y42" s="191">
        <v>30000</v>
      </c>
      <c r="Z42" s="191">
        <v>140000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4114.2857142857147</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31">
        <f>'Adubos e corretivos (1)'!C121</f>
        <v>70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3047.6190476190477</v>
      </c>
      <c r="K47" s="35"/>
      <c r="M47" s="303"/>
      <c r="N47" s="332"/>
      <c r="O47" s="333" t="s">
        <v>442</v>
      </c>
      <c r="P47" s="335"/>
      <c r="Q47" s="18">
        <v>1</v>
      </c>
      <c r="R47" s="209"/>
      <c r="U47" s="191" t="s">
        <v>104</v>
      </c>
      <c r="V47" s="2">
        <f>IFERROR((((V46-P24)*P25)/V49),0)</f>
        <v>2.5789473684210518</v>
      </c>
      <c r="X47" s="336" t="s">
        <v>182</v>
      </c>
      <c r="Y47" s="336"/>
      <c r="Z47" s="2">
        <f>IFERROR((($V$50/$Z$46)*$V$47),0)</f>
        <v>12.725448857697671</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10666.666666666668</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514.28571428571433</v>
      </c>
      <c r="E51" s="332" t="str">
        <f>IF(J45&gt;0,"quilos para área total","-")</f>
        <v>quilos para área total</v>
      </c>
      <c r="F51" s="332"/>
      <c r="G51" s="332"/>
      <c r="H51" s="102" t="s">
        <v>447</v>
      </c>
      <c r="I51" s="102">
        <f>I52*$E$18*$I$18</f>
        <v>1195.714285714286</v>
      </c>
      <c r="J51" s="33">
        <f>AV19</f>
        <v>0</v>
      </c>
      <c r="K51" s="35"/>
      <c r="L51" s="188"/>
      <c r="M51" s="210"/>
      <c r="N51" s="200"/>
      <c r="O51" s="200"/>
      <c r="P51" s="200"/>
      <c r="Q51" s="200"/>
      <c r="R51" s="211"/>
      <c r="U51" s="191" t="s">
        <v>247</v>
      </c>
      <c r="V51" s="2">
        <f>V48*$Q$47</f>
        <v>2.5789473684210518</v>
      </c>
      <c r="AT51" s="187" t="s">
        <v>264</v>
      </c>
      <c r="AU51" s="96" t="str">
        <f>AK29</f>
        <v>Composto de lixo (COL)</v>
      </c>
      <c r="AV51" s="187">
        <v>12</v>
      </c>
    </row>
    <row r="52" spans="2:50" ht="19.5" customHeight="1" x14ac:dyDescent="0.25">
      <c r="B52" s="327"/>
      <c r="C52" s="327"/>
      <c r="D52" s="109">
        <f>IF(J45&gt;0,J45,"-")</f>
        <v>4114.2857142857147</v>
      </c>
      <c r="E52" s="332" t="str">
        <f>IF(J45&gt;0,"gramas por planta","-")</f>
        <v>gramas por planta</v>
      </c>
      <c r="F52" s="332"/>
      <c r="G52" s="332"/>
      <c r="H52" s="102" t="s">
        <v>446</v>
      </c>
      <c r="I52" s="102">
        <f>IFERROR((D52/1000)*VLOOKUP(B51,$V$100:$W$179,2,0),0)</f>
        <v>9.5657142857142876</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380.95238095238096</v>
      </c>
      <c r="E57" s="354" t="str">
        <f>IF(J47&gt;0,"quilos para área total","-")</f>
        <v>quilos para área total</v>
      </c>
      <c r="F57" s="354"/>
      <c r="G57" s="354"/>
      <c r="H57" s="102" t="s">
        <v>447</v>
      </c>
      <c r="I57" s="102">
        <f>I58*$E$18*$I$18</f>
        <v>1104.7619047619048</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3047.6190476190477</v>
      </c>
      <c r="E58" s="332" t="str">
        <f>IF(J47&gt;0,"gramas por planta","-")</f>
        <v>gramas por planta</v>
      </c>
      <c r="F58" s="332"/>
      <c r="G58" s="332"/>
      <c r="H58" s="102" t="s">
        <v>446</v>
      </c>
      <c r="I58" s="102">
        <f>IFERROR((D58/1000)*VLOOKUP(B57,$V$100:$W$179,2,0),0)</f>
        <v>8.8380952380952387</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1333.3333333333335</v>
      </c>
      <c r="E66" s="354" t="str">
        <f>IF(J50&gt;0,"quilos para área total","-")</f>
        <v>quilos para área total</v>
      </c>
      <c r="F66" s="354"/>
      <c r="G66" s="354"/>
      <c r="H66" s="102" t="s">
        <v>447</v>
      </c>
      <c r="I66" s="102">
        <f>I67*$E$18*$I$18</f>
        <v>2026.6666666666667</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10666.666666666668</v>
      </c>
      <c r="E67" s="332" t="str">
        <f>IF(J50&gt;0,"gramas por planta","-")</f>
        <v>gramas por planta</v>
      </c>
      <c r="F67" s="332"/>
      <c r="G67" s="332"/>
      <c r="H67" s="102" t="s">
        <v>446</v>
      </c>
      <c r="I67" s="102">
        <f>IFERROR((D67/1000)*VLOOKUP(B66,$V$100:$W$179,2,0),0)</f>
        <v>16.213333333333335</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45.714285714285708</v>
      </c>
      <c r="E83" s="332" t="str">
        <f>IF(AV40&gt;0,"gramas por planta","-")</f>
        <v>gramas por planta</v>
      </c>
      <c r="F83" s="332"/>
      <c r="G83" s="332"/>
      <c r="H83" s="102" t="s">
        <v>446</v>
      </c>
      <c r="I83" s="102">
        <f>IFERROR((D83/1000)*VLOOKUP(B82,$V$100:$W$179,2,0),0)</f>
        <v>0.25234285714285709</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640</v>
      </c>
      <c r="P96" s="26">
        <f>$AC$31</f>
        <v>720</v>
      </c>
      <c r="Q96" s="26">
        <f>$AC$32</f>
        <v>640</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6073.6462406015044</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6073.6462406015044</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48.589169924812033</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48.589169924812033</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8</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90">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6:AR36"/>
    <mergeCell ref="B30:C31"/>
    <mergeCell ref="E30:G30"/>
    <mergeCell ref="AQ30:AR30"/>
    <mergeCell ref="E31:G31"/>
    <mergeCell ref="O31:Q31"/>
    <mergeCell ref="AQ31:AR31"/>
    <mergeCell ref="AP39:AQ39"/>
    <mergeCell ref="AP40:AQ40"/>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70</v>
      </c>
      <c r="AT5" s="9">
        <f>$AC$31</f>
        <v>40</v>
      </c>
      <c r="AU5" s="9">
        <f>$AC$32</f>
        <v>120</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40.000000000000007</v>
      </c>
      <c r="AU7" s="9">
        <f>IFERROR((VLOOKUP(AQ7,$V$100:$AB$179,7,0)*0.01)*AV7,0)</f>
        <v>0</v>
      </c>
      <c r="AV7" s="9">
        <f>IFERROR($AT$5*Q72/(VLOOKUP(AQ7,$V$100:$AB$179,5,0)/100),0)</f>
        <v>228.57142857142858</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1.2</v>
      </c>
      <c r="AL9" s="301">
        <f>(AM9*1000)/$E$18</f>
        <v>1.2</v>
      </c>
      <c r="AM9" s="302">
        <v>2</v>
      </c>
      <c r="AO9" s="7"/>
      <c r="AP9" s="7"/>
      <c r="AQ9" s="7"/>
      <c r="AR9" s="7"/>
      <c r="AS9" s="28">
        <f>AS5-(SUM(AS6:AS8))</f>
        <v>70</v>
      </c>
      <c r="AT9" s="28">
        <f>AT5-(SUM(AT6:AT8))</f>
        <v>0</v>
      </c>
      <c r="AU9" s="28">
        <f>AU5-(SUM(AU6:AU8))</f>
        <v>120</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70</v>
      </c>
      <c r="AT11" s="9">
        <f t="shared" ref="AT11:AU11" si="0">AT9</f>
        <v>0</v>
      </c>
      <c r="AU11" s="9">
        <f t="shared" si="0"/>
        <v>120</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1.2</v>
      </c>
      <c r="AM12" s="302">
        <v>2</v>
      </c>
      <c r="AO12" s="7"/>
      <c r="AP12" s="254">
        <v>7</v>
      </c>
      <c r="AQ12" s="295" t="str">
        <f>O79</f>
        <v>Kmag</v>
      </c>
      <c r="AR12" s="295"/>
      <c r="AS12" s="9">
        <f>IFERROR((VLOOKUP(AQ12,$V$100:$AB$179,3,0)*0.01)*AV12,0)</f>
        <v>0</v>
      </c>
      <c r="AT12" s="9">
        <f>IFERROR((VLOOKUP(AQ12,$V$100:$AB$179,5,0)*0.01)*AV12,0)</f>
        <v>0</v>
      </c>
      <c r="AU12" s="9">
        <f>IFERROR((VLOOKUP(AQ12,$V$100:$AB$179,7,0)*0.01)*AV12,0)</f>
        <v>120</v>
      </c>
      <c r="AV12" s="9">
        <f>IFERROR($AU$11*Q79/(VLOOKUP(AQ12,$V$100:$AB$179,7,0)/100),0)</f>
        <v>571.42857142857144</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3.5999999999999996</v>
      </c>
      <c r="AM15" s="302">
        <v>6</v>
      </c>
      <c r="AO15" s="7"/>
      <c r="AP15" s="7"/>
      <c r="AQ15" s="7"/>
      <c r="AR15" s="7"/>
      <c r="AS15" s="28">
        <f>AS11-(SUM(AS12:AS14))</f>
        <v>70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70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1666.6666666666667</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3.5999999999999996</v>
      </c>
      <c r="AM18" s="302">
        <v>6</v>
      </c>
      <c r="AO18" s="7"/>
      <c r="AP18" s="254">
        <v>13</v>
      </c>
      <c r="AQ18" s="295" t="str">
        <f>O87</f>
        <v>Torta de mamona Hortibraz</v>
      </c>
      <c r="AR18" s="295"/>
      <c r="AS18" s="9">
        <f>IFERROR((VLOOKUP(AQ18,$V$100:$AB$179,3,0)*0.01)*AV18,0)</f>
        <v>70</v>
      </c>
      <c r="AT18" s="9">
        <f>IFERROR((VLOOKUP(AQ18,$V$100:$AB$179,5,0)*0.01)*AV18,0)</f>
        <v>0</v>
      </c>
      <c r="AU18" s="9">
        <f>IFERROR((VLOOKUP(AQ18,$V$100:$AB$179,7,0)*0.01)*AV18,0)</f>
        <v>0</v>
      </c>
      <c r="AV18" s="9">
        <f>IFERROR($AS$17*Q87/(VLOOKUP(AQ18,$V$100:$AB$179,3,0)/100),0)</f>
        <v>1166.6666666666667</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1.2</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1.2</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0.86652631578947326</v>
      </c>
      <c r="J28" s="32">
        <f>J27/10</f>
        <v>0.25789473684210518</v>
      </c>
      <c r="M28" s="246"/>
      <c r="N28" s="241"/>
      <c r="O28" s="241"/>
      <c r="P28" s="241"/>
      <c r="Q28" s="241"/>
      <c r="R28" s="247"/>
      <c r="U28" s="236">
        <v>30</v>
      </c>
      <c r="V28" s="236">
        <v>35</v>
      </c>
      <c r="W28" s="236" t="s">
        <v>68</v>
      </c>
      <c r="X28" s="236" t="str">
        <f>CONCATENATE(U28," - ",W28)</f>
        <v>30 - baixo</v>
      </c>
      <c r="Y28" s="236">
        <v>20</v>
      </c>
      <c r="Z28" s="236">
        <v>60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30</v>
      </c>
      <c r="V29" s="236">
        <v>35</v>
      </c>
      <c r="W29" s="236" t="s">
        <v>69</v>
      </c>
      <c r="X29" s="236" t="str">
        <f t="shared" ref="X29:X42" si="8">CONCATENATE(U29," - ",W29)</f>
        <v>30 - medio</v>
      </c>
      <c r="Y29" s="236">
        <v>20</v>
      </c>
      <c r="Z29" s="236">
        <v>60</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c r="P30" s="4" t="s">
        <v>179</v>
      </c>
      <c r="Q30" s="5"/>
      <c r="R30" s="248"/>
      <c r="U30" s="236">
        <v>30</v>
      </c>
      <c r="V30" s="236">
        <v>35</v>
      </c>
      <c r="W30" s="236" t="s">
        <v>70</v>
      </c>
      <c r="X30" s="236" t="str">
        <f t="shared" si="8"/>
        <v>30 - adequado</v>
      </c>
      <c r="Y30" s="236">
        <v>20</v>
      </c>
      <c r="Z30" s="236">
        <v>60</v>
      </c>
      <c r="AB30" s="255" t="s">
        <v>33</v>
      </c>
      <c r="AC30" s="4">
        <f>(VLOOKUP($P$39,$U$28:$V$36,2,0))/AD30</f>
        <v>70</v>
      </c>
      <c r="AD30" s="184">
        <f>'Abacate formação (1)'!AD30</f>
        <v>1</v>
      </c>
      <c r="AE30" s="258" t="s">
        <v>295</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60</v>
      </c>
      <c r="V31" s="236">
        <v>70</v>
      </c>
      <c r="W31" s="236" t="s">
        <v>68</v>
      </c>
      <c r="X31" s="236" t="str">
        <f t="shared" si="8"/>
        <v>60 - baixo</v>
      </c>
      <c r="Y31" s="236">
        <v>40</v>
      </c>
      <c r="Z31" s="236">
        <v>120</v>
      </c>
      <c r="AB31" s="255" t="s">
        <v>66</v>
      </c>
      <c r="AC31" s="255">
        <f>(VLOOKUP(AB36,X28:Z36,2,0))/AD31</f>
        <v>40</v>
      </c>
      <c r="AD31" s="184">
        <f>'Abacate formação (1)'!AD31</f>
        <v>1</v>
      </c>
      <c r="AE31" s="258">
        <v>30</v>
      </c>
      <c r="AG31" s="16">
        <f>10000/((($O$32/2)+($P$32/2))*$Q$32)</f>
        <v>1666.6666666666667</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v>4</v>
      </c>
      <c r="P32" s="5">
        <v>2</v>
      </c>
      <c r="Q32" s="5">
        <v>2</v>
      </c>
      <c r="R32" s="248"/>
      <c r="U32" s="236">
        <v>60</v>
      </c>
      <c r="V32" s="236">
        <v>70</v>
      </c>
      <c r="W32" s="236" t="s">
        <v>69</v>
      </c>
      <c r="X32" s="236" t="str">
        <f t="shared" si="8"/>
        <v>60 - medio</v>
      </c>
      <c r="Y32" s="236">
        <v>40</v>
      </c>
      <c r="Z32" s="236">
        <v>120</v>
      </c>
      <c r="AB32" s="255" t="s">
        <v>67</v>
      </c>
      <c r="AC32" s="255">
        <f>(VLOOKUP($AB$39,X28:Z36,3,0))/AD32</f>
        <v>120</v>
      </c>
      <c r="AD32" s="184">
        <f>'Abacate formação (1)'!AD32</f>
        <v>1</v>
      </c>
      <c r="AE32" s="258">
        <v>60</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60</v>
      </c>
      <c r="V33" s="236">
        <v>70</v>
      </c>
      <c r="W33" s="236" t="s">
        <v>70</v>
      </c>
      <c r="X33" s="236" t="str">
        <f t="shared" si="8"/>
        <v>60 - adequado</v>
      </c>
      <c r="Y33" s="236">
        <v>40</v>
      </c>
      <c r="Z33" s="236">
        <v>120</v>
      </c>
      <c r="AE33" s="258">
        <v>120</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120</v>
      </c>
      <c r="V34" s="236">
        <v>70</v>
      </c>
      <c r="W34" s="236" t="s">
        <v>68</v>
      </c>
      <c r="X34" s="236" t="str">
        <f t="shared" si="8"/>
        <v>120 - baixo</v>
      </c>
      <c r="Y34" s="236">
        <v>40</v>
      </c>
      <c r="Z34" s="236">
        <v>120</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1666.6666666666667</v>
      </c>
      <c r="P35" s="17" t="e">
        <f>10000/($O$30*$Q$30)</f>
        <v>#DIV/0!</v>
      </c>
      <c r="Q35" s="17">
        <f>10000/((($O$32/2)+($P$32/2))*$Q$32)</f>
        <v>1666.6666666666667</v>
      </c>
      <c r="R35" s="251"/>
      <c r="U35" s="236">
        <v>120</v>
      </c>
      <c r="V35" s="236">
        <v>70</v>
      </c>
      <c r="W35" s="236" t="s">
        <v>69</v>
      </c>
      <c r="X35" s="236" t="str">
        <f t="shared" si="8"/>
        <v>120 - medio</v>
      </c>
      <c r="Y35" s="236">
        <v>40</v>
      </c>
      <c r="Z35" s="236">
        <v>120</v>
      </c>
      <c r="AB35" s="301" t="s">
        <v>72</v>
      </c>
      <c r="AC35" s="301"/>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120</v>
      </c>
      <c r="V36" s="236">
        <v>70</v>
      </c>
      <c r="W36" s="236" t="s">
        <v>70</v>
      </c>
      <c r="X36" s="236" t="str">
        <f t="shared" si="8"/>
        <v>120 - adequado</v>
      </c>
      <c r="Y36" s="236">
        <v>40</v>
      </c>
      <c r="Z36" s="236">
        <v>120</v>
      </c>
      <c r="AB36" s="301" t="str">
        <f>CONCATENATE($P$39," - ",$AD$8)</f>
        <v>120 -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AI37" s="15">
        <v>0.7</v>
      </c>
      <c r="AK37" s="73" t="str">
        <f>'Adubos e corretivos (1)'!E128</f>
        <v>Compostos orgânicos</v>
      </c>
      <c r="AL37" s="105">
        <f>'Adubos e corretivos (1)'!F128</f>
        <v>0.7</v>
      </c>
      <c r="AO37" s="29"/>
      <c r="AP37" s="29"/>
      <c r="AQ37" s="29"/>
      <c r="AR37" s="29"/>
      <c r="AS37" s="28">
        <f>IF(AS24&gt;0,AS24,0)</f>
        <v>1.2</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0.16244999999999998</v>
      </c>
      <c r="J39" s="33">
        <f>J38/10</f>
        <v>35.625</v>
      </c>
      <c r="K39" s="35"/>
      <c r="M39" s="303"/>
      <c r="N39" s="332"/>
      <c r="O39" s="236" t="s">
        <v>295</v>
      </c>
      <c r="P39" s="330">
        <v>120</v>
      </c>
      <c r="Q39" s="330"/>
      <c r="R39" s="248"/>
      <c r="AB39" s="301" t="str">
        <f>CONCATENATE($P$39," - ",$AD$22)</f>
        <v>120 -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AI40" s="15">
        <v>1</v>
      </c>
      <c r="AO40" s="7"/>
      <c r="AP40" s="295" t="str">
        <f>O102</f>
        <v>Ácido Bórico</v>
      </c>
      <c r="AQ40" s="295"/>
      <c r="AR40" s="9">
        <f>IFERROR($AS$37/((VLOOKUP(AP40,$V$100:$AO$179,11,0)*0.01)),0)</f>
        <v>6.8571428571428559</v>
      </c>
      <c r="AS40" s="9">
        <f>IFERROR($AT$37/((VLOOKUP(AP40,$V$100:$AO$179,14,0)*0.01)),0)</f>
        <v>0</v>
      </c>
      <c r="AT40" s="9">
        <f>IFERROR($AU$37/((VLOOKUP(AP40,$V$100:$AO$179,12,0)*0.01)),0)</f>
        <v>0</v>
      </c>
      <c r="AU40" s="9">
        <f>IFERROR($AV$37/((VLOOKUP(AP40,$V$100:$AO$179,13,0)*0.01)),0)</f>
        <v>0</v>
      </c>
      <c r="AV40" s="9">
        <f>MAX(AR40:AU40)</f>
        <v>6.8571428571428559</v>
      </c>
      <c r="AW40" s="9">
        <f>IFERROR(AV40*(VLOOKUP(AP40,$V$100:$AO$179,11,0)*0.01),0)</f>
        <v>1.2</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228.57142857142858</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(1)'!C122</f>
        <v>70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571.42857142857144</v>
      </c>
      <c r="K47" s="35"/>
      <c r="M47" s="303"/>
      <c r="N47" s="332"/>
      <c r="O47" s="333" t="s">
        <v>442</v>
      </c>
      <c r="P47" s="335"/>
      <c r="Q47" s="18">
        <v>1</v>
      </c>
      <c r="R47" s="248"/>
      <c r="U47" s="236" t="s">
        <v>104</v>
      </c>
      <c r="V47" s="2">
        <f>IFERROR((((V46-P24)*P25)/V49),0)</f>
        <v>2.5789473684210518</v>
      </c>
      <c r="X47" s="336" t="s">
        <v>182</v>
      </c>
      <c r="Y47" s="336"/>
      <c r="Z47" s="2">
        <f>IFERROR((($V$50/$Z$46)*$V$47),0)</f>
        <v>12.725448857697671</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1166.6666666666667</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380.95238095238102</v>
      </c>
      <c r="E51" s="332" t="str">
        <f>IF(J45&gt;0,"quilos para área total","-")</f>
        <v>quilos para área total</v>
      </c>
      <c r="F51" s="332"/>
      <c r="G51" s="332"/>
      <c r="H51" s="102" t="s">
        <v>447</v>
      </c>
      <c r="I51" s="102">
        <f>I52*$E$18*$I$18</f>
        <v>885.71428571428578</v>
      </c>
      <c r="J51" s="33">
        <f>AV19</f>
        <v>0</v>
      </c>
      <c r="K51" s="35"/>
      <c r="L51" s="240"/>
      <c r="M51" s="249"/>
      <c r="N51" s="250"/>
      <c r="O51" s="250"/>
      <c r="P51" s="250"/>
      <c r="Q51" s="250"/>
      <c r="R51" s="251"/>
      <c r="U51" s="236" t="s">
        <v>247</v>
      </c>
      <c r="V51" s="2">
        <f>V48*$Q$47</f>
        <v>2.5789473684210518</v>
      </c>
      <c r="AT51" s="237" t="s">
        <v>264</v>
      </c>
      <c r="AU51" s="96" t="str">
        <f>AK29</f>
        <v>Composto de lixo (COL)</v>
      </c>
      <c r="AV51" s="237">
        <v>12</v>
      </c>
    </row>
    <row r="52" spans="2:50" ht="19.5" customHeight="1" x14ac:dyDescent="0.25">
      <c r="B52" s="327"/>
      <c r="C52" s="327"/>
      <c r="D52" s="109">
        <f>IF(J45&gt;0,J45,"-")</f>
        <v>228.57142857142858</v>
      </c>
      <c r="E52" s="332" t="str">
        <f>IF(J45&gt;0,"gramas por planta","-")</f>
        <v>gramas por planta</v>
      </c>
      <c r="F52" s="332"/>
      <c r="G52" s="332"/>
      <c r="H52" s="102" t="s">
        <v>446</v>
      </c>
      <c r="I52" s="102">
        <f>IFERROR((D52/1000)*VLOOKUP(B51,$V$100:$W$179,2,0),0)</f>
        <v>0.53142857142857147</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952.38095238095241</v>
      </c>
      <c r="E57" s="354" t="str">
        <f>IF(J47&gt;0,"quilos para área total","-")</f>
        <v>quilos para área total</v>
      </c>
      <c r="F57" s="354"/>
      <c r="G57" s="354"/>
      <c r="H57" s="102" t="s">
        <v>447</v>
      </c>
      <c r="I57" s="102">
        <f>I58*$E$18*$I$18</f>
        <v>2761.9047619047619</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571.42857142857144</v>
      </c>
      <c r="E58" s="332" t="str">
        <f>IF(J47&gt;0,"gramas por planta","-")</f>
        <v>gramas por planta</v>
      </c>
      <c r="F58" s="332"/>
      <c r="G58" s="332"/>
      <c r="H58" s="102" t="s">
        <v>446</v>
      </c>
      <c r="I58" s="102">
        <f>IFERROR((D58/1000)*VLOOKUP(B57,$V$100:$W$179,2,0),0)</f>
        <v>1.657142857142857</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1944.4444444444446</v>
      </c>
      <c r="E66" s="354" t="str">
        <f>IF(J50&gt;0,"quilos para área total","-")</f>
        <v>quilos para área total</v>
      </c>
      <c r="F66" s="354"/>
      <c r="G66" s="354"/>
      <c r="H66" s="102" t="s">
        <v>447</v>
      </c>
      <c r="I66" s="102">
        <f>I67*$E$18*$I$18</f>
        <v>2955.5555555555557</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1166.6666666666667</v>
      </c>
      <c r="E67" s="332" t="str">
        <f>IF(J50&gt;0,"gramas por planta","-")</f>
        <v>gramas por planta</v>
      </c>
      <c r="F67" s="332"/>
      <c r="G67" s="332"/>
      <c r="H67" s="102" t="s">
        <v>446</v>
      </c>
      <c r="I67" s="102">
        <f>IFERROR((D67/1000)*VLOOKUP(B66,$V$100:$W$179,2,0),0)</f>
        <v>1.7733333333333334</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6.8571428571428559</v>
      </c>
      <c r="E83" s="332" t="str">
        <f>IF(AV40&gt;0,"gramas por planta","-")</f>
        <v>gramas por planta</v>
      </c>
      <c r="F83" s="332"/>
      <c r="G83" s="332"/>
      <c r="H83" s="102" t="s">
        <v>446</v>
      </c>
      <c r="I83" s="102">
        <f>IFERROR((D83/1000)*VLOOKUP(B82,$V$100:$W$179,2,0),0)</f>
        <v>3.7851428571428564E-2</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70</v>
      </c>
      <c r="P96" s="26">
        <f>$AC$31</f>
        <v>40</v>
      </c>
      <c r="Q96" s="26">
        <f>$AC$32</f>
        <v>120</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8381.2208437761055</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8381.2208437761055</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5.0287325062656638</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5.0287325062656638</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1.2</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1.6767063470891572</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$AE$31:$AE$33</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(1)'!$C$104:$C$113</xm:f>
          </x14:formula1>
          <xm:sqref>O56:Q56</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(1)'!$C$3:$C$62</xm:f>
          </x14:formula1>
          <xm:sqref>O71:P73 O79:P81 O87:P89 O117:P143</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M4" sqref="M4:N25"/>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138</v>
      </c>
      <c r="AT5" s="9">
        <f>$AC$31</f>
        <v>66</v>
      </c>
      <c r="AU5" s="9">
        <f>$AC$32</f>
        <v>162</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66.000000000000014</v>
      </c>
      <c r="AU7" s="9">
        <f>IFERROR((VLOOKUP(AQ7,$V$100:$AB$179,7,0)*0.01)*AV7,0)</f>
        <v>0</v>
      </c>
      <c r="AV7" s="9">
        <f>IFERROR($AT$5*Q72/(VLOOKUP(AQ7,$V$100:$AB$179,5,0)/100),0)</f>
        <v>377.14285714285717</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0.6</v>
      </c>
      <c r="AL9" s="301">
        <f>(AM9*1000)/$E$18</f>
        <v>0.6</v>
      </c>
      <c r="AM9" s="302">
        <v>1</v>
      </c>
      <c r="AO9" s="7"/>
      <c r="AP9" s="7"/>
      <c r="AQ9" s="7"/>
      <c r="AR9" s="7"/>
      <c r="AS9" s="28">
        <f>AS5-(SUM(AS6:AS8))</f>
        <v>138</v>
      </c>
      <c r="AT9" s="28">
        <f>AT5-(SUM(AT6:AT8))</f>
        <v>0</v>
      </c>
      <c r="AU9" s="28">
        <f>AU5-(SUM(AU6:AU8))</f>
        <v>162</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138</v>
      </c>
      <c r="AT11" s="9">
        <f t="shared" ref="AT11:AU11" si="0">AT9</f>
        <v>0</v>
      </c>
      <c r="AU11" s="9">
        <f t="shared" si="0"/>
        <v>162</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0.3</v>
      </c>
      <c r="AM12" s="302">
        <v>0.5</v>
      </c>
      <c r="AO12" s="7"/>
      <c r="AP12" s="186">
        <v>7</v>
      </c>
      <c r="AQ12" s="295" t="str">
        <f>O79</f>
        <v>Kmag</v>
      </c>
      <c r="AR12" s="295"/>
      <c r="AS12" s="9">
        <f>IFERROR((VLOOKUP(AQ12,$V$100:$AB$179,3,0)*0.01)*AV12,0)</f>
        <v>0</v>
      </c>
      <c r="AT12" s="9">
        <f>IFERROR((VLOOKUP(AQ12,$V$100:$AB$179,5,0)*0.01)*AV12,0)</f>
        <v>0</v>
      </c>
      <c r="AU12" s="9">
        <f>IFERROR((VLOOKUP(AQ12,$V$100:$AB$179,7,0)*0.01)*AV12,0)</f>
        <v>162</v>
      </c>
      <c r="AV12" s="9">
        <f>IFERROR($AU$11*Q79/(VLOOKUP(AQ12,$V$100:$AB$179,7,0)/100),0)</f>
        <v>771.42857142857144</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0.6</v>
      </c>
      <c r="AM15" s="302">
        <v>1</v>
      </c>
      <c r="AO15" s="7"/>
      <c r="AP15" s="7"/>
      <c r="AQ15" s="7"/>
      <c r="AR15" s="7"/>
      <c r="AS15" s="28">
        <f>AS11-(SUM(AS12:AS14))</f>
        <v>138</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138</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1666.6666666666667</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3</v>
      </c>
      <c r="AM18" s="302">
        <v>5</v>
      </c>
      <c r="AO18" s="7"/>
      <c r="AP18" s="186">
        <v>13</v>
      </c>
      <c r="AQ18" s="295" t="str">
        <f>O87</f>
        <v>Torta de mamona Hortibraz</v>
      </c>
      <c r="AR18" s="295"/>
      <c r="AS18" s="9">
        <f>IFERROR((VLOOKUP(AQ18,$V$100:$AB$179,3,0)*0.01)*AV18,0)</f>
        <v>138</v>
      </c>
      <c r="AT18" s="9">
        <f>IFERROR((VLOOKUP(AQ18,$V$100:$AB$179,5,0)*0.01)*AV18,0)</f>
        <v>0</v>
      </c>
      <c r="AU18" s="9">
        <f>IFERROR((VLOOKUP(AQ18,$V$100:$AB$179,7,0)*0.01)*AV18,0)</f>
        <v>0</v>
      </c>
      <c r="AV18" s="9">
        <f>IFERROR($AS$17*Q87/(VLOOKUP(AQ18,$V$100:$AB$179,3,0)/100),0)</f>
        <v>2300</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0.6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U25" s="191" t="s">
        <v>271</v>
      </c>
      <c r="V25" s="191" t="s">
        <v>282</v>
      </c>
      <c r="W25" s="191" t="s">
        <v>75</v>
      </c>
      <c r="X25" s="191" t="s">
        <v>71</v>
      </c>
      <c r="Y25" s="191" t="s">
        <v>283</v>
      </c>
      <c r="Z25" s="191" t="s">
        <v>284</v>
      </c>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191" t="s">
        <v>50</v>
      </c>
      <c r="V26" s="191">
        <v>130000</v>
      </c>
      <c r="W26" s="193" t="s">
        <v>68</v>
      </c>
      <c r="X26" s="191" t="str">
        <f>CONCATENATE(U26," - ",W26)</f>
        <v>&lt; 20 - baixo</v>
      </c>
      <c r="Y26" s="191">
        <v>60000</v>
      </c>
      <c r="Z26" s="191">
        <v>230000</v>
      </c>
      <c r="AO26" s="7"/>
      <c r="AP26" s="326"/>
      <c r="AQ26" s="326"/>
      <c r="AR26" s="326"/>
      <c r="AS26" s="3">
        <f>AK9</f>
        <v>0.6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191" t="s">
        <v>50</v>
      </c>
      <c r="V27" s="191">
        <v>130000</v>
      </c>
      <c r="W27" s="193" t="s">
        <v>69</v>
      </c>
      <c r="X27" s="191" t="str">
        <f t="shared" ref="X27:X43" si="4">CONCATENATE(U27," - ",W27)</f>
        <v>&lt; 20 - medio</v>
      </c>
      <c r="Y27" s="191">
        <v>40000</v>
      </c>
      <c r="Z27" s="191">
        <v>190000</v>
      </c>
      <c r="AO27" s="7"/>
      <c r="AP27" s="295" t="s">
        <v>235</v>
      </c>
      <c r="AQ27" s="295" t="str">
        <f>B30</f>
        <v xml:space="preserve">Pó de brita Fmx (62) 3924 8565 </v>
      </c>
      <c r="AR27" s="295"/>
      <c r="AS27" s="9">
        <f t="shared" ref="AS27:AS36" si="5">IFERROR(VLOOKUP(AQ27,$V$100:$AL$179,11,0)*0.01*VLOOKUP(AQ27,$B$27:$J$52,9,0),0)</f>
        <v>0</v>
      </c>
      <c r="AT27" s="9">
        <f t="shared" ref="AT27:AT36" si="6">IFERROR(VLOOKUP(AQ27,$V$100:$AL$179,12,0)*0.01*VLOOKUP(AQ27,$B$27:$J$52,9,0),0)</f>
        <v>0</v>
      </c>
      <c r="AU27" s="9">
        <f t="shared" ref="AU27:AU36" si="7">IFERROR(VLOOKUP(AQ27,$V$100:$AL$179,13,0)*0.01*VLOOKUP(AQ27,$B$27:$J$52,9,0),0)</f>
        <v>0</v>
      </c>
      <c r="AV27" s="9">
        <f t="shared" ref="AV27:AV36" si="8">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0.86652631578947326</v>
      </c>
      <c r="J28" s="32">
        <f>J27/10</f>
        <v>0.25789473684210518</v>
      </c>
      <c r="M28" s="207"/>
      <c r="N28" s="201"/>
      <c r="O28" s="201"/>
      <c r="P28" s="201"/>
      <c r="Q28" s="201"/>
      <c r="R28" s="208"/>
      <c r="U28" s="191" t="s">
        <v>50</v>
      </c>
      <c r="V28" s="191">
        <v>130000</v>
      </c>
      <c r="W28" s="193" t="s">
        <v>70</v>
      </c>
      <c r="X28" s="191" t="str">
        <f t="shared" si="4"/>
        <v>&lt; 20 - adequado</v>
      </c>
      <c r="Y28" s="191">
        <v>20000</v>
      </c>
      <c r="Z28" s="191">
        <v>150000</v>
      </c>
      <c r="AE28" s="191" t="s">
        <v>63</v>
      </c>
      <c r="AG28" s="191" t="s">
        <v>63</v>
      </c>
      <c r="AI28" s="15" t="s">
        <v>63</v>
      </c>
      <c r="AK28" s="15" t="s">
        <v>63</v>
      </c>
      <c r="AL28" s="191" t="s">
        <v>77</v>
      </c>
      <c r="AO28" s="7"/>
      <c r="AP28" s="295"/>
      <c r="AQ28" s="295" t="str">
        <f>B48</f>
        <v>-</v>
      </c>
      <c r="AR28" s="295"/>
      <c r="AS28" s="9">
        <f t="shared" si="5"/>
        <v>0</v>
      </c>
      <c r="AT28" s="9">
        <f t="shared" si="6"/>
        <v>0</v>
      </c>
      <c r="AU28" s="9">
        <f t="shared" si="7"/>
        <v>0</v>
      </c>
      <c r="AV28" s="9">
        <f t="shared" si="8"/>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270</v>
      </c>
      <c r="V29" s="191">
        <v>160000</v>
      </c>
      <c r="W29" s="193" t="s">
        <v>68</v>
      </c>
      <c r="X29" s="191" t="str">
        <f t="shared" si="4"/>
        <v>20,1 - 30 - baixo</v>
      </c>
      <c r="Y29" s="191">
        <v>80000</v>
      </c>
      <c r="Z29" s="191">
        <v>290000</v>
      </c>
      <c r="AB29" s="312" t="s">
        <v>65</v>
      </c>
      <c r="AC29" s="312"/>
      <c r="AE29" s="191" t="s">
        <v>271</v>
      </c>
      <c r="AG29" s="191" t="s">
        <v>170</v>
      </c>
      <c r="AI29" s="15"/>
      <c r="AK29" s="73" t="str">
        <f>'Adubos e corretivos (1)'!E120</f>
        <v>Composto de lixo (COL)</v>
      </c>
      <c r="AL29" s="105">
        <f>'Adubos e corretivos (1)'!F120</f>
        <v>0.15</v>
      </c>
      <c r="AO29" s="7"/>
      <c r="AP29" s="295"/>
      <c r="AQ29" s="295" t="str">
        <f>B51</f>
        <v>Termofosfato YOORIN</v>
      </c>
      <c r="AR29" s="295"/>
      <c r="AS29" s="9">
        <f t="shared" si="5"/>
        <v>0</v>
      </c>
      <c r="AT29" s="9">
        <f t="shared" si="6"/>
        <v>0</v>
      </c>
      <c r="AU29" s="9">
        <f t="shared" si="7"/>
        <v>0</v>
      </c>
      <c r="AV29" s="9">
        <f t="shared" si="8"/>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c r="P30" s="4" t="s">
        <v>179</v>
      </c>
      <c r="Q30" s="5"/>
      <c r="R30" s="209"/>
      <c r="U30" s="191" t="s">
        <v>270</v>
      </c>
      <c r="V30" s="191">
        <v>160000</v>
      </c>
      <c r="W30" s="193" t="s">
        <v>69</v>
      </c>
      <c r="X30" s="191" t="str">
        <f t="shared" si="4"/>
        <v>20,1 - 30 - medio</v>
      </c>
      <c r="Y30" s="191">
        <v>50000</v>
      </c>
      <c r="Z30" s="191">
        <v>240000</v>
      </c>
      <c r="AB30" s="202" t="s">
        <v>33</v>
      </c>
      <c r="AC30" s="4">
        <f>(VLOOKUP($P$39,$U$26:$V$40,2,0)/$E$18)/AD30</f>
        <v>138</v>
      </c>
      <c r="AD30" s="184">
        <f>'Abacate produção (1)'!AD30</f>
        <v>1</v>
      </c>
      <c r="AE30" s="191" t="s">
        <v>34</v>
      </c>
      <c r="AG30" s="191" t="s">
        <v>171</v>
      </c>
      <c r="AI30" s="15">
        <v>0</v>
      </c>
      <c r="AK30" s="76" t="str">
        <f>'Adubos e corretivos (1)'!E121</f>
        <v>Cama de frango corte</v>
      </c>
      <c r="AL30" s="106">
        <f>'Adubos e corretivos (1)'!F121</f>
        <v>0.25</v>
      </c>
      <c r="AO30" s="7"/>
      <c r="AP30" s="295"/>
      <c r="AQ30" s="295" t="str">
        <f>B54</f>
        <v>-</v>
      </c>
      <c r="AR30" s="295"/>
      <c r="AS30" s="9">
        <f t="shared" si="5"/>
        <v>0</v>
      </c>
      <c r="AT30" s="9">
        <f t="shared" si="6"/>
        <v>0</v>
      </c>
      <c r="AU30" s="9">
        <f t="shared" si="7"/>
        <v>0</v>
      </c>
      <c r="AV30" s="9">
        <f t="shared" si="8"/>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270</v>
      </c>
      <c r="V31" s="191">
        <v>160000</v>
      </c>
      <c r="W31" s="193" t="s">
        <v>70</v>
      </c>
      <c r="X31" s="191" t="str">
        <f t="shared" si="4"/>
        <v>20,1 - 30 - adequado</v>
      </c>
      <c r="Y31" s="191">
        <v>30000</v>
      </c>
      <c r="Z31" s="191">
        <v>190000</v>
      </c>
      <c r="AB31" s="202" t="s">
        <v>66</v>
      </c>
      <c r="AC31" s="202">
        <f>(VLOOKUP(AB36,X26:Z40,2,0)/$E$18)/AD31</f>
        <v>66</v>
      </c>
      <c r="AD31" s="184">
        <f>'Abacate produção (1)'!AD31</f>
        <v>1</v>
      </c>
      <c r="AE31" s="191" t="s">
        <v>50</v>
      </c>
      <c r="AG31" s="16">
        <f>10000/((($O$32/2)+($P$32/2))*$Q$32)</f>
        <v>1666.6666666666667</v>
      </c>
      <c r="AI31" s="15">
        <v>0.1</v>
      </c>
      <c r="AK31" s="73" t="str">
        <f>'Adubos e corretivos (1)'!E122</f>
        <v>Esterco de galinha</v>
      </c>
      <c r="AL31" s="105">
        <f>'Adubos e corretivos (1)'!F122</f>
        <v>0.25</v>
      </c>
      <c r="AO31" s="7"/>
      <c r="AP31" s="295"/>
      <c r="AQ31" s="295" t="str">
        <f>B57</f>
        <v>Kmag</v>
      </c>
      <c r="AR31" s="295"/>
      <c r="AS31" s="9">
        <f t="shared" si="5"/>
        <v>0</v>
      </c>
      <c r="AT31" s="9">
        <f t="shared" si="6"/>
        <v>0</v>
      </c>
      <c r="AU31" s="9">
        <f t="shared" si="7"/>
        <v>0</v>
      </c>
      <c r="AV31" s="9">
        <f t="shared" si="8"/>
        <v>0</v>
      </c>
      <c r="AW31" s="7"/>
      <c r="AX31" s="7"/>
      <c r="AY31" s="7"/>
      <c r="AZ31" s="7"/>
      <c r="BA31" s="7"/>
      <c r="BB31" s="7"/>
    </row>
    <row r="32" spans="2:54" ht="19.5" customHeight="1" x14ac:dyDescent="0.25">
      <c r="M32" s="303"/>
      <c r="N32" s="304"/>
      <c r="O32" s="5">
        <v>4</v>
      </c>
      <c r="P32" s="5">
        <v>2</v>
      </c>
      <c r="Q32" s="5">
        <v>2</v>
      </c>
      <c r="R32" s="209"/>
      <c r="U32" s="191" t="s">
        <v>287</v>
      </c>
      <c r="V32" s="191">
        <v>230000</v>
      </c>
      <c r="W32" s="193" t="s">
        <v>68</v>
      </c>
      <c r="X32" s="191" t="str">
        <f t="shared" si="4"/>
        <v>30,1 - 40 - baixo</v>
      </c>
      <c r="Y32" s="191">
        <v>110000</v>
      </c>
      <c r="Z32" s="191">
        <v>410000</v>
      </c>
      <c r="AB32" s="202" t="s">
        <v>67</v>
      </c>
      <c r="AC32" s="202">
        <f>(VLOOKUP($AB$39,X26:Z40,3,0)/$E$18)/AD32</f>
        <v>162</v>
      </c>
      <c r="AD32" s="184">
        <f>'Abacate produção (1)'!AD32</f>
        <v>1</v>
      </c>
      <c r="AE32" s="191" t="s">
        <v>270</v>
      </c>
      <c r="AI32" s="15">
        <v>0.2</v>
      </c>
      <c r="AK32" s="76" t="str">
        <f>'Adubos e corretivos (1)'!E123</f>
        <v>Esterco Bovino curtido</v>
      </c>
      <c r="AL32" s="106">
        <f>'Adubos e corretivos (1)'!F123</f>
        <v>0.25</v>
      </c>
      <c r="AO32" s="7"/>
      <c r="AP32" s="295"/>
      <c r="AQ32" s="295" t="str">
        <f>B60</f>
        <v>-</v>
      </c>
      <c r="AR32" s="295"/>
      <c r="AS32" s="9">
        <f t="shared" si="5"/>
        <v>0</v>
      </c>
      <c r="AT32" s="9">
        <f t="shared" si="6"/>
        <v>0</v>
      </c>
      <c r="AU32" s="9">
        <f t="shared" si="7"/>
        <v>0</v>
      </c>
      <c r="AV32" s="9">
        <f t="shared" si="8"/>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287</v>
      </c>
      <c r="V33" s="191">
        <v>230000</v>
      </c>
      <c r="W33" s="193" t="s">
        <v>69</v>
      </c>
      <c r="X33" s="191" t="str">
        <f t="shared" si="4"/>
        <v>30,1 - 40 - medio</v>
      </c>
      <c r="Y33" s="191">
        <v>70000</v>
      </c>
      <c r="Z33" s="191">
        <v>340000</v>
      </c>
      <c r="AE33" s="191" t="s">
        <v>287</v>
      </c>
      <c r="AI33" s="15">
        <v>0.3</v>
      </c>
      <c r="AK33" s="73" t="str">
        <f>'Adubos e corretivos (1)'!E124</f>
        <v>Esterco de equino</v>
      </c>
      <c r="AL33" s="105">
        <f>'Adubos e corretivos (1)'!F124</f>
        <v>0.12</v>
      </c>
      <c r="AO33" s="7"/>
      <c r="AP33" s="295"/>
      <c r="AQ33" s="295" t="str">
        <f>B63</f>
        <v>-</v>
      </c>
      <c r="AR33" s="295"/>
      <c r="AS33" s="9">
        <f t="shared" si="5"/>
        <v>0</v>
      </c>
      <c r="AT33" s="9">
        <f t="shared" si="6"/>
        <v>0</v>
      </c>
      <c r="AU33" s="9">
        <f t="shared" si="7"/>
        <v>0</v>
      </c>
      <c r="AV33" s="9">
        <f t="shared" si="8"/>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287</v>
      </c>
      <c r="V34" s="191">
        <v>230000</v>
      </c>
      <c r="W34" s="193" t="s">
        <v>70</v>
      </c>
      <c r="X34" s="191" t="str">
        <f t="shared" si="4"/>
        <v>30,1 - 40 - adequado</v>
      </c>
      <c r="Y34" s="191">
        <v>40000</v>
      </c>
      <c r="Z34" s="191">
        <v>270000</v>
      </c>
      <c r="AE34" s="191" t="s">
        <v>288</v>
      </c>
      <c r="AI34" s="15">
        <v>0.4</v>
      </c>
      <c r="AK34" s="76" t="str">
        <f>'Adubos e corretivos (1)'!E125</f>
        <v>Esterco de suínos</v>
      </c>
      <c r="AL34" s="106">
        <f>'Adubos e corretivos (1)'!F125</f>
        <v>0.04</v>
      </c>
      <c r="AO34" s="7"/>
      <c r="AP34" s="295"/>
      <c r="AQ34" s="295" t="str">
        <f>B66</f>
        <v>Torta de mamona Hortibraz</v>
      </c>
      <c r="AR34" s="295"/>
      <c r="AS34" s="9">
        <f t="shared" si="5"/>
        <v>0</v>
      </c>
      <c r="AT34" s="9">
        <f t="shared" si="6"/>
        <v>0</v>
      </c>
      <c r="AU34" s="9">
        <f t="shared" si="7"/>
        <v>0</v>
      </c>
      <c r="AV34" s="9">
        <f t="shared" si="8"/>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1666.6666666666667</v>
      </c>
      <c r="P35" s="17" t="e">
        <f>10000/($O$30*$Q$30)</f>
        <v>#DIV/0!</v>
      </c>
      <c r="Q35" s="17">
        <f>10000/((($O$32/2)+($P$32/2))*$Q$32)</f>
        <v>1666.6666666666667</v>
      </c>
      <c r="R35" s="211"/>
      <c r="U35" s="191" t="s">
        <v>288</v>
      </c>
      <c r="V35" s="191">
        <v>300000</v>
      </c>
      <c r="W35" s="193" t="s">
        <v>68</v>
      </c>
      <c r="X35" s="191" t="str">
        <f t="shared" si="4"/>
        <v>40,1 - 50 - baixo</v>
      </c>
      <c r="Y35" s="191">
        <v>140000</v>
      </c>
      <c r="Z35" s="191">
        <v>520000</v>
      </c>
      <c r="AB35" s="301" t="s">
        <v>72</v>
      </c>
      <c r="AC35" s="301"/>
      <c r="AE35" s="191" t="s">
        <v>296</v>
      </c>
      <c r="AI35" s="15">
        <v>0.5</v>
      </c>
      <c r="AK35" s="73" t="str">
        <f>'Adubos e corretivos (1)'!E126</f>
        <v>Esterco de ovinos</v>
      </c>
      <c r="AL35" s="105">
        <f>'Adubos e corretivos (1)'!F126</f>
        <v>0.04</v>
      </c>
      <c r="AO35" s="7"/>
      <c r="AP35" s="295"/>
      <c r="AQ35" s="295" t="str">
        <f>B69</f>
        <v>-</v>
      </c>
      <c r="AR35" s="295"/>
      <c r="AS35" s="9">
        <f t="shared" si="5"/>
        <v>0</v>
      </c>
      <c r="AT35" s="9">
        <f t="shared" si="6"/>
        <v>0</v>
      </c>
      <c r="AU35" s="9">
        <f t="shared" si="7"/>
        <v>0</v>
      </c>
      <c r="AV35" s="9">
        <f t="shared" si="8"/>
        <v>0</v>
      </c>
      <c r="AW35" s="7"/>
      <c r="AX35" s="7"/>
      <c r="AY35" s="7"/>
      <c r="AZ35" s="7"/>
      <c r="BA35" s="7"/>
      <c r="BB35" s="7"/>
    </row>
    <row r="36" spans="2:57" ht="19.5" customHeight="1" thickBot="1" x14ac:dyDescent="0.3">
      <c r="J36" s="12"/>
      <c r="K36" s="35"/>
      <c r="M36" s="331"/>
      <c r="N36" s="331"/>
      <c r="O36" s="331"/>
      <c r="P36" s="331"/>
      <c r="Q36" s="331"/>
      <c r="R36" s="331"/>
      <c r="U36" s="191" t="s">
        <v>288</v>
      </c>
      <c r="V36" s="191">
        <v>300000</v>
      </c>
      <c r="W36" s="193" t="s">
        <v>69</v>
      </c>
      <c r="X36" s="191" t="str">
        <f t="shared" si="4"/>
        <v>40,1 - 50 - medio</v>
      </c>
      <c r="Y36" s="191">
        <v>90000</v>
      </c>
      <c r="Z36" s="191">
        <v>430000</v>
      </c>
      <c r="AB36" s="301" t="str">
        <f>CONCATENATE($P$39," - ",$AD$8)</f>
        <v>30,1 - 40 - baixo</v>
      </c>
      <c r="AC36" s="301"/>
      <c r="AE36" s="191" t="s">
        <v>463</v>
      </c>
      <c r="AI36" s="15">
        <v>0.6</v>
      </c>
      <c r="AK36" s="76" t="str">
        <f>'Adubos e corretivos (1)'!E127</f>
        <v>Lodo de esgosto</v>
      </c>
      <c r="AL36" s="106">
        <f>'Adubos e corretivos (1)'!F127</f>
        <v>0.1</v>
      </c>
      <c r="AO36" s="7"/>
      <c r="AP36" s="295"/>
      <c r="AQ36" s="295" t="str">
        <f>B72</f>
        <v>-</v>
      </c>
      <c r="AR36" s="295"/>
      <c r="AS36" s="9">
        <f t="shared" si="5"/>
        <v>0</v>
      </c>
      <c r="AT36" s="9">
        <f t="shared" si="6"/>
        <v>0</v>
      </c>
      <c r="AU36" s="9">
        <f t="shared" si="7"/>
        <v>0</v>
      </c>
      <c r="AV36" s="9">
        <f t="shared" si="8"/>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288</v>
      </c>
      <c r="V37" s="191">
        <v>300000</v>
      </c>
      <c r="W37" s="193" t="s">
        <v>70</v>
      </c>
      <c r="X37" s="191" t="str">
        <f t="shared" si="4"/>
        <v>40,1 - 50 - adequado</v>
      </c>
      <c r="Y37" s="191">
        <v>50000</v>
      </c>
      <c r="Z37" s="191">
        <v>340000</v>
      </c>
      <c r="AI37" s="15">
        <v>0.7</v>
      </c>
      <c r="AK37" s="73" t="str">
        <f>'Adubos e corretivos (1)'!E128</f>
        <v>Compostos orgânicos</v>
      </c>
      <c r="AL37" s="105">
        <f>'Adubos e corretivos (1)'!F128</f>
        <v>0.7</v>
      </c>
      <c r="AO37" s="29"/>
      <c r="AP37" s="29"/>
      <c r="AQ37" s="29"/>
      <c r="AR37" s="29"/>
      <c r="AS37" s="28">
        <f>IF(AS24&gt;0,AS24,0)</f>
        <v>0.6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296</v>
      </c>
      <c r="V38" s="191">
        <v>370000</v>
      </c>
      <c r="W38" s="193" t="s">
        <v>68</v>
      </c>
      <c r="X38" s="191" t="str">
        <f t="shared" si="4"/>
        <v>50,1 - 60 - baixo</v>
      </c>
      <c r="Y38" s="191">
        <v>170000</v>
      </c>
      <c r="Z38" s="191">
        <v>620000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0.16244999999999998</v>
      </c>
      <c r="J39" s="33">
        <f>J38/10</f>
        <v>35.625</v>
      </c>
      <c r="K39" s="35"/>
      <c r="M39" s="303"/>
      <c r="N39" s="332"/>
      <c r="O39" s="191" t="s">
        <v>274</v>
      </c>
      <c r="P39" s="330" t="s">
        <v>287</v>
      </c>
      <c r="Q39" s="330"/>
      <c r="R39" s="209"/>
      <c r="U39" s="191" t="s">
        <v>296</v>
      </c>
      <c r="V39" s="191">
        <v>370000</v>
      </c>
      <c r="W39" s="193" t="s">
        <v>69</v>
      </c>
      <c r="X39" s="191" t="str">
        <f t="shared" si="4"/>
        <v>50,1 - 60 - medio</v>
      </c>
      <c r="Y39" s="191">
        <v>110000</v>
      </c>
      <c r="Z39" s="191">
        <v>520000</v>
      </c>
      <c r="AB39" s="301" t="str">
        <f>CONCATENATE($P$39," - ",$AD$22)</f>
        <v>30,1 - 40 -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U40" s="191" t="s">
        <v>296</v>
      </c>
      <c r="V40" s="191">
        <v>370000</v>
      </c>
      <c r="W40" s="193" t="s">
        <v>70</v>
      </c>
      <c r="X40" s="191" t="str">
        <f t="shared" si="4"/>
        <v>50,1 - 60 - adequado</v>
      </c>
      <c r="Y40" s="191">
        <v>60000</v>
      </c>
      <c r="Z40" s="191">
        <v>420000</v>
      </c>
      <c r="AI40" s="15">
        <v>1</v>
      </c>
      <c r="AO40" s="7"/>
      <c r="AP40" s="295" t="str">
        <f>O102</f>
        <v>Ácido Bórico</v>
      </c>
      <c r="AQ40" s="295"/>
      <c r="AR40" s="9">
        <f>IFERROR($AS$37/((VLOOKUP(AP40,$V$100:$AO$179,11,0)*0.01)),0)</f>
        <v>3.4285714285714279</v>
      </c>
      <c r="AS40" s="9">
        <f>IFERROR($AT$37/((VLOOKUP(AP40,$V$100:$AO$179,14,0)*0.01)),0)</f>
        <v>0</v>
      </c>
      <c r="AT40" s="9">
        <f>IFERROR($AU$37/((VLOOKUP(AP40,$V$100:$AO$179,12,0)*0.01)),0)</f>
        <v>0</v>
      </c>
      <c r="AU40" s="9">
        <f>IFERROR($AV$37/((VLOOKUP(AP40,$V$100:$AO$179,13,0)*0.01)),0)</f>
        <v>0</v>
      </c>
      <c r="AV40" s="9">
        <f>MAX(AR40:AU40)</f>
        <v>3.4285714285714279</v>
      </c>
      <c r="AW40" s="9">
        <f>IFERROR(AV40*(VLOOKUP(AP40,$V$100:$AO$179,11,0)*0.01),0)</f>
        <v>0.6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U41" s="191" t="s">
        <v>463</v>
      </c>
      <c r="V41" s="191">
        <v>440000</v>
      </c>
      <c r="W41" s="193" t="s">
        <v>68</v>
      </c>
      <c r="X41" s="191" t="str">
        <f t="shared" si="4"/>
        <v>60,1 - 70 - baixo</v>
      </c>
      <c r="Y41" s="191">
        <v>200000</v>
      </c>
      <c r="Z41" s="191">
        <v>740000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U42" s="191" t="s">
        <v>463</v>
      </c>
      <c r="V42" s="191">
        <v>440000</v>
      </c>
      <c r="W42" s="193" t="s">
        <v>69</v>
      </c>
      <c r="X42" s="191" t="str">
        <f t="shared" si="4"/>
        <v>60,1 - 70 - medio</v>
      </c>
      <c r="Y42" s="191">
        <v>130000</v>
      </c>
      <c r="Z42" s="191">
        <v>620000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U43" s="191" t="s">
        <v>463</v>
      </c>
      <c r="V43" s="191">
        <v>440000</v>
      </c>
      <c r="W43" s="193" t="s">
        <v>70</v>
      </c>
      <c r="X43" s="191" t="str">
        <f t="shared" si="4"/>
        <v>60,1 - 70 - adequado</v>
      </c>
      <c r="Y43" s="191">
        <v>70000</v>
      </c>
      <c r="Z43" s="191">
        <v>480000</v>
      </c>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377.14285714285717</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2">
        <f>'Adubos e corretivos (1)'!C122</f>
        <v>70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771.42857142857144</v>
      </c>
      <c r="K47" s="35"/>
      <c r="M47" s="303"/>
      <c r="N47" s="332"/>
      <c r="O47" s="333" t="s">
        <v>442</v>
      </c>
      <c r="P47" s="335"/>
      <c r="Q47" s="18">
        <v>1</v>
      </c>
      <c r="R47" s="209"/>
      <c r="U47" s="191" t="s">
        <v>104</v>
      </c>
      <c r="V47" s="2">
        <f>IFERROR((((V46-P24)*P25)/V49),0)</f>
        <v>2.5789473684210518</v>
      </c>
      <c r="X47" s="336" t="s">
        <v>182</v>
      </c>
      <c r="Y47" s="336"/>
      <c r="Z47" s="2">
        <f>IFERROR((($V$50/$Z$46)*$V$47),0)</f>
        <v>12.725448857697671</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2300</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628.57142857142867</v>
      </c>
      <c r="E51" s="332" t="str">
        <f>IF(J45&gt;0,"quilos para área total","-")</f>
        <v>quilos para área total</v>
      </c>
      <c r="F51" s="332"/>
      <c r="G51" s="332"/>
      <c r="H51" s="102" t="s">
        <v>447</v>
      </c>
      <c r="I51" s="102">
        <f>I52*$E$18*$I$18</f>
        <v>1461.4285714285718</v>
      </c>
      <c r="J51" s="33">
        <f>AV19</f>
        <v>0</v>
      </c>
      <c r="K51" s="35"/>
      <c r="L51" s="188"/>
      <c r="M51" s="210"/>
      <c r="N51" s="200"/>
      <c r="O51" s="200"/>
      <c r="P51" s="200"/>
      <c r="Q51" s="200"/>
      <c r="R51" s="211"/>
      <c r="U51" s="191" t="s">
        <v>247</v>
      </c>
      <c r="V51" s="2">
        <f>V48*$Q$47</f>
        <v>2.5789473684210518</v>
      </c>
      <c r="AT51" s="187" t="s">
        <v>264</v>
      </c>
      <c r="AU51" s="96" t="str">
        <f>AK29</f>
        <v>Composto de lixo (COL)</v>
      </c>
      <c r="AV51" s="187">
        <v>12</v>
      </c>
    </row>
    <row r="52" spans="2:50" ht="19.5" customHeight="1" x14ac:dyDescent="0.25">
      <c r="B52" s="327"/>
      <c r="C52" s="327"/>
      <c r="D52" s="109">
        <f>IF(J45&gt;0,J45,"-")</f>
        <v>377.14285714285717</v>
      </c>
      <c r="E52" s="332" t="str">
        <f>IF(J45&gt;0,"gramas por planta","-")</f>
        <v>gramas por planta</v>
      </c>
      <c r="F52" s="332"/>
      <c r="G52" s="332"/>
      <c r="H52" s="102" t="s">
        <v>446</v>
      </c>
      <c r="I52" s="102">
        <f>IFERROR((D52/1000)*VLOOKUP(B51,$V$100:$W$179,2,0),0)</f>
        <v>0.876857142857143</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1285.7142857142858</v>
      </c>
      <c r="E57" s="354" t="str">
        <f>IF(J47&gt;0,"quilos para área total","-")</f>
        <v>quilos para área total</v>
      </c>
      <c r="F57" s="354"/>
      <c r="G57" s="354"/>
      <c r="H57" s="102" t="s">
        <v>447</v>
      </c>
      <c r="I57" s="102">
        <f>I58*$E$18*$I$18</f>
        <v>3728.5714285714289</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771.42857142857144</v>
      </c>
      <c r="E58" s="332" t="str">
        <f>IF(J47&gt;0,"gramas por planta","-")</f>
        <v>gramas por planta</v>
      </c>
      <c r="F58" s="332"/>
      <c r="G58" s="332"/>
      <c r="H58" s="102" t="s">
        <v>446</v>
      </c>
      <c r="I58" s="102">
        <f>IFERROR((D58/1000)*VLOOKUP(B57,$V$100:$W$179,2,0),0)</f>
        <v>2.2371428571428571</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3833.333333333333</v>
      </c>
      <c r="E66" s="354" t="str">
        <f>IF(J50&gt;0,"quilos para área total","-")</f>
        <v>quilos para área total</v>
      </c>
      <c r="F66" s="354"/>
      <c r="G66" s="354"/>
      <c r="H66" s="102" t="s">
        <v>447</v>
      </c>
      <c r="I66" s="102">
        <f>I67*$E$18*$I$18</f>
        <v>5826.6666666666661</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2300</v>
      </c>
      <c r="E67" s="332" t="str">
        <f>IF(J50&gt;0,"gramas por planta","-")</f>
        <v>gramas por planta</v>
      </c>
      <c r="F67" s="332"/>
      <c r="G67" s="332"/>
      <c r="H67" s="102" t="s">
        <v>446</v>
      </c>
      <c r="I67" s="102">
        <f>IFERROR((D67/1000)*VLOOKUP(B66,$V$100:$W$179,2,0),0)</f>
        <v>3.4959999999999996</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3.4285714285714279</v>
      </c>
      <c r="E83" s="332" t="str">
        <f>IF(AV40&gt;0,"gramas por planta","-")</f>
        <v>gramas por planta</v>
      </c>
      <c r="F83" s="332"/>
      <c r="G83" s="332"/>
      <c r="H83" s="102" t="s">
        <v>446</v>
      </c>
      <c r="I83" s="102">
        <f>IFERROR((D83/1000)*VLOOKUP(B82,$V$100:$W$179,2,0),0)</f>
        <v>1.8925714285714282E-2</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138</v>
      </c>
      <c r="P96" s="26">
        <f>$AC$31</f>
        <v>66</v>
      </c>
      <c r="Q96" s="26">
        <f>$AC$32</f>
        <v>162</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12763.170050125313</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12763.170050125313</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7.6579020300751877</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7.6579020300751877</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0.6</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1.6767063470891572</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89">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30:C31"/>
    <mergeCell ref="E30:G30"/>
    <mergeCell ref="AQ30:AR30"/>
    <mergeCell ref="E31:G31"/>
    <mergeCell ref="O31:Q31"/>
    <mergeCell ref="AQ31:AR31"/>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B26:I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AQ36:AR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$AE$31:$AE$36</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340</v>
      </c>
      <c r="AT5" s="9">
        <f>$AC$31</f>
        <v>4</v>
      </c>
      <c r="AU5" s="9">
        <f>$AC$32</f>
        <v>340</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4.0000000000000009</v>
      </c>
      <c r="AU7" s="9">
        <f>IFERROR((VLOOKUP(AQ7,$V$100:$AB$179,7,0)*0.01)*AV7,0)</f>
        <v>0</v>
      </c>
      <c r="AV7" s="9">
        <f>IFERROR($AT$5*Q72/(VLOOKUP(AQ7,$V$100:$AB$179,5,0)/100),0)</f>
        <v>22.857142857142858</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16</v>
      </c>
      <c r="AL9" s="301">
        <f>(AM9*1000)/$E$18</f>
        <v>16</v>
      </c>
      <c r="AM9" s="302">
        <v>2</v>
      </c>
      <c r="AO9" s="7"/>
      <c r="AP9" s="7"/>
      <c r="AQ9" s="7"/>
      <c r="AR9" s="7"/>
      <c r="AS9" s="28">
        <f>AS5-(SUM(AS6:AS8))</f>
        <v>340</v>
      </c>
      <c r="AT9" s="28">
        <f>AT5-(SUM(AT6:AT8))</f>
        <v>0</v>
      </c>
      <c r="AU9" s="28">
        <f>AU5-(SUM(AU6:AU8))</f>
        <v>340</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340</v>
      </c>
      <c r="AT11" s="9">
        <f t="shared" ref="AT11:AU11" si="0">AT9</f>
        <v>0</v>
      </c>
      <c r="AU11" s="9">
        <f t="shared" si="0"/>
        <v>340</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16</v>
      </c>
      <c r="AM12" s="302">
        <v>2</v>
      </c>
      <c r="AO12" s="7"/>
      <c r="AP12" s="254">
        <v>7</v>
      </c>
      <c r="AQ12" s="295" t="str">
        <f>O79</f>
        <v>Kmag</v>
      </c>
      <c r="AR12" s="295"/>
      <c r="AS12" s="9">
        <f>IFERROR((VLOOKUP(AQ12,$V$100:$AB$179,3,0)*0.01)*AV12,0)</f>
        <v>0</v>
      </c>
      <c r="AT12" s="9">
        <f>IFERROR((VLOOKUP(AQ12,$V$100:$AB$179,5,0)*0.01)*AV12,0)</f>
        <v>0</v>
      </c>
      <c r="AU12" s="9">
        <f>IFERROR((VLOOKUP(AQ12,$V$100:$AB$179,7,0)*0.01)*AV12,0)</f>
        <v>340</v>
      </c>
      <c r="AV12" s="9">
        <f>IFERROR($AU$11*Q79/(VLOOKUP(AQ12,$V$100:$AB$179,7,0)/100),0)</f>
        <v>1619.047619047619</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48</v>
      </c>
      <c r="AM15" s="302">
        <v>6</v>
      </c>
      <c r="AO15" s="7"/>
      <c r="AP15" s="7"/>
      <c r="AQ15" s="7"/>
      <c r="AR15" s="7"/>
      <c r="AS15" s="28">
        <f>AS11-(SUM(AS12:AS14))</f>
        <v>340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340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48</v>
      </c>
      <c r="AM18" s="302">
        <v>6</v>
      </c>
      <c r="AO18" s="7"/>
      <c r="AP18" s="254">
        <v>13</v>
      </c>
      <c r="AQ18" s="295" t="str">
        <f>O87</f>
        <v>Torta de mamona Hortibraz</v>
      </c>
      <c r="AR18" s="295"/>
      <c r="AS18" s="9">
        <f>IFERROR((VLOOKUP(AQ18,$V$100:$AB$179,3,0)*0.01)*AV18,0)</f>
        <v>340</v>
      </c>
      <c r="AT18" s="9">
        <f>IFERROR((VLOOKUP(AQ18,$V$100:$AB$179,5,0)*0.01)*AV18,0)</f>
        <v>0</v>
      </c>
      <c r="AU18" s="9">
        <f>IFERROR((VLOOKUP(AQ18,$V$100:$AB$179,7,0)*0.01)*AV18,0)</f>
        <v>0</v>
      </c>
      <c r="AV18" s="9">
        <f>IFERROR($AS$17*Q87/(VLOOKUP(AQ18,$V$100:$AB$179,3,0)/100),0)</f>
        <v>5666.666666666667</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11.553684210526312</v>
      </c>
      <c r="J28" s="32">
        <f>J27/10</f>
        <v>0.25789473684210518</v>
      </c>
      <c r="M28" s="246"/>
      <c r="N28" s="241"/>
      <c r="O28" s="241"/>
      <c r="P28" s="241"/>
      <c r="Q28" s="241"/>
      <c r="R28" s="247"/>
      <c r="U28" s="236">
        <v>0</v>
      </c>
      <c r="V28" s="236">
        <v>50</v>
      </c>
      <c r="W28" s="236" t="s">
        <v>68</v>
      </c>
      <c r="X28" s="236" t="str">
        <f>CONCATENATE(U28," - ",W28)</f>
        <v>0 - baixo</v>
      </c>
      <c r="Y28" s="236">
        <v>0</v>
      </c>
      <c r="Z28" s="236">
        <v>50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0</v>
      </c>
      <c r="V29" s="236">
        <v>50</v>
      </c>
      <c r="W29" s="236" t="s">
        <v>69</v>
      </c>
      <c r="X29" s="236" t="str">
        <f t="shared" ref="X29:X42" si="8">CONCATENATE(U29," - ",W29)</f>
        <v>0 - medio</v>
      </c>
      <c r="Y29" s="236">
        <v>0</v>
      </c>
      <c r="Z29" s="236">
        <v>50</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48"/>
      <c r="U30" s="236">
        <v>0</v>
      </c>
      <c r="V30" s="236">
        <v>50</v>
      </c>
      <c r="W30" s="236" t="s">
        <v>70</v>
      </c>
      <c r="X30" s="236" t="str">
        <f t="shared" si="8"/>
        <v>0 - adequado</v>
      </c>
      <c r="Y30" s="236">
        <v>0</v>
      </c>
      <c r="Z30" s="236">
        <v>50</v>
      </c>
      <c r="AB30" s="255" t="s">
        <v>33</v>
      </c>
      <c r="AC30" s="4">
        <f>(VLOOKUP($P$39,$U$28:$V$42,2,0))/AD30</f>
        <v>340</v>
      </c>
      <c r="AD30" s="184">
        <f>'Abacate formação (1)'!AD30</f>
        <v>1</v>
      </c>
      <c r="AE30" s="258" t="s">
        <v>34</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1</v>
      </c>
      <c r="V31" s="236">
        <v>40</v>
      </c>
      <c r="W31" s="236" t="s">
        <v>68</v>
      </c>
      <c r="X31" s="236" t="str">
        <f t="shared" si="8"/>
        <v>1 - baixo</v>
      </c>
      <c r="Y31" s="236">
        <v>1</v>
      </c>
      <c r="Z31" s="236">
        <v>40</v>
      </c>
      <c r="AB31" s="255" t="s">
        <v>66</v>
      </c>
      <c r="AC31" s="255">
        <f>(VLOOKUP(AB36,X28:Z42,2,0))/AD31</f>
        <v>4</v>
      </c>
      <c r="AD31" s="184">
        <f>'Abacate formação (1)'!AD31</f>
        <v>1</v>
      </c>
      <c r="AE31" s="258">
        <v>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48"/>
      <c r="U32" s="236">
        <v>1</v>
      </c>
      <c r="V32" s="236">
        <v>40</v>
      </c>
      <c r="W32" s="236" t="s">
        <v>69</v>
      </c>
      <c r="X32" s="236" t="str">
        <f t="shared" si="8"/>
        <v>1 - medio</v>
      </c>
      <c r="Y32" s="236">
        <v>1</v>
      </c>
      <c r="Z32" s="236">
        <v>40</v>
      </c>
      <c r="AB32" s="255" t="s">
        <v>67</v>
      </c>
      <c r="AC32" s="255">
        <f>(VLOOKUP($AB$39,X28:Z42,3,0))/AD32</f>
        <v>340</v>
      </c>
      <c r="AD32" s="184">
        <f>'Abacate formação (1)'!AD32</f>
        <v>1</v>
      </c>
      <c r="AE32" s="258">
        <v>1</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1</v>
      </c>
      <c r="V33" s="236">
        <v>40</v>
      </c>
      <c r="W33" s="236" t="s">
        <v>70</v>
      </c>
      <c r="X33" s="236" t="str">
        <f t="shared" si="8"/>
        <v>1 - adequado</v>
      </c>
      <c r="Y33" s="236">
        <v>1</v>
      </c>
      <c r="Z33" s="236">
        <v>40</v>
      </c>
      <c r="AE33" s="258">
        <v>2</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2</v>
      </c>
      <c r="V34" s="236">
        <v>100</v>
      </c>
      <c r="W34" s="236" t="s">
        <v>68</v>
      </c>
      <c r="X34" s="236" t="str">
        <f t="shared" si="8"/>
        <v>2 - baixo</v>
      </c>
      <c r="Y34" s="236">
        <v>2</v>
      </c>
      <c r="Z34" s="236">
        <v>100</v>
      </c>
      <c r="AE34" s="258">
        <v>3</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125</v>
      </c>
      <c r="P35" s="17">
        <f>10000/($O$30*$Q$30)</f>
        <v>125</v>
      </c>
      <c r="Q35" s="17" t="e">
        <f>10000/((($O$32/2)+($P$32/2))*$Q$32)</f>
        <v>#DIV/0!</v>
      </c>
      <c r="R35" s="251"/>
      <c r="U35" s="236">
        <v>2</v>
      </c>
      <c r="V35" s="236">
        <v>100</v>
      </c>
      <c r="W35" s="236" t="s">
        <v>69</v>
      </c>
      <c r="X35" s="236" t="str">
        <f t="shared" si="8"/>
        <v>2 - medio</v>
      </c>
      <c r="Y35" s="236">
        <v>2</v>
      </c>
      <c r="Z35" s="236">
        <v>100</v>
      </c>
      <c r="AB35" s="301" t="s">
        <v>72</v>
      </c>
      <c r="AC35" s="301"/>
      <c r="AE35" s="258">
        <v>4</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2</v>
      </c>
      <c r="V36" s="236">
        <v>100</v>
      </c>
      <c r="W36" s="236" t="s">
        <v>70</v>
      </c>
      <c r="X36" s="236" t="str">
        <f t="shared" si="8"/>
        <v>2 - adequado</v>
      </c>
      <c r="Y36" s="236">
        <v>2</v>
      </c>
      <c r="Z36" s="236">
        <v>100</v>
      </c>
      <c r="AB36" s="301" t="str">
        <f>CONCATENATE($P$39," - ",$AD$8)</f>
        <v>4 -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U37" s="236">
        <v>3</v>
      </c>
      <c r="V37" s="236">
        <v>200</v>
      </c>
      <c r="W37" s="236" t="s">
        <v>68</v>
      </c>
      <c r="X37" s="236" t="str">
        <f t="shared" si="8"/>
        <v>3 - baixo</v>
      </c>
      <c r="Y37" s="236">
        <v>3</v>
      </c>
      <c r="Z37" s="236">
        <v>200</v>
      </c>
      <c r="AI37" s="15">
        <v>0.7</v>
      </c>
      <c r="AK37" s="73" t="str">
        <f>'Adubos e corretivos (1)'!E128</f>
        <v>Compostos orgânicos</v>
      </c>
      <c r="AL37" s="105">
        <f>'Adubos e corretivos (1)'!F128</f>
        <v>0.7</v>
      </c>
      <c r="AO37" s="29"/>
      <c r="AP37" s="29"/>
      <c r="AQ37" s="29"/>
      <c r="AR37" s="29"/>
      <c r="AS37" s="28">
        <f>IF(AS24&gt;0,AS24,0)</f>
        <v>16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U38" s="236">
        <v>3</v>
      </c>
      <c r="V38" s="236">
        <v>200</v>
      </c>
      <c r="W38" s="236" t="s">
        <v>69</v>
      </c>
      <c r="X38" s="236" t="str">
        <f t="shared" si="8"/>
        <v>3 - medio</v>
      </c>
      <c r="Y38" s="236">
        <v>3</v>
      </c>
      <c r="Z38" s="236">
        <v>200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236" t="s">
        <v>163</v>
      </c>
      <c r="P39" s="330">
        <v>4</v>
      </c>
      <c r="Q39" s="330"/>
      <c r="R39" s="248"/>
      <c r="U39" s="236">
        <v>3</v>
      </c>
      <c r="V39" s="236">
        <v>200</v>
      </c>
      <c r="W39" s="236" t="s">
        <v>70</v>
      </c>
      <c r="X39" s="236" t="str">
        <f t="shared" si="8"/>
        <v>3 - adequado</v>
      </c>
      <c r="Y39" s="236">
        <v>3</v>
      </c>
      <c r="Z39" s="236">
        <v>200</v>
      </c>
      <c r="AB39" s="301" t="str">
        <f>CONCATENATE($P$39," - ",$AD$22)</f>
        <v>4 -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U40" s="258">
        <v>4</v>
      </c>
      <c r="V40" s="236">
        <v>340</v>
      </c>
      <c r="W40" s="236" t="s">
        <v>68</v>
      </c>
      <c r="X40" s="236" t="str">
        <f t="shared" si="8"/>
        <v>4 - baixo</v>
      </c>
      <c r="Y40" s="236">
        <v>4</v>
      </c>
      <c r="Z40" s="236">
        <v>340</v>
      </c>
      <c r="AI40" s="15">
        <v>1</v>
      </c>
      <c r="AO40" s="7"/>
      <c r="AP40" s="295" t="str">
        <f>O102</f>
        <v>Ácido Bórico</v>
      </c>
      <c r="AQ40" s="295"/>
      <c r="AR40" s="9">
        <f>IFERROR($AS$37/((VLOOKUP(AP40,$V$100:$AO$179,11,0)*0.01)),0)</f>
        <v>91.428571428571416</v>
      </c>
      <c r="AS40" s="9">
        <f>IFERROR($AT$37/((VLOOKUP(AP40,$V$100:$AO$179,14,0)*0.01)),0)</f>
        <v>0</v>
      </c>
      <c r="AT40" s="9">
        <f>IFERROR($AU$37/((VLOOKUP(AP40,$V$100:$AO$179,12,0)*0.01)),0)</f>
        <v>0</v>
      </c>
      <c r="AU40" s="9">
        <f>IFERROR($AV$37/((VLOOKUP(AP40,$V$100:$AO$179,13,0)*0.01)),0)</f>
        <v>0</v>
      </c>
      <c r="AV40" s="9">
        <f>MAX(AR40:AU40)</f>
        <v>91.428571428571416</v>
      </c>
      <c r="AW40" s="9">
        <f>IFERROR(AV40*(VLOOKUP(AP40,$V$100:$AO$179,11,0)*0.01),0)</f>
        <v>16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U41" s="258">
        <v>4</v>
      </c>
      <c r="V41" s="236">
        <v>340</v>
      </c>
      <c r="W41" s="236" t="s">
        <v>69</v>
      </c>
      <c r="X41" s="236" t="str">
        <f t="shared" si="8"/>
        <v>4 - medio</v>
      </c>
      <c r="Y41" s="236">
        <v>4</v>
      </c>
      <c r="Z41" s="236">
        <v>340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U42" s="258">
        <v>4</v>
      </c>
      <c r="V42" s="236">
        <v>340</v>
      </c>
      <c r="W42" s="236" t="s">
        <v>70</v>
      </c>
      <c r="X42" s="236" t="str">
        <f t="shared" si="8"/>
        <v>4 - adequado</v>
      </c>
      <c r="Y42" s="236">
        <v>4</v>
      </c>
      <c r="Z42" s="236">
        <v>340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22.857142857142858</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(1)'!C123</f>
        <v>70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1619.047619047619</v>
      </c>
      <c r="K47" s="35"/>
      <c r="M47" s="303"/>
      <c r="N47" s="332"/>
      <c r="O47" s="333" t="s">
        <v>442</v>
      </c>
      <c r="P47" s="335"/>
      <c r="Q47" s="18">
        <v>1</v>
      </c>
      <c r="R47" s="248"/>
      <c r="U47" s="236" t="s">
        <v>104</v>
      </c>
      <c r="V47" s="2">
        <f>IFERROR((((V46-P24)*P25)/V49),0)</f>
        <v>2.5789473684210518</v>
      </c>
      <c r="X47" s="336" t="s">
        <v>182</v>
      </c>
      <c r="Y47" s="336"/>
      <c r="Z47" s="2">
        <f>IFERROR((($V$50/$Z$46)*$V$47),0)</f>
        <v>12.725448857697671</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5666.666666666667</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2.8571428571428572</v>
      </c>
      <c r="E51" s="332" t="str">
        <f>IF(J45&gt;0,"quilos para área total","-")</f>
        <v>quilos para área total</v>
      </c>
      <c r="F51" s="332"/>
      <c r="G51" s="332"/>
      <c r="H51" s="102" t="s">
        <v>447</v>
      </c>
      <c r="I51" s="102">
        <f>I52*$E$18*$I$18</f>
        <v>6.6428571428571432</v>
      </c>
      <c r="J51" s="33">
        <f>AV19</f>
        <v>0</v>
      </c>
      <c r="K51" s="35"/>
      <c r="L51" s="240"/>
      <c r="M51" s="249"/>
      <c r="N51" s="250"/>
      <c r="O51" s="250"/>
      <c r="P51" s="250"/>
      <c r="Q51" s="250"/>
      <c r="R51" s="251"/>
      <c r="U51" s="236" t="s">
        <v>247</v>
      </c>
      <c r="V51" s="2">
        <f>V48*$Q$47</f>
        <v>2.5789473684210518</v>
      </c>
      <c r="AT51" s="237" t="s">
        <v>264</v>
      </c>
      <c r="AU51" s="96" t="str">
        <f>AK29</f>
        <v>Composto de lixo (COL)</v>
      </c>
      <c r="AV51" s="237">
        <v>12</v>
      </c>
    </row>
    <row r="52" spans="2:50" ht="19.5" customHeight="1" x14ac:dyDescent="0.25">
      <c r="B52" s="327"/>
      <c r="C52" s="327"/>
      <c r="D52" s="109">
        <f>IF(J45&gt;0,J45,"-")</f>
        <v>22.857142857142858</v>
      </c>
      <c r="E52" s="332" t="str">
        <f>IF(J45&gt;0,"gramas por planta","-")</f>
        <v>gramas por planta</v>
      </c>
      <c r="F52" s="332"/>
      <c r="G52" s="332"/>
      <c r="H52" s="102" t="s">
        <v>446</v>
      </c>
      <c r="I52" s="102">
        <f>IFERROR((D52/1000)*VLOOKUP(B51,$V$100:$W$179,2,0),0)</f>
        <v>5.3142857142857144E-2</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202.38095238095238</v>
      </c>
      <c r="E57" s="354" t="str">
        <f>IF(J47&gt;0,"quilos para área total","-")</f>
        <v>quilos para área total</v>
      </c>
      <c r="F57" s="354"/>
      <c r="G57" s="354"/>
      <c r="H57" s="102" t="s">
        <v>447</v>
      </c>
      <c r="I57" s="102">
        <f>I58*$E$18*$I$18</f>
        <v>586.90476190476193</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1619.047619047619</v>
      </c>
      <c r="E58" s="332" t="str">
        <f>IF(J47&gt;0,"gramas por planta","-")</f>
        <v>gramas por planta</v>
      </c>
      <c r="F58" s="332"/>
      <c r="G58" s="332"/>
      <c r="H58" s="102" t="s">
        <v>446</v>
      </c>
      <c r="I58" s="102">
        <f>IFERROR((D58/1000)*VLOOKUP(B57,$V$100:$W$179,2,0),0)</f>
        <v>4.6952380952380954</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708.33333333333337</v>
      </c>
      <c r="E66" s="354" t="str">
        <f>IF(J50&gt;0,"quilos para área total","-")</f>
        <v>quilos para área total</v>
      </c>
      <c r="F66" s="354"/>
      <c r="G66" s="354"/>
      <c r="H66" s="102" t="s">
        <v>447</v>
      </c>
      <c r="I66" s="102">
        <f>I67*$E$18*$I$18</f>
        <v>1076.6666666666667</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5666.666666666667</v>
      </c>
      <c r="E67" s="332" t="str">
        <f>IF(J50&gt;0,"gramas por planta","-")</f>
        <v>gramas por planta</v>
      </c>
      <c r="F67" s="332"/>
      <c r="G67" s="332"/>
      <c r="H67" s="102" t="s">
        <v>446</v>
      </c>
      <c r="I67" s="102">
        <f>IFERROR((D67/1000)*VLOOKUP(B66,$V$100:$W$179,2,0),0)</f>
        <v>8.6133333333333333</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91.428571428571416</v>
      </c>
      <c r="E83" s="332" t="str">
        <f>IF(AV40&gt;0,"gramas por planta","-")</f>
        <v>gramas por planta</v>
      </c>
      <c r="F83" s="332"/>
      <c r="G83" s="332"/>
      <c r="H83" s="102" t="s">
        <v>446</v>
      </c>
      <c r="I83" s="102">
        <f>IFERROR((D83/1000)*VLOOKUP(B82,$V$100:$W$179,2,0),0)</f>
        <v>0.50468571428571418</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340</v>
      </c>
      <c r="P96" s="26">
        <f>$AC$31</f>
        <v>4</v>
      </c>
      <c r="Q96" s="26">
        <f>$AC$32</f>
        <v>340</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3448.2605263157889</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3448.2605263157889</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27.586084210526312</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27.586084210526312</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16</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$AE$31:$AE$35</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(1)'!$C$104:$C$113</xm:f>
          </x14:formula1>
          <xm:sqref>O56:Q56</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(1)'!$C$3:$C$62</xm:f>
          </x14:formula1>
          <xm:sqref>O71:P73 O79:P81 O87:P89 O117:P143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660</v>
      </c>
      <c r="AT5" s="9">
        <f>$AC$31</f>
        <v>600</v>
      </c>
      <c r="AU5" s="9">
        <f>$AC$32</f>
        <v>300</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600.00000000000011</v>
      </c>
      <c r="AU7" s="9">
        <f>IFERROR((VLOOKUP(AQ7,$V$100:$AB$179,7,0)*0.01)*AV7,0)</f>
        <v>0</v>
      </c>
      <c r="AV7" s="9">
        <f>IFERROR($AT$5*Q72/(VLOOKUP(AQ7,$V$100:$AB$179,5,0)/100),0)</f>
        <v>3428.5714285714289</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3</v>
      </c>
      <c r="AL9" s="301">
        <f>(AM9*1000)/$E$18</f>
        <v>3</v>
      </c>
      <c r="AM9" s="302">
        <v>1</v>
      </c>
      <c r="AO9" s="7"/>
      <c r="AP9" s="7"/>
      <c r="AQ9" s="7"/>
      <c r="AR9" s="7"/>
      <c r="AS9" s="28">
        <f>AS5-(SUM(AS6:AS8))</f>
        <v>660</v>
      </c>
      <c r="AT9" s="28">
        <f>AT5-(SUM(AT6:AT8))</f>
        <v>0</v>
      </c>
      <c r="AU9" s="28">
        <f>AU5-(SUM(AU6:AU8))</f>
        <v>300</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660</v>
      </c>
      <c r="AT11" s="9">
        <f t="shared" ref="AT11:AU11" si="0">AT9</f>
        <v>0</v>
      </c>
      <c r="AU11" s="9">
        <f t="shared" si="0"/>
        <v>300</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1.5</v>
      </c>
      <c r="AM12" s="302">
        <v>0.5</v>
      </c>
      <c r="AO12" s="7"/>
      <c r="AP12" s="186">
        <v>7</v>
      </c>
      <c r="AQ12" s="295" t="str">
        <f>O79</f>
        <v>Kmag</v>
      </c>
      <c r="AR12" s="295"/>
      <c r="AS12" s="9">
        <f>IFERROR((VLOOKUP(AQ12,$V$100:$AB$179,3,0)*0.01)*AV12,0)</f>
        <v>0</v>
      </c>
      <c r="AT12" s="9">
        <f>IFERROR((VLOOKUP(AQ12,$V$100:$AB$179,5,0)*0.01)*AV12,0)</f>
        <v>0</v>
      </c>
      <c r="AU12" s="9">
        <f>IFERROR((VLOOKUP(AQ12,$V$100:$AB$179,7,0)*0.01)*AV12,0)</f>
        <v>300</v>
      </c>
      <c r="AV12" s="9">
        <f>IFERROR($AU$11*Q79/(VLOOKUP(AQ12,$V$100:$AB$179,7,0)/100),0)</f>
        <v>1428.5714285714287</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3</v>
      </c>
      <c r="AM15" s="302">
        <v>1</v>
      </c>
      <c r="AO15" s="7"/>
      <c r="AP15" s="7"/>
      <c r="AQ15" s="7"/>
      <c r="AR15" s="7"/>
      <c r="AS15" s="28">
        <f>AS11-(SUM(AS12:AS14))</f>
        <v>660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660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333.33333333333331</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15</v>
      </c>
      <c r="AM18" s="302">
        <v>5</v>
      </c>
      <c r="AO18" s="7"/>
      <c r="AP18" s="186">
        <v>13</v>
      </c>
      <c r="AQ18" s="295" t="str">
        <f>O87</f>
        <v>Torta de mamona Hortibraz</v>
      </c>
      <c r="AR18" s="295"/>
      <c r="AS18" s="9">
        <f>IFERROR((VLOOKUP(AQ18,$V$100:$AB$179,3,0)*0.01)*AV18,0)</f>
        <v>660</v>
      </c>
      <c r="AT18" s="9">
        <f>IFERROR((VLOOKUP(AQ18,$V$100:$AB$179,5,0)*0.01)*AV18,0)</f>
        <v>0</v>
      </c>
      <c r="AU18" s="9">
        <f>IFERROR((VLOOKUP(AQ18,$V$100:$AB$179,7,0)*0.01)*AV18,0)</f>
        <v>0</v>
      </c>
      <c r="AV18" s="9">
        <f>IFERROR($AS$17*Q87/(VLOOKUP(AQ18,$V$100:$AB$179,3,0)/100),0)</f>
        <v>11000</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3</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300" t="s">
        <v>281</v>
      </c>
      <c r="V26" s="298"/>
      <c r="W26" s="298"/>
      <c r="X26" s="298"/>
      <c r="Y26" s="298"/>
      <c r="Z26" s="299"/>
      <c r="AO26" s="7"/>
      <c r="AP26" s="326"/>
      <c r="AQ26" s="326"/>
      <c r="AR26" s="326"/>
      <c r="AS26" s="3">
        <f>AK9</f>
        <v>3</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191" t="s">
        <v>271</v>
      </c>
      <c r="V27" s="191" t="s">
        <v>282</v>
      </c>
      <c r="W27" s="191" t="s">
        <v>75</v>
      </c>
      <c r="X27" s="191" t="s">
        <v>71</v>
      </c>
      <c r="Y27" s="191" t="s">
        <v>283</v>
      </c>
      <c r="Z27" s="191"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4.3326315789473666</v>
      </c>
      <c r="J28" s="32">
        <f>J27/10</f>
        <v>0.25789473684210518</v>
      </c>
      <c r="M28" s="207"/>
      <c r="N28" s="201"/>
      <c r="O28" s="201"/>
      <c r="P28" s="201"/>
      <c r="Q28" s="201"/>
      <c r="R28" s="208"/>
      <c r="U28" s="191" t="s">
        <v>50</v>
      </c>
      <c r="V28" s="191">
        <v>70000</v>
      </c>
      <c r="W28" s="191" t="s">
        <v>68</v>
      </c>
      <c r="X28" s="191" t="str">
        <f>CONCATENATE(U28," - ",W28)</f>
        <v>&lt; 20 - baixo</v>
      </c>
      <c r="Y28" s="191">
        <v>60000</v>
      </c>
      <c r="Z28" s="191">
        <v>60000</v>
      </c>
      <c r="AE28" s="190" t="s">
        <v>63</v>
      </c>
      <c r="AG28" s="191" t="s">
        <v>63</v>
      </c>
      <c r="AI28" s="15" t="s">
        <v>63</v>
      </c>
      <c r="AK28" s="15" t="s">
        <v>63</v>
      </c>
      <c r="AL28" s="191"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50</v>
      </c>
      <c r="V29" s="191">
        <v>70000</v>
      </c>
      <c r="W29" s="191" t="s">
        <v>69</v>
      </c>
      <c r="X29" s="191" t="str">
        <f t="shared" ref="X29:X42" si="8">CONCATENATE(U29," - ",W29)</f>
        <v>&lt; 20 - medio</v>
      </c>
      <c r="Y29" s="191">
        <v>40000</v>
      </c>
      <c r="Z29" s="191">
        <v>40000</v>
      </c>
      <c r="AB29" s="312" t="s">
        <v>65</v>
      </c>
      <c r="AC29" s="312"/>
      <c r="AE29" s="190" t="s">
        <v>271</v>
      </c>
      <c r="AG29" s="191"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6</v>
      </c>
      <c r="P30" s="4" t="s">
        <v>179</v>
      </c>
      <c r="Q30" s="5">
        <v>5</v>
      </c>
      <c r="R30" s="209"/>
      <c r="U30" s="191" t="s">
        <v>50</v>
      </c>
      <c r="V30" s="191">
        <v>70000</v>
      </c>
      <c r="W30" s="191" t="s">
        <v>70</v>
      </c>
      <c r="X30" s="191" t="str">
        <f t="shared" si="8"/>
        <v>&lt; 20 - adequado</v>
      </c>
      <c r="Y30" s="191">
        <v>0</v>
      </c>
      <c r="Z30" s="191">
        <v>30000</v>
      </c>
      <c r="AB30" s="202" t="s">
        <v>33</v>
      </c>
      <c r="AC30" s="4">
        <f>(VLOOKUP($P$39,$U$28:$V$42,2,0)/$E$18)/AD30</f>
        <v>660</v>
      </c>
      <c r="AD30" s="184">
        <f>'Abacate produção (1)'!AD30</f>
        <v>1</v>
      </c>
      <c r="AE30" s="190" t="s">
        <v>34</v>
      </c>
      <c r="AG30" s="191"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270</v>
      </c>
      <c r="V31" s="191">
        <v>100000</v>
      </c>
      <c r="W31" s="191" t="s">
        <v>68</v>
      </c>
      <c r="X31" s="191" t="str">
        <f t="shared" si="8"/>
        <v>20,1 - 30 - baixo</v>
      </c>
      <c r="Y31" s="191">
        <v>90000</v>
      </c>
      <c r="Z31" s="191">
        <v>80000</v>
      </c>
      <c r="AB31" s="202" t="s">
        <v>66</v>
      </c>
      <c r="AC31" s="202">
        <f>(VLOOKUP(AB36,X28:Z42,2,0)/$E$18)/AD31</f>
        <v>600</v>
      </c>
      <c r="AD31" s="184">
        <f>'Abacate produção (1)'!AD31</f>
        <v>1</v>
      </c>
      <c r="AE31" s="190" t="s">
        <v>50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09"/>
      <c r="U32" s="191" t="s">
        <v>270</v>
      </c>
      <c r="V32" s="191">
        <v>100000</v>
      </c>
      <c r="W32" s="191" t="s">
        <v>69</v>
      </c>
      <c r="X32" s="191" t="str">
        <f t="shared" si="8"/>
        <v>20,1 - 30 - medio</v>
      </c>
      <c r="Y32" s="191">
        <v>60000</v>
      </c>
      <c r="Z32" s="191">
        <v>60000</v>
      </c>
      <c r="AB32" s="202" t="s">
        <v>67</v>
      </c>
      <c r="AC32" s="202">
        <f>(VLOOKUP($AB$39,X28:Z42,3,0)/$E$18)/AD32</f>
        <v>300</v>
      </c>
      <c r="AD32" s="184">
        <f>'Abacate produção (1)'!AD32</f>
        <v>1</v>
      </c>
      <c r="AE32" s="190" t="s">
        <v>270</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270</v>
      </c>
      <c r="V33" s="191">
        <v>100000</v>
      </c>
      <c r="W33" s="191" t="s">
        <v>70</v>
      </c>
      <c r="X33" s="191" t="str">
        <f t="shared" si="8"/>
        <v>20,1 - 30 - adequado</v>
      </c>
      <c r="Y33" s="191">
        <v>10000</v>
      </c>
      <c r="Z33" s="191">
        <v>50000</v>
      </c>
      <c r="AE33" s="190" t="s">
        <v>287</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287</v>
      </c>
      <c r="V34" s="191">
        <v>140000</v>
      </c>
      <c r="W34" s="191" t="s">
        <v>68</v>
      </c>
      <c r="X34" s="191" t="str">
        <f t="shared" si="8"/>
        <v>30,1 - 40 - baixo</v>
      </c>
      <c r="Y34" s="191">
        <v>125000</v>
      </c>
      <c r="Z34" s="191">
        <v>120000</v>
      </c>
      <c r="AE34" s="190" t="s">
        <v>288</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333.33333333333331</v>
      </c>
      <c r="P35" s="17">
        <f>10000/($O$30*$Q$30)</f>
        <v>333.33333333333331</v>
      </c>
      <c r="Q35" s="17" t="e">
        <f>10000/((($O$32/2)+($P$32/2))*$Q$32)</f>
        <v>#DIV/0!</v>
      </c>
      <c r="R35" s="211"/>
      <c r="U35" s="191" t="s">
        <v>287</v>
      </c>
      <c r="V35" s="191">
        <v>140000</v>
      </c>
      <c r="W35" s="191" t="s">
        <v>69</v>
      </c>
      <c r="X35" s="191" t="str">
        <f t="shared" si="8"/>
        <v>30,1 - 40 - medio</v>
      </c>
      <c r="Y35" s="191">
        <v>80000</v>
      </c>
      <c r="Z35" s="191">
        <v>80000</v>
      </c>
      <c r="AB35" s="301" t="s">
        <v>72</v>
      </c>
      <c r="AC35" s="301"/>
      <c r="AE35" s="190" t="s">
        <v>296</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91" t="s">
        <v>287</v>
      </c>
      <c r="V36" s="191">
        <v>140000</v>
      </c>
      <c r="W36" s="191" t="s">
        <v>70</v>
      </c>
      <c r="X36" s="191" t="str">
        <f t="shared" si="8"/>
        <v>30,1 - 40 - adequado</v>
      </c>
      <c r="Y36" s="191">
        <v>15000</v>
      </c>
      <c r="Z36" s="191">
        <v>70000</v>
      </c>
      <c r="AB36" s="301" t="str">
        <f>CONCATENATE($P$39," - ",$AD$8)</f>
        <v>50,1 - 60 -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288</v>
      </c>
      <c r="V37" s="191">
        <v>180000</v>
      </c>
      <c r="W37" s="191" t="s">
        <v>68</v>
      </c>
      <c r="X37" s="191" t="str">
        <f t="shared" si="8"/>
        <v>40,1 - 50 - baixo</v>
      </c>
      <c r="Y37" s="191">
        <v>160000</v>
      </c>
      <c r="Z37" s="191">
        <v>150000</v>
      </c>
      <c r="AI37" s="15">
        <v>0.7</v>
      </c>
      <c r="AK37" s="73" t="str">
        <f>'Adubos e corretivos (1)'!E128</f>
        <v>Compostos orgânicos</v>
      </c>
      <c r="AL37" s="105">
        <f>'Adubos e corretivos (1)'!F128</f>
        <v>0.7</v>
      </c>
      <c r="AO37" s="29"/>
      <c r="AP37" s="29"/>
      <c r="AQ37" s="29"/>
      <c r="AR37" s="29"/>
      <c r="AS37" s="28">
        <f>IF(AS24&gt;0,AS24,0)</f>
        <v>3</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288</v>
      </c>
      <c r="V38" s="191">
        <v>180000</v>
      </c>
      <c r="W38" s="191" t="s">
        <v>69</v>
      </c>
      <c r="X38" s="191" t="str">
        <f t="shared" si="8"/>
        <v>40,1 - 50 - medio</v>
      </c>
      <c r="Y38" s="191">
        <v>110000</v>
      </c>
      <c r="Z38" s="191">
        <v>110000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0.81225000000000003</v>
      </c>
      <c r="J39" s="33">
        <f>J38/10</f>
        <v>35.625</v>
      </c>
      <c r="K39" s="35"/>
      <c r="M39" s="303"/>
      <c r="N39" s="332"/>
      <c r="O39" s="191" t="s">
        <v>274</v>
      </c>
      <c r="P39" s="330" t="s">
        <v>296</v>
      </c>
      <c r="Q39" s="330"/>
      <c r="R39" s="209"/>
      <c r="U39" s="191" t="s">
        <v>288</v>
      </c>
      <c r="V39" s="191">
        <v>180000</v>
      </c>
      <c r="W39" s="191" t="s">
        <v>70</v>
      </c>
      <c r="X39" s="191" t="str">
        <f t="shared" si="8"/>
        <v>40,1 - 50 - adequado</v>
      </c>
      <c r="Y39" s="191">
        <v>20000</v>
      </c>
      <c r="Z39" s="191">
        <v>85000</v>
      </c>
      <c r="AB39" s="301" t="str">
        <f>CONCATENATE($P$39," - ",$AD$22)</f>
        <v>50,1 - 60 -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U40" s="190" t="s">
        <v>296</v>
      </c>
      <c r="V40" s="191">
        <v>220000</v>
      </c>
      <c r="W40" s="191" t="s">
        <v>68</v>
      </c>
      <c r="X40" s="191" t="str">
        <f t="shared" si="8"/>
        <v>50,1 - 60 - baixo</v>
      </c>
      <c r="Y40" s="191">
        <v>200000</v>
      </c>
      <c r="Z40" s="191">
        <v>185000</v>
      </c>
      <c r="AI40" s="15">
        <v>1</v>
      </c>
      <c r="AO40" s="7"/>
      <c r="AP40" s="295" t="str">
        <f>O102</f>
        <v>Ácido Bórico</v>
      </c>
      <c r="AQ40" s="295"/>
      <c r="AR40" s="9">
        <f>IFERROR($AS$37/((VLOOKUP(AP40,$V$100:$AO$179,11,0)*0.01)),0)</f>
        <v>17.142857142857142</v>
      </c>
      <c r="AS40" s="9">
        <f>IFERROR($AT$37/((VLOOKUP(AP40,$V$100:$AO$179,14,0)*0.01)),0)</f>
        <v>0</v>
      </c>
      <c r="AT40" s="9">
        <f>IFERROR($AU$37/((VLOOKUP(AP40,$V$100:$AO$179,12,0)*0.01)),0)</f>
        <v>0</v>
      </c>
      <c r="AU40" s="9">
        <f>IFERROR($AV$37/((VLOOKUP(AP40,$V$100:$AO$179,13,0)*0.01)),0)</f>
        <v>0</v>
      </c>
      <c r="AV40" s="9">
        <f>MAX(AR40:AU40)</f>
        <v>17.142857142857142</v>
      </c>
      <c r="AW40" s="9">
        <f>IFERROR(AV40*(VLOOKUP(AP40,$V$100:$AO$179,11,0)*0.01),0)</f>
        <v>3</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U41" s="190" t="s">
        <v>296</v>
      </c>
      <c r="V41" s="191">
        <v>220000</v>
      </c>
      <c r="W41" s="191" t="s">
        <v>69</v>
      </c>
      <c r="X41" s="191" t="str">
        <f t="shared" si="8"/>
        <v>50,1 - 60 - medio</v>
      </c>
      <c r="Y41" s="191">
        <v>130000</v>
      </c>
      <c r="Z41" s="191">
        <v>130000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U42" s="190" t="s">
        <v>296</v>
      </c>
      <c r="V42" s="191">
        <v>220000</v>
      </c>
      <c r="W42" s="191" t="s">
        <v>70</v>
      </c>
      <c r="X42" s="191" t="str">
        <f t="shared" si="8"/>
        <v>50,1 - 60 - adequado</v>
      </c>
      <c r="Y42" s="191">
        <v>30000</v>
      </c>
      <c r="Z42" s="191">
        <v>100000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3428.5714285714289</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31">
        <f>'Adubos e corretivos (1)'!C123</f>
        <v>70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1428.5714285714287</v>
      </c>
      <c r="K47" s="35"/>
      <c r="M47" s="303"/>
      <c r="N47" s="332"/>
      <c r="O47" s="333" t="s">
        <v>442</v>
      </c>
      <c r="P47" s="335"/>
      <c r="Q47" s="18">
        <v>1</v>
      </c>
      <c r="R47" s="209"/>
      <c r="U47" s="191" t="s">
        <v>104</v>
      </c>
      <c r="V47" s="2">
        <f>IFERROR((((V46-P24)*P25)/V49),0)</f>
        <v>2.5789473684210518</v>
      </c>
      <c r="X47" s="336" t="s">
        <v>182</v>
      </c>
      <c r="Y47" s="336"/>
      <c r="Z47" s="2">
        <f>IFERROR((($V$50/$Z$46)*$V$47),0)</f>
        <v>12.725448857697671</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11000</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1142.8571428571429</v>
      </c>
      <c r="E51" s="332" t="str">
        <f>IF(J45&gt;0,"quilos para área total","-")</f>
        <v>quilos para área total</v>
      </c>
      <c r="F51" s="332"/>
      <c r="G51" s="332"/>
      <c r="H51" s="102" t="s">
        <v>447</v>
      </c>
      <c r="I51" s="102">
        <f>I52*$E$18*$I$18</f>
        <v>2657.1428571428573</v>
      </c>
      <c r="J51" s="33">
        <f>AV19</f>
        <v>0</v>
      </c>
      <c r="K51" s="35"/>
      <c r="L51" s="188"/>
      <c r="M51" s="210"/>
      <c r="N51" s="200"/>
      <c r="O51" s="200"/>
      <c r="P51" s="200"/>
      <c r="Q51" s="200"/>
      <c r="R51" s="211"/>
      <c r="U51" s="191" t="s">
        <v>247</v>
      </c>
      <c r="V51" s="2">
        <f>V48*$Q$47</f>
        <v>2.5789473684210518</v>
      </c>
      <c r="AT51" s="187" t="s">
        <v>264</v>
      </c>
      <c r="AU51" s="96" t="str">
        <f>AK29</f>
        <v>Composto de lixo (COL)</v>
      </c>
      <c r="AV51" s="187">
        <v>12</v>
      </c>
    </row>
    <row r="52" spans="2:50" ht="19.5" customHeight="1" x14ac:dyDescent="0.25">
      <c r="B52" s="327"/>
      <c r="C52" s="327"/>
      <c r="D52" s="109">
        <f>IF(J45&gt;0,J45,"-")</f>
        <v>3428.5714285714289</v>
      </c>
      <c r="E52" s="332" t="str">
        <f>IF(J45&gt;0,"gramas por planta","-")</f>
        <v>gramas por planta</v>
      </c>
      <c r="F52" s="332"/>
      <c r="G52" s="332"/>
      <c r="H52" s="102" t="s">
        <v>446</v>
      </c>
      <c r="I52" s="102">
        <f>IFERROR((D52/1000)*VLOOKUP(B51,$V$100:$W$179,2,0),0)</f>
        <v>7.9714285714285724</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476.19047619047615</v>
      </c>
      <c r="E57" s="354" t="str">
        <f>IF(J47&gt;0,"quilos para área total","-")</f>
        <v>quilos para área total</v>
      </c>
      <c r="F57" s="354"/>
      <c r="G57" s="354"/>
      <c r="H57" s="102" t="s">
        <v>447</v>
      </c>
      <c r="I57" s="102">
        <f>I58*$E$18*$I$18</f>
        <v>1380.952380952381</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1428.5714285714287</v>
      </c>
      <c r="E58" s="332" t="str">
        <f>IF(J47&gt;0,"gramas por planta","-")</f>
        <v>gramas por planta</v>
      </c>
      <c r="F58" s="332"/>
      <c r="G58" s="332"/>
      <c r="H58" s="102" t="s">
        <v>446</v>
      </c>
      <c r="I58" s="102">
        <f>IFERROR((D58/1000)*VLOOKUP(B57,$V$100:$W$179,2,0),0)</f>
        <v>4.1428571428571432</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3666.6666666666665</v>
      </c>
      <c r="E66" s="354" t="str">
        <f>IF(J50&gt;0,"quilos para área total","-")</f>
        <v>quilos para área total</v>
      </c>
      <c r="F66" s="354"/>
      <c r="G66" s="354"/>
      <c r="H66" s="102" t="s">
        <v>447</v>
      </c>
      <c r="I66" s="102">
        <f>I67*$E$18*$I$18</f>
        <v>5573.333333333333</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11000</v>
      </c>
      <c r="E67" s="332" t="str">
        <f>IF(J50&gt;0,"gramas por planta","-")</f>
        <v>gramas por planta</v>
      </c>
      <c r="F67" s="332"/>
      <c r="G67" s="332"/>
      <c r="H67" s="102" t="s">
        <v>446</v>
      </c>
      <c r="I67" s="102">
        <f>IFERROR((D67/1000)*VLOOKUP(B66,$V$100:$W$179,2,0),0)</f>
        <v>16.72</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5.7142857142857144</v>
      </c>
      <c r="E82" s="354" t="str">
        <f>IF(AV40&gt;0,"quilos para área total","-")</f>
        <v>quilos para área total</v>
      </c>
      <c r="F82" s="354"/>
      <c r="G82" s="354"/>
      <c r="H82" s="102" t="s">
        <v>447</v>
      </c>
      <c r="I82" s="102">
        <f>I83*$E$18*$I$18</f>
        <v>31.542857142857141</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17.142857142857142</v>
      </c>
      <c r="E83" s="332" t="str">
        <f>IF(AV40&gt;0,"gramas por planta","-")</f>
        <v>gramas por planta</v>
      </c>
      <c r="F83" s="332"/>
      <c r="G83" s="332"/>
      <c r="H83" s="102" t="s">
        <v>446</v>
      </c>
      <c r="I83" s="102">
        <f>IFERROR((D83/1000)*VLOOKUP(B82,$V$100:$W$179,2,0),0)</f>
        <v>9.4628571428571423E-2</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660</v>
      </c>
      <c r="P96" s="26">
        <f>$AC$31</f>
        <v>600</v>
      </c>
      <c r="Q96" s="26">
        <f>$AC$32</f>
        <v>300</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11357.931954887215</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11357.931954887215</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34.073795864661648</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34.073795864661648</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3</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8.3835317354457874</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90">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6:AR36"/>
    <mergeCell ref="B30:C31"/>
    <mergeCell ref="E30:G30"/>
    <mergeCell ref="AQ30:AR30"/>
    <mergeCell ref="E31:G31"/>
    <mergeCell ref="O31:Q31"/>
    <mergeCell ref="AQ31:AR31"/>
    <mergeCell ref="AP39:AQ39"/>
    <mergeCell ref="AP40:AQ40"/>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300</v>
      </c>
      <c r="AT5" s="9">
        <f>$AC$31</f>
        <v>300</v>
      </c>
      <c r="AU5" s="9">
        <f>$AC$32</f>
        <v>70</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300.00000000000006</v>
      </c>
      <c r="AU7" s="9">
        <f>IFERROR((VLOOKUP(AQ7,$V$100:$AB$179,7,0)*0.01)*AV7,0)</f>
        <v>0</v>
      </c>
      <c r="AV7" s="9">
        <f>IFERROR($AT$5*Q72/(VLOOKUP(AQ7,$V$100:$AB$179,5,0)/100),0)</f>
        <v>1714.2857142857144</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16</v>
      </c>
      <c r="AL9" s="301">
        <f>(AM9*1000)/$E$18</f>
        <v>16</v>
      </c>
      <c r="AM9" s="302">
        <v>2</v>
      </c>
      <c r="AO9" s="7"/>
      <c r="AP9" s="7"/>
      <c r="AQ9" s="7"/>
      <c r="AR9" s="7"/>
      <c r="AS9" s="28">
        <f>AS5-(SUM(AS6:AS8))</f>
        <v>300</v>
      </c>
      <c r="AT9" s="28">
        <f>AT5-(SUM(AT6:AT8))</f>
        <v>0</v>
      </c>
      <c r="AU9" s="28">
        <f>AU5-(SUM(AU6:AU8))</f>
        <v>70</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300</v>
      </c>
      <c r="AT11" s="9">
        <f t="shared" ref="AT11:AU11" si="0">AT9</f>
        <v>0</v>
      </c>
      <c r="AU11" s="9">
        <f t="shared" si="0"/>
        <v>70</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16</v>
      </c>
      <c r="AM12" s="302">
        <v>2</v>
      </c>
      <c r="AO12" s="7"/>
      <c r="AP12" s="254">
        <v>7</v>
      </c>
      <c r="AQ12" s="295" t="str">
        <f>O79</f>
        <v>Kmag</v>
      </c>
      <c r="AR12" s="295"/>
      <c r="AS12" s="9">
        <f>IFERROR((VLOOKUP(AQ12,$V$100:$AB$179,3,0)*0.01)*AV12,0)</f>
        <v>0</v>
      </c>
      <c r="AT12" s="9">
        <f>IFERROR((VLOOKUP(AQ12,$V$100:$AB$179,5,0)*0.01)*AV12,0)</f>
        <v>0</v>
      </c>
      <c r="AU12" s="9">
        <f>IFERROR((VLOOKUP(AQ12,$V$100:$AB$179,7,0)*0.01)*AV12,0)</f>
        <v>70</v>
      </c>
      <c r="AV12" s="9">
        <f>IFERROR($AU$11*Q79/(VLOOKUP(AQ12,$V$100:$AB$179,7,0)/100),0)</f>
        <v>333.33333333333337</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48</v>
      </c>
      <c r="AM15" s="302">
        <v>6</v>
      </c>
      <c r="AO15" s="7"/>
      <c r="AP15" s="7"/>
      <c r="AQ15" s="7"/>
      <c r="AR15" s="7"/>
      <c r="AS15" s="28">
        <f>AS11-(SUM(AS12:AS14))</f>
        <v>300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300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48</v>
      </c>
      <c r="AM18" s="302">
        <v>6</v>
      </c>
      <c r="AO18" s="7"/>
      <c r="AP18" s="254">
        <v>13</v>
      </c>
      <c r="AQ18" s="295" t="str">
        <f>O87</f>
        <v>Torta de mamona Hortibraz</v>
      </c>
      <c r="AR18" s="295"/>
      <c r="AS18" s="9">
        <f>IFERROR((VLOOKUP(AQ18,$V$100:$AB$179,3,0)*0.01)*AV18,0)</f>
        <v>300</v>
      </c>
      <c r="AT18" s="9">
        <f>IFERROR((VLOOKUP(AQ18,$V$100:$AB$179,5,0)*0.01)*AV18,0)</f>
        <v>0</v>
      </c>
      <c r="AU18" s="9">
        <f>IFERROR((VLOOKUP(AQ18,$V$100:$AB$179,7,0)*0.01)*AV18,0)</f>
        <v>0</v>
      </c>
      <c r="AV18" s="9">
        <f>IFERROR($AS$17*Q87/(VLOOKUP(AQ18,$V$100:$AB$179,3,0)/100),0)</f>
        <v>5000</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11.553684210526312</v>
      </c>
      <c r="J28" s="32">
        <f>J27/10</f>
        <v>0.25789473684210518</v>
      </c>
      <c r="M28" s="246"/>
      <c r="N28" s="241"/>
      <c r="O28" s="241"/>
      <c r="P28" s="241"/>
      <c r="Q28" s="241"/>
      <c r="R28" s="247"/>
      <c r="U28" s="236">
        <v>0</v>
      </c>
      <c r="V28" s="236">
        <v>50</v>
      </c>
      <c r="W28" s="236" t="s">
        <v>68</v>
      </c>
      <c r="X28" s="236" t="str">
        <f>CONCATENATE(U28," - ",W28)</f>
        <v>0 - baixo</v>
      </c>
      <c r="Y28" s="236">
        <v>10</v>
      </c>
      <c r="Z28" s="236">
        <v>10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0</v>
      </c>
      <c r="V29" s="236">
        <v>50</v>
      </c>
      <c r="W29" s="236" t="s">
        <v>69</v>
      </c>
      <c r="X29" s="236" t="str">
        <f t="shared" ref="X29:X42" si="8">CONCATENATE(U29," - ",W29)</f>
        <v>0 - medio</v>
      </c>
      <c r="Y29" s="236">
        <v>10</v>
      </c>
      <c r="Z29" s="236">
        <v>10</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48"/>
      <c r="U30" s="236">
        <v>0</v>
      </c>
      <c r="V30" s="236">
        <v>50</v>
      </c>
      <c r="W30" s="236" t="s">
        <v>70</v>
      </c>
      <c r="X30" s="236" t="str">
        <f t="shared" si="8"/>
        <v>0 - adequado</v>
      </c>
      <c r="Y30" s="236">
        <v>10</v>
      </c>
      <c r="Z30" s="236">
        <v>10</v>
      </c>
      <c r="AB30" s="255" t="s">
        <v>33</v>
      </c>
      <c r="AC30" s="4">
        <f>(VLOOKUP($P$39,$U$28:$V$42,2,0))/AD30</f>
        <v>300</v>
      </c>
      <c r="AD30" s="184">
        <f>'Abacate formação (1)'!AD30</f>
        <v>1</v>
      </c>
      <c r="AE30" s="258" t="s">
        <v>34</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1</v>
      </c>
      <c r="V31" s="236">
        <v>60</v>
      </c>
      <c r="W31" s="236" t="s">
        <v>68</v>
      </c>
      <c r="X31" s="236" t="str">
        <f t="shared" si="8"/>
        <v>1 - baixo</v>
      </c>
      <c r="Y31" s="236">
        <v>120</v>
      </c>
      <c r="Z31" s="236">
        <v>80</v>
      </c>
      <c r="AB31" s="255" t="s">
        <v>66</v>
      </c>
      <c r="AC31" s="255">
        <f>(VLOOKUP(AB36,X28:Z42,2,0))/AD31</f>
        <v>300</v>
      </c>
      <c r="AD31" s="184">
        <f>'Abacate formação (1)'!AD31</f>
        <v>1</v>
      </c>
      <c r="AE31" s="258">
        <v>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48"/>
      <c r="U32" s="236">
        <v>1</v>
      </c>
      <c r="V32" s="236">
        <v>60</v>
      </c>
      <c r="W32" s="236" t="s">
        <v>69</v>
      </c>
      <c r="X32" s="236" t="str">
        <f t="shared" si="8"/>
        <v>1 - medio</v>
      </c>
      <c r="Y32" s="236">
        <v>80</v>
      </c>
      <c r="Z32" s="236">
        <v>50</v>
      </c>
      <c r="AB32" s="255" t="s">
        <v>67</v>
      </c>
      <c r="AC32" s="255">
        <f>(VLOOKUP($AB$39,X28:Z42,3,0))/AD32</f>
        <v>70</v>
      </c>
      <c r="AD32" s="184">
        <f>'Abacate formação (1)'!AD32</f>
        <v>1</v>
      </c>
      <c r="AE32" s="258">
        <v>1</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1</v>
      </c>
      <c r="V33" s="236">
        <v>60</v>
      </c>
      <c r="W33" s="236" t="s">
        <v>70</v>
      </c>
      <c r="X33" s="236" t="str">
        <f t="shared" si="8"/>
        <v>1 - adequado</v>
      </c>
      <c r="Y33" s="236">
        <v>40</v>
      </c>
      <c r="Z33" s="236">
        <v>30</v>
      </c>
      <c r="AE33" s="258">
        <v>2</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2</v>
      </c>
      <c r="V34" s="236">
        <v>120</v>
      </c>
      <c r="W34" s="236" t="s">
        <v>68</v>
      </c>
      <c r="X34" s="236" t="str">
        <f t="shared" si="8"/>
        <v>2 - baixo</v>
      </c>
      <c r="Y34" s="236">
        <v>180</v>
      </c>
      <c r="Z34" s="236">
        <v>120</v>
      </c>
      <c r="AE34" s="258">
        <v>3</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125</v>
      </c>
      <c r="P35" s="17">
        <f>10000/($O$30*$Q$30)</f>
        <v>125</v>
      </c>
      <c r="Q35" s="17" t="e">
        <f>10000/((($O$32/2)+($P$32/2))*$Q$32)</f>
        <v>#DIV/0!</v>
      </c>
      <c r="R35" s="251"/>
      <c r="U35" s="236">
        <v>2</v>
      </c>
      <c r="V35" s="236">
        <v>120</v>
      </c>
      <c r="W35" s="236" t="s">
        <v>69</v>
      </c>
      <c r="X35" s="236" t="str">
        <f t="shared" si="8"/>
        <v>2 - medio</v>
      </c>
      <c r="Y35" s="236">
        <v>120</v>
      </c>
      <c r="Z35" s="236">
        <v>80</v>
      </c>
      <c r="AB35" s="301" t="s">
        <v>72</v>
      </c>
      <c r="AC35" s="301"/>
      <c r="AE35" s="258">
        <v>4</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2</v>
      </c>
      <c r="V36" s="236">
        <v>120</v>
      </c>
      <c r="W36" s="236" t="s">
        <v>70</v>
      </c>
      <c r="X36" s="236" t="str">
        <f t="shared" si="8"/>
        <v>2 - adequado</v>
      </c>
      <c r="Y36" s="236">
        <v>60</v>
      </c>
      <c r="Z36" s="236">
        <v>40</v>
      </c>
      <c r="AB36" s="301" t="str">
        <f>CONCATENATE($P$39," - ",$AD$8)</f>
        <v>4 -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U37" s="236">
        <v>3</v>
      </c>
      <c r="V37" s="236">
        <v>200</v>
      </c>
      <c r="W37" s="236" t="s">
        <v>68</v>
      </c>
      <c r="X37" s="236" t="str">
        <f t="shared" si="8"/>
        <v>3 - baixo</v>
      </c>
      <c r="Y37" s="236">
        <v>240</v>
      </c>
      <c r="Z37" s="236">
        <v>160</v>
      </c>
      <c r="AI37" s="15">
        <v>0.7</v>
      </c>
      <c r="AK37" s="73" t="str">
        <f>'Adubos e corretivos (1)'!E128</f>
        <v>Compostos orgânicos</v>
      </c>
      <c r="AL37" s="105">
        <f>'Adubos e corretivos (1)'!F128</f>
        <v>0.7</v>
      </c>
      <c r="AO37" s="29"/>
      <c r="AP37" s="29"/>
      <c r="AQ37" s="29"/>
      <c r="AR37" s="29"/>
      <c r="AS37" s="28">
        <f>IF(AS24&gt;0,AS24,0)</f>
        <v>16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U38" s="236">
        <v>3</v>
      </c>
      <c r="V38" s="236">
        <v>200</v>
      </c>
      <c r="W38" s="236" t="s">
        <v>69</v>
      </c>
      <c r="X38" s="236" t="str">
        <f t="shared" si="8"/>
        <v>3 - medio</v>
      </c>
      <c r="Y38" s="236">
        <v>160</v>
      </c>
      <c r="Z38" s="236">
        <v>110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236" t="s">
        <v>163</v>
      </c>
      <c r="P39" s="330">
        <v>4</v>
      </c>
      <c r="Q39" s="330"/>
      <c r="R39" s="248"/>
      <c r="U39" s="236">
        <v>3</v>
      </c>
      <c r="V39" s="236">
        <v>200</v>
      </c>
      <c r="W39" s="236" t="s">
        <v>70</v>
      </c>
      <c r="X39" s="236" t="str">
        <f t="shared" si="8"/>
        <v>3 - adequado</v>
      </c>
      <c r="Y39" s="236">
        <v>80</v>
      </c>
      <c r="Z39" s="236">
        <v>50</v>
      </c>
      <c r="AB39" s="301" t="str">
        <f>CONCATENATE($P$39," - ",$AD$22)</f>
        <v>4 -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U40" s="258">
        <v>4</v>
      </c>
      <c r="V40" s="236">
        <v>300</v>
      </c>
      <c r="W40" s="236" t="s">
        <v>68</v>
      </c>
      <c r="X40" s="236" t="str">
        <f t="shared" si="8"/>
        <v>4 - baixo</v>
      </c>
      <c r="Y40" s="236">
        <v>300</v>
      </c>
      <c r="Z40" s="236">
        <v>200</v>
      </c>
      <c r="AI40" s="15">
        <v>1</v>
      </c>
      <c r="AO40" s="7"/>
      <c r="AP40" s="295" t="str">
        <f>O102</f>
        <v>Ácido Bórico</v>
      </c>
      <c r="AQ40" s="295"/>
      <c r="AR40" s="9">
        <f>IFERROR($AS$37/((VLOOKUP(AP40,$V$100:$AO$179,11,0)*0.01)),0)</f>
        <v>91.428571428571416</v>
      </c>
      <c r="AS40" s="9">
        <f>IFERROR($AT$37/((VLOOKUP(AP40,$V$100:$AO$179,14,0)*0.01)),0)</f>
        <v>0</v>
      </c>
      <c r="AT40" s="9">
        <f>IFERROR($AU$37/((VLOOKUP(AP40,$V$100:$AO$179,12,0)*0.01)),0)</f>
        <v>0</v>
      </c>
      <c r="AU40" s="9">
        <f>IFERROR($AV$37/((VLOOKUP(AP40,$V$100:$AO$179,13,0)*0.01)),0)</f>
        <v>0</v>
      </c>
      <c r="AV40" s="9">
        <f>MAX(AR40:AU40)</f>
        <v>91.428571428571416</v>
      </c>
      <c r="AW40" s="9">
        <f>IFERROR(AV40*(VLOOKUP(AP40,$V$100:$AO$179,11,0)*0.01),0)</f>
        <v>16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U41" s="258">
        <v>4</v>
      </c>
      <c r="V41" s="236">
        <v>300</v>
      </c>
      <c r="W41" s="236" t="s">
        <v>69</v>
      </c>
      <c r="X41" s="236" t="str">
        <f t="shared" si="8"/>
        <v>4 - medio</v>
      </c>
      <c r="Y41" s="236">
        <v>200</v>
      </c>
      <c r="Z41" s="236">
        <v>130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U42" s="258">
        <v>4</v>
      </c>
      <c r="V42" s="236">
        <v>300</v>
      </c>
      <c r="W42" s="236" t="s">
        <v>70</v>
      </c>
      <c r="X42" s="236" t="str">
        <f t="shared" si="8"/>
        <v>4 - adequado</v>
      </c>
      <c r="Y42" s="236">
        <v>100</v>
      </c>
      <c r="Z42" s="236">
        <v>70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1714.2857142857144</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(1)'!C124</f>
        <v>70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333.33333333333337</v>
      </c>
      <c r="K47" s="35"/>
      <c r="M47" s="303"/>
      <c r="N47" s="332"/>
      <c r="O47" s="333" t="s">
        <v>442</v>
      </c>
      <c r="P47" s="335"/>
      <c r="Q47" s="18">
        <v>1</v>
      </c>
      <c r="R47" s="248"/>
      <c r="U47" s="236" t="s">
        <v>104</v>
      </c>
      <c r="V47" s="2">
        <f>IFERROR((((V46-P24)*P25)/V49),0)</f>
        <v>2.5789473684210518</v>
      </c>
      <c r="X47" s="336" t="s">
        <v>182</v>
      </c>
      <c r="Y47" s="336"/>
      <c r="Z47" s="2">
        <f>IFERROR((($V$50/$Z$46)*$V$47),0)</f>
        <v>12.725448857697671</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5000</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214.28571428571431</v>
      </c>
      <c r="E51" s="332" t="str">
        <f>IF(J45&gt;0,"quilos para área total","-")</f>
        <v>quilos para área total</v>
      </c>
      <c r="F51" s="332"/>
      <c r="G51" s="332"/>
      <c r="H51" s="102" t="s">
        <v>447</v>
      </c>
      <c r="I51" s="102">
        <f>I52*$E$18*$I$18</f>
        <v>498.21428571428578</v>
      </c>
      <c r="J51" s="33">
        <f>AV19</f>
        <v>0</v>
      </c>
      <c r="K51" s="35"/>
      <c r="L51" s="240"/>
      <c r="M51" s="249"/>
      <c r="N51" s="250"/>
      <c r="O51" s="250"/>
      <c r="P51" s="250"/>
      <c r="Q51" s="250"/>
      <c r="R51" s="251"/>
      <c r="U51" s="236" t="s">
        <v>247</v>
      </c>
      <c r="V51" s="2">
        <f>V48*$Q$47</f>
        <v>2.5789473684210518</v>
      </c>
      <c r="AT51" s="237" t="s">
        <v>264</v>
      </c>
      <c r="AU51" s="96" t="str">
        <f>AK29</f>
        <v>Composto de lixo (COL)</v>
      </c>
      <c r="AV51" s="237">
        <v>12</v>
      </c>
    </row>
    <row r="52" spans="2:50" ht="19.5" customHeight="1" x14ac:dyDescent="0.25">
      <c r="B52" s="327"/>
      <c r="C52" s="327"/>
      <c r="D52" s="109">
        <f>IF(J45&gt;0,J45,"-")</f>
        <v>1714.2857142857144</v>
      </c>
      <c r="E52" s="332" t="str">
        <f>IF(J45&gt;0,"gramas por planta","-")</f>
        <v>gramas por planta</v>
      </c>
      <c r="F52" s="332"/>
      <c r="G52" s="332"/>
      <c r="H52" s="102" t="s">
        <v>446</v>
      </c>
      <c r="I52" s="102">
        <f>IFERROR((D52/1000)*VLOOKUP(B51,$V$100:$W$179,2,0),0)</f>
        <v>3.9857142857142862</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41.666666666666671</v>
      </c>
      <c r="E57" s="354" t="str">
        <f>IF(J47&gt;0,"quilos para área total","-")</f>
        <v>quilos para área total</v>
      </c>
      <c r="F57" s="354"/>
      <c r="G57" s="354"/>
      <c r="H57" s="102" t="s">
        <v>447</v>
      </c>
      <c r="I57" s="102">
        <f>I58*$E$18*$I$18</f>
        <v>120.83333333333334</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333.33333333333337</v>
      </c>
      <c r="E58" s="332" t="str">
        <f>IF(J47&gt;0,"gramas por planta","-")</f>
        <v>gramas por planta</v>
      </c>
      <c r="F58" s="332"/>
      <c r="G58" s="332"/>
      <c r="H58" s="102" t="s">
        <v>446</v>
      </c>
      <c r="I58" s="102">
        <f>IFERROR((D58/1000)*VLOOKUP(B57,$V$100:$W$179,2,0),0)</f>
        <v>0.96666666666666679</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625</v>
      </c>
      <c r="E66" s="354" t="str">
        <f>IF(J50&gt;0,"quilos para área total","-")</f>
        <v>quilos para área total</v>
      </c>
      <c r="F66" s="354"/>
      <c r="G66" s="354"/>
      <c r="H66" s="102" t="s">
        <v>447</v>
      </c>
      <c r="I66" s="102">
        <f>I67*$E$18*$I$18</f>
        <v>950</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5000</v>
      </c>
      <c r="E67" s="332" t="str">
        <f>IF(J50&gt;0,"gramas por planta","-")</f>
        <v>gramas por planta</v>
      </c>
      <c r="F67" s="332"/>
      <c r="G67" s="332"/>
      <c r="H67" s="102" t="s">
        <v>446</v>
      </c>
      <c r="I67" s="102">
        <f>IFERROR((D67/1000)*VLOOKUP(B66,$V$100:$W$179,2,0),0)</f>
        <v>7.6</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91.428571428571416</v>
      </c>
      <c r="E83" s="332" t="str">
        <f>IF(AV40&gt;0,"gramas por planta","-")</f>
        <v>gramas por planta</v>
      </c>
      <c r="F83" s="332"/>
      <c r="G83" s="332"/>
      <c r="H83" s="102" t="s">
        <v>446</v>
      </c>
      <c r="I83" s="102">
        <f>IFERROR((D83/1000)*VLOOKUP(B82,$V$100:$W$179,2,0),0)</f>
        <v>0.50468571428571418</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300</v>
      </c>
      <c r="P96" s="26">
        <f>$AC$31</f>
        <v>300</v>
      </c>
      <c r="Q96" s="26">
        <f>$AC$32</f>
        <v>70</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3347.0938596491224</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3347.0938596491224</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26.776750877192981</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26.776750877192981</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16</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182" customWidth="1"/>
    <col min="2" max="2" width="37.28515625" style="182" customWidth="1"/>
    <col min="3" max="3" width="29.5703125" style="182" customWidth="1"/>
    <col min="4" max="4" width="21.7109375" style="182" bestFit="1" customWidth="1"/>
    <col min="5" max="7" width="16.7109375" style="182" customWidth="1"/>
    <col min="8" max="8" width="29.42578125" style="182" bestFit="1" customWidth="1"/>
    <col min="9" max="9" width="21.7109375" style="182" bestFit="1" customWidth="1"/>
    <col min="10" max="12" width="13" style="182" customWidth="1"/>
    <col min="13" max="13" width="36.5703125" style="182" customWidth="1"/>
    <col min="14" max="14" width="13.140625" style="182" bestFit="1" customWidth="1"/>
    <col min="15" max="15" width="29.7109375" style="182" customWidth="1"/>
    <col min="16" max="16" width="18.42578125" style="182" customWidth="1"/>
    <col min="17" max="17" width="49.140625" style="182" customWidth="1"/>
    <col min="18" max="18" width="8" style="182" customWidth="1"/>
    <col min="19" max="19" width="11.42578125" style="182" bestFit="1" customWidth="1"/>
    <col min="20" max="20" width="30.140625" style="182" hidden="1" customWidth="1" outlineLevel="1"/>
    <col min="21" max="21" width="43.42578125" style="182" hidden="1" customWidth="1" outlineLevel="1"/>
    <col min="22" max="22" width="65" style="182" hidden="1" customWidth="1" outlineLevel="1"/>
    <col min="23" max="23" width="21.28515625" style="182" hidden="1" customWidth="1" outlineLevel="1"/>
    <col min="24" max="24" width="27.42578125" style="182" hidden="1" customWidth="1" outlineLevel="1"/>
    <col min="25" max="25" width="22.42578125" style="182" hidden="1" customWidth="1" outlineLevel="1"/>
    <col min="26" max="26" width="22" style="182" hidden="1" customWidth="1" outlineLevel="1"/>
    <col min="27" max="27" width="16.85546875" style="182" hidden="1" customWidth="1" outlineLevel="1"/>
    <col min="28" max="28" width="21.5703125" style="182" hidden="1" customWidth="1" outlineLevel="1"/>
    <col min="29" max="29" width="16.85546875" style="182" hidden="1" customWidth="1" outlineLevel="1"/>
    <col min="30" max="30" width="24.42578125" style="182" hidden="1" customWidth="1" outlineLevel="1"/>
    <col min="31" max="31" width="36.140625" style="182" hidden="1" customWidth="1" outlineLevel="1"/>
    <col min="32" max="32" width="25.5703125" style="182" hidden="1" customWidth="1" outlineLevel="1"/>
    <col min="33" max="33" width="22" style="182" hidden="1" customWidth="1" outlineLevel="1"/>
    <col min="34" max="34" width="21.5703125" style="182" hidden="1" customWidth="1" outlineLevel="1"/>
    <col min="35" max="35" width="24.7109375" style="182" hidden="1" customWidth="1" outlineLevel="1"/>
    <col min="36" max="36" width="14.28515625" style="182" hidden="1" customWidth="1" outlineLevel="1"/>
    <col min="37" max="37" width="32.42578125" style="182" hidden="1" customWidth="1" outlineLevel="1"/>
    <col min="38" max="38" width="14.7109375" style="182" hidden="1" customWidth="1" outlineLevel="1"/>
    <col min="39" max="39" width="34.28515625" style="182" hidden="1" customWidth="1" outlineLevel="1"/>
    <col min="40" max="40" width="20.85546875" style="182" hidden="1" customWidth="1" outlineLevel="1"/>
    <col min="41" max="41" width="21.28515625" style="182" hidden="1" customWidth="1" outlineLevel="1"/>
    <col min="42" max="42" width="65" style="182" hidden="1" customWidth="1" outlineLevel="1"/>
    <col min="43" max="43" width="16.7109375" style="182" hidden="1" customWidth="1" outlineLevel="1"/>
    <col min="44" max="44" width="45.85546875" style="182" hidden="1" customWidth="1" outlineLevel="1"/>
    <col min="45" max="45" width="16.7109375" style="182" hidden="1" customWidth="1" outlineLevel="1"/>
    <col min="46" max="46" width="13.7109375" style="182" hidden="1" customWidth="1" outlineLevel="1"/>
    <col min="47" max="47" width="31.42578125" style="182" hidden="1" customWidth="1" outlineLevel="1"/>
    <col min="48" max="48" width="11.85546875" style="182" hidden="1" customWidth="1" outlineLevel="1"/>
    <col min="49" max="49" width="23.5703125" style="182" hidden="1" customWidth="1" outlineLevel="1"/>
    <col min="50" max="50" width="22.42578125" style="182" hidden="1" customWidth="1" outlineLevel="1"/>
    <col min="51" max="51" width="28.5703125" style="182" hidden="1" customWidth="1" outlineLevel="1"/>
    <col min="52" max="52" width="23" style="182" hidden="1" customWidth="1" outlineLevel="1"/>
    <col min="53" max="54" width="16.7109375" style="182" hidden="1" customWidth="1" outlineLevel="1"/>
    <col min="55" max="55" width="9.140625" style="182" hidden="1" customWidth="1" outlineLevel="1"/>
    <col min="56" max="56" width="9.140625" style="182" collapsed="1"/>
    <col min="57" max="16384" width="9.140625" style="182"/>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177"/>
      <c r="N3" s="174"/>
      <c r="O3" s="174"/>
      <c r="P3" s="174"/>
      <c r="Q3" s="174"/>
      <c r="R3" s="17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165" t="s">
        <v>0</v>
      </c>
      <c r="R4" s="179"/>
      <c r="U4" s="311"/>
      <c r="V4" s="311"/>
      <c r="W4" s="311"/>
      <c r="X4" s="311"/>
      <c r="Y4" s="301"/>
      <c r="Z4" s="301"/>
      <c r="AA4" s="301"/>
      <c r="AB4" s="301"/>
      <c r="AC4" s="301"/>
      <c r="AD4" s="301"/>
      <c r="AO4" s="7"/>
      <c r="AP4" s="295" t="s">
        <v>232</v>
      </c>
      <c r="AQ4" s="295" t="s">
        <v>233</v>
      </c>
      <c r="AR4" s="295"/>
      <c r="AS4" s="160" t="s">
        <v>33</v>
      </c>
      <c r="AT4" s="160" t="s">
        <v>198</v>
      </c>
      <c r="AU4" s="160" t="s">
        <v>199</v>
      </c>
      <c r="AV4" s="296" t="s">
        <v>234</v>
      </c>
      <c r="AW4" s="7"/>
      <c r="AX4" s="7"/>
      <c r="AY4" s="7"/>
      <c r="AZ4" s="7"/>
      <c r="BA4" s="7"/>
      <c r="BB4" s="7"/>
    </row>
    <row r="5" spans="1:54" ht="19.5" customHeight="1" x14ac:dyDescent="0.25">
      <c r="M5" s="303"/>
      <c r="N5" s="304"/>
      <c r="O5" s="163" t="s">
        <v>1</v>
      </c>
      <c r="P5" s="5">
        <v>6.4</v>
      </c>
      <c r="Q5" s="163" t="s">
        <v>2</v>
      </c>
      <c r="R5" s="179"/>
      <c r="U5" s="311"/>
      <c r="V5" s="311"/>
      <c r="W5" s="311"/>
      <c r="X5" s="311"/>
      <c r="Y5" s="301"/>
      <c r="Z5" s="301"/>
      <c r="AA5" s="301"/>
      <c r="AB5" s="301"/>
      <c r="AC5" s="301"/>
      <c r="AD5" s="301"/>
      <c r="AO5" s="7"/>
      <c r="AP5" s="295"/>
      <c r="AQ5" s="295"/>
      <c r="AR5" s="295"/>
      <c r="AS5" s="9">
        <f>$AC$30</f>
        <v>900</v>
      </c>
      <c r="AT5" s="9">
        <f>$AC$31</f>
        <v>180</v>
      </c>
      <c r="AU5" s="9">
        <f>$AC$32</f>
        <v>504</v>
      </c>
      <c r="AV5" s="297"/>
      <c r="AW5" s="7"/>
      <c r="AX5" s="7"/>
      <c r="AY5" s="7"/>
      <c r="AZ5" s="7"/>
      <c r="BA5" s="7"/>
      <c r="BB5" s="7"/>
    </row>
    <row r="6" spans="1:54" ht="19.5" customHeight="1" x14ac:dyDescent="0.25">
      <c r="M6" s="303"/>
      <c r="N6" s="304"/>
      <c r="O6" s="163" t="s">
        <v>3</v>
      </c>
      <c r="P6" s="6">
        <v>4.3</v>
      </c>
      <c r="Q6" s="163" t="s">
        <v>55</v>
      </c>
      <c r="R6" s="179"/>
      <c r="U6" s="163" t="s">
        <v>29</v>
      </c>
      <c r="V6" s="301" t="s">
        <v>51</v>
      </c>
      <c r="W6" s="301"/>
      <c r="X6" s="301"/>
      <c r="Y6" s="301"/>
      <c r="Z6" s="301"/>
      <c r="AA6" s="301"/>
      <c r="AB6" s="301"/>
      <c r="AC6" s="301"/>
      <c r="AD6" s="301"/>
      <c r="AO6" s="7"/>
      <c r="AP6" s="160">
        <v>1</v>
      </c>
      <c r="AQ6" s="305" t="str">
        <f>O71</f>
        <v>Superfosfato simples</v>
      </c>
      <c r="AR6" s="306"/>
      <c r="AS6" s="9">
        <f>IFERROR((VLOOKUP(AQ6,$V$100:$AB$179,3,0)*0.01)*AV6,0)</f>
        <v>0</v>
      </c>
      <c r="AT6" s="9">
        <f>IFERROR((VLOOKUP(AQ6,$V$100:$AB$179,5,0)*0.01)*AV6,0)</f>
        <v>90</v>
      </c>
      <c r="AU6" s="9">
        <f>IFERROR((VLOOKUP(AQ6,$V$100:$AB$179,7,0)*0.01)*AV6,0)</f>
        <v>0</v>
      </c>
      <c r="AV6" s="9">
        <f>IFERROR($AT$5*Q71/(VLOOKUP(AQ6,$V$100:$AB$179,5,0)/100),0)</f>
        <v>500</v>
      </c>
      <c r="AW6" s="7"/>
      <c r="AX6" s="7"/>
      <c r="AY6" s="7"/>
      <c r="AZ6" s="7"/>
      <c r="BA6" s="7"/>
      <c r="BB6" s="7"/>
    </row>
    <row r="7" spans="1:54" ht="19.5" customHeight="1" x14ac:dyDescent="0.25">
      <c r="M7" s="303"/>
      <c r="N7" s="304"/>
      <c r="O7" s="163" t="s">
        <v>4</v>
      </c>
      <c r="P7" s="5">
        <v>0.8</v>
      </c>
      <c r="Q7" s="163" t="s">
        <v>55</v>
      </c>
      <c r="R7" s="179"/>
      <c r="U7" s="163" t="s">
        <v>23</v>
      </c>
      <c r="V7" s="163" t="s">
        <v>25</v>
      </c>
      <c r="W7" s="163" t="s">
        <v>26</v>
      </c>
      <c r="X7" s="163" t="s">
        <v>31</v>
      </c>
      <c r="Y7" s="163" t="s">
        <v>53</v>
      </c>
      <c r="Z7" s="301" t="s">
        <v>54</v>
      </c>
      <c r="AA7" s="301"/>
      <c r="AB7" s="301"/>
      <c r="AC7" s="163" t="s">
        <v>57</v>
      </c>
      <c r="AD7" s="163" t="s">
        <v>58</v>
      </c>
      <c r="AF7" s="307" t="s">
        <v>221</v>
      </c>
      <c r="AG7" s="307"/>
      <c r="AH7" s="307"/>
      <c r="AI7" s="307"/>
      <c r="AJ7" s="307"/>
      <c r="AK7" s="307"/>
      <c r="AL7" s="307"/>
      <c r="AM7" s="307"/>
      <c r="AO7" s="7"/>
      <c r="AP7" s="160">
        <v>2</v>
      </c>
      <c r="AQ7" s="305" t="str">
        <f>O72</f>
        <v>Termofosfato YOORIN</v>
      </c>
      <c r="AR7" s="306"/>
      <c r="AS7" s="9">
        <f>IFERROR((VLOOKUP(AQ7,$V$100:$AB$179,3,0)*0.01)*AV7,0)</f>
        <v>0</v>
      </c>
      <c r="AT7" s="9">
        <f>IFERROR((VLOOKUP(AQ7,$V$100:$AB$179,5,0)*0.01)*AV7,0)</f>
        <v>90.000000000000014</v>
      </c>
      <c r="AU7" s="9">
        <f>IFERROR((VLOOKUP(AQ7,$V$100:$AB$179,7,0)*0.01)*AV7,0)</f>
        <v>0</v>
      </c>
      <c r="AV7" s="9">
        <f>IFERROR($AT$5*Q72/(VLOOKUP(AQ7,$V$100:$AB$179,5,0)/100),0)</f>
        <v>514.28571428571433</v>
      </c>
      <c r="AW7" s="7"/>
      <c r="AX7" s="7"/>
      <c r="AY7" s="7"/>
      <c r="AZ7" s="7"/>
      <c r="BA7" s="7"/>
      <c r="BB7" s="7"/>
    </row>
    <row r="8" spans="1:54" ht="19.5" customHeight="1" thickBot="1" x14ac:dyDescent="0.3">
      <c r="M8" s="303"/>
      <c r="N8" s="304"/>
      <c r="O8" s="163" t="s">
        <v>5</v>
      </c>
      <c r="P8" s="6">
        <v>0.54</v>
      </c>
      <c r="Q8" s="163" t="s">
        <v>55</v>
      </c>
      <c r="R8" s="179"/>
      <c r="U8" s="163" t="s">
        <v>37</v>
      </c>
      <c r="V8" s="163" t="s">
        <v>39</v>
      </c>
      <c r="W8" s="163" t="s">
        <v>30</v>
      </c>
      <c r="X8" s="163" t="s">
        <v>43</v>
      </c>
      <c r="Y8" s="163" t="str">
        <f>IF($P$21&lt;=15.99,"correto","erro")</f>
        <v>erro</v>
      </c>
      <c r="Z8" s="163" t="str">
        <f>IF($P$13&lt;=12,"baixo","erro")</f>
        <v>baixo</v>
      </c>
      <c r="AA8" s="163" t="str">
        <f>IF(AND($P$13&gt;=12.01,$P$13&lt;=18),"medio","erro")</f>
        <v>erro</v>
      </c>
      <c r="AB8" s="163" t="str">
        <f>IF($P$13&gt;18,"adequado","erro")</f>
        <v>erro</v>
      </c>
      <c r="AC8" s="163" t="str">
        <f>IF(Z8="baixo","baixo",IF(AA8="medio","medio",IF(AB8="adequado","adequado",0)))</f>
        <v>baixo</v>
      </c>
      <c r="AD8" s="301" t="str">
        <f>VLOOKUP("correto",Y8:AC11,5,0)</f>
        <v>adequado</v>
      </c>
      <c r="AF8" s="163" t="s">
        <v>224</v>
      </c>
      <c r="AG8" s="307" t="s">
        <v>222</v>
      </c>
      <c r="AH8" s="307"/>
      <c r="AI8" s="301" t="s">
        <v>223</v>
      </c>
      <c r="AJ8" s="301"/>
      <c r="AK8" s="163" t="s">
        <v>58</v>
      </c>
      <c r="AL8" s="163" t="s">
        <v>237</v>
      </c>
      <c r="AM8" s="163" t="s">
        <v>240</v>
      </c>
      <c r="AO8" s="7"/>
      <c r="AP8" s="160">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63" t="s">
        <v>6</v>
      </c>
      <c r="P9" s="5">
        <v>7.0000000000000007E-2</v>
      </c>
      <c r="Q9" s="163" t="s">
        <v>55</v>
      </c>
      <c r="R9" s="179"/>
      <c r="U9" s="163" t="s">
        <v>27</v>
      </c>
      <c r="V9" s="163" t="s">
        <v>40</v>
      </c>
      <c r="W9" s="163" t="s">
        <v>44</v>
      </c>
      <c r="X9" s="163" t="s">
        <v>47</v>
      </c>
      <c r="Y9" s="163" t="str">
        <f>IF(AND($P$21&gt;15.99,P21&lt;34.99),"correto","erro")</f>
        <v>erro</v>
      </c>
      <c r="Z9" s="163" t="str">
        <f>IF($P$13&lt;=10,"baixo","erro")</f>
        <v>baixo</v>
      </c>
      <c r="AA9" s="163" t="str">
        <f>IF(AND($P$13&gt;=10.01,$P$13&lt;=15),"medio","erro")</f>
        <v>erro</v>
      </c>
      <c r="AB9" s="163" t="str">
        <f>IF($P$13&gt;15,"adequado","erro")</f>
        <v>erro</v>
      </c>
      <c r="AC9" s="163" t="str">
        <f>IF(Z9="baixo","baixo",IF(AA9="medio","medio",IF(AB9="adequado","adequado",0)))</f>
        <v>baixo</v>
      </c>
      <c r="AD9" s="301"/>
      <c r="AF9" s="307" t="s">
        <v>220</v>
      </c>
      <c r="AG9" s="161" t="s">
        <v>25</v>
      </c>
      <c r="AH9" s="161" t="s">
        <v>216</v>
      </c>
      <c r="AI9" s="163" t="str">
        <f>IF($P$14&lt;=0.2,"baixo","erro")</f>
        <v>baixo</v>
      </c>
      <c r="AJ9" s="301" t="str">
        <f>IF($AI$9="baixo","baixo",IF($AI$10="medio","medio",IF($AI$11="adequado","adequado",0)))</f>
        <v>baixo</v>
      </c>
      <c r="AK9" s="301">
        <f>IF(AJ9="Baixo",AL9,0)</f>
        <v>3.6</v>
      </c>
      <c r="AL9" s="301">
        <f>(AM9*1000)/$E$18</f>
        <v>3.6</v>
      </c>
      <c r="AM9" s="302">
        <v>1</v>
      </c>
      <c r="AO9" s="7"/>
      <c r="AP9" s="7"/>
      <c r="AQ9" s="7"/>
      <c r="AR9" s="7"/>
      <c r="AS9" s="28">
        <f>AS5-(SUM(AS6:AS8))</f>
        <v>900</v>
      </c>
      <c r="AT9" s="28">
        <f>AT5-(SUM(AT6:AT8))</f>
        <v>0</v>
      </c>
      <c r="AU9" s="28">
        <f>AU5-(SUM(AU6:AU8))</f>
        <v>504</v>
      </c>
      <c r="AV9" s="28"/>
      <c r="AW9" s="7"/>
      <c r="AX9" s="7"/>
      <c r="AY9" s="7"/>
      <c r="AZ9" s="7"/>
      <c r="BA9" s="7"/>
      <c r="BB9" s="7"/>
    </row>
    <row r="10" spans="1:54" ht="19.5" customHeight="1" x14ac:dyDescent="0.25">
      <c r="M10" s="303"/>
      <c r="N10" s="304"/>
      <c r="O10" s="163" t="s">
        <v>7</v>
      </c>
      <c r="P10" s="6">
        <v>0.1</v>
      </c>
      <c r="Q10" s="163" t="s">
        <v>55</v>
      </c>
      <c r="R10" s="179"/>
      <c r="U10" s="163" t="s">
        <v>28</v>
      </c>
      <c r="V10" s="163" t="s">
        <v>41</v>
      </c>
      <c r="W10" s="163" t="s">
        <v>45</v>
      </c>
      <c r="X10" s="163" t="s">
        <v>48</v>
      </c>
      <c r="Y10" s="163" t="str">
        <f>IF(AND($P$21&gt;34.99,P21&lt;59.99),"correto","erro")</f>
        <v>erro</v>
      </c>
      <c r="Z10" s="163" t="str">
        <f>IF($P$13&lt;=5,"baixo","erro")</f>
        <v>erro</v>
      </c>
      <c r="AA10" s="163" t="str">
        <f>IF(AND($P$13&gt;=5.01,$P$13&lt;=8),"medio","erro")</f>
        <v>erro</v>
      </c>
      <c r="AB10" s="163" t="str">
        <f>IF($P$13&gt;8,"adequado","erro")</f>
        <v>adequado</v>
      </c>
      <c r="AC10" s="163" t="str">
        <f>IF(Z10="baixo","baixo",IF(AA10="medio","medio",IF(AB10="adequado","adequado",0)))</f>
        <v>adequado</v>
      </c>
      <c r="AD10" s="301"/>
      <c r="AF10" s="307"/>
      <c r="AG10" s="161" t="s">
        <v>26</v>
      </c>
      <c r="AH10" s="161" t="s">
        <v>212</v>
      </c>
      <c r="AI10" s="163" t="str">
        <f>IF(AND($P$14&gt;=0.201,$P$14&lt;=0.5),"medio","erro")</f>
        <v>erro</v>
      </c>
      <c r="AJ10" s="301"/>
      <c r="AK10" s="301"/>
      <c r="AL10" s="301"/>
      <c r="AM10" s="302"/>
      <c r="AO10" s="7"/>
      <c r="AP10" s="295" t="s">
        <v>232</v>
      </c>
      <c r="AQ10" s="295" t="s">
        <v>233</v>
      </c>
      <c r="AR10" s="295"/>
      <c r="AS10" s="160" t="s">
        <v>33</v>
      </c>
      <c r="AT10" s="160" t="s">
        <v>198</v>
      </c>
      <c r="AU10" s="160" t="s">
        <v>199</v>
      </c>
      <c r="AV10" s="296" t="s">
        <v>234</v>
      </c>
      <c r="AW10" s="7"/>
      <c r="AX10" s="7"/>
      <c r="AY10" s="7"/>
      <c r="AZ10" s="7"/>
      <c r="BA10" s="7"/>
      <c r="BB10" s="7"/>
    </row>
    <row r="11" spans="1:54" ht="19.5" customHeight="1" x14ac:dyDescent="0.25">
      <c r="B11" s="163" t="s">
        <v>108</v>
      </c>
      <c r="C11" s="298"/>
      <c r="D11" s="298"/>
      <c r="E11" s="298"/>
      <c r="F11" s="298"/>
      <c r="G11" s="298"/>
      <c r="H11" s="298"/>
      <c r="I11" s="299"/>
      <c r="M11" s="303"/>
      <c r="N11" s="304"/>
      <c r="O11" s="163" t="s">
        <v>8</v>
      </c>
      <c r="P11" s="5">
        <v>3.4</v>
      </c>
      <c r="Q11" s="163" t="s">
        <v>55</v>
      </c>
      <c r="R11" s="179"/>
      <c r="U11" s="163" t="s">
        <v>38</v>
      </c>
      <c r="V11" s="163" t="s">
        <v>42</v>
      </c>
      <c r="W11" s="163" t="s">
        <v>46</v>
      </c>
      <c r="X11" s="163" t="s">
        <v>49</v>
      </c>
      <c r="Y11" s="163" t="str">
        <f>IF($P$21&gt;59.99,"correto","erro")</f>
        <v>correto</v>
      </c>
      <c r="Z11" s="163" t="str">
        <f>IF($P$13&lt;=3,"baixo","erro")</f>
        <v>erro</v>
      </c>
      <c r="AA11" s="163" t="str">
        <f>IF(AND($P$13&gt;=3.01,$P$13&lt;=6),"medio","erro")</f>
        <v>erro</v>
      </c>
      <c r="AB11" s="163" t="str">
        <f>IF($P$13&gt;6,"adequado","erro")</f>
        <v>adequado</v>
      </c>
      <c r="AC11" s="163" t="str">
        <f>IF(Z11="baixo","baixo",IF(AA11="medio","medio",IF(AB11="adequado","adequado",0)))</f>
        <v>adequado</v>
      </c>
      <c r="AD11" s="301"/>
      <c r="AF11" s="307"/>
      <c r="AG11" s="161" t="s">
        <v>208</v>
      </c>
      <c r="AH11" s="161" t="s">
        <v>207</v>
      </c>
      <c r="AI11" s="163" t="str">
        <f>IF($P$14&gt;0.5,"adequado","erro")</f>
        <v>erro</v>
      </c>
      <c r="AJ11" s="301"/>
      <c r="AK11" s="301"/>
      <c r="AL11" s="301"/>
      <c r="AM11" s="302"/>
      <c r="AO11" s="7"/>
      <c r="AP11" s="295"/>
      <c r="AQ11" s="295"/>
      <c r="AR11" s="295"/>
      <c r="AS11" s="9">
        <f>AS9</f>
        <v>900</v>
      </c>
      <c r="AT11" s="9">
        <f t="shared" ref="AT11:AU11" si="0">AT9</f>
        <v>0</v>
      </c>
      <c r="AU11" s="9">
        <f t="shared" si="0"/>
        <v>504</v>
      </c>
      <c r="AV11" s="297"/>
      <c r="AW11" s="7"/>
      <c r="AX11" s="7"/>
      <c r="AY11" s="7"/>
      <c r="AZ11" s="7"/>
      <c r="BA11" s="7"/>
      <c r="BB11" s="7"/>
    </row>
    <row r="12" spans="1:54" ht="19.5" customHeight="1" x14ac:dyDescent="0.25">
      <c r="B12" s="166" t="s">
        <v>109</v>
      </c>
      <c r="C12" s="300"/>
      <c r="D12" s="298"/>
      <c r="E12" s="298"/>
      <c r="F12" s="298"/>
      <c r="G12" s="298"/>
      <c r="H12" s="298"/>
      <c r="I12" s="299"/>
      <c r="M12" s="303"/>
      <c r="N12" s="304"/>
      <c r="O12" s="163" t="s">
        <v>9</v>
      </c>
      <c r="P12" s="6">
        <v>21</v>
      </c>
      <c r="Q12" s="163" t="s">
        <v>10</v>
      </c>
      <c r="R12" s="179"/>
      <c r="AF12" s="307" t="s">
        <v>219</v>
      </c>
      <c r="AG12" s="161" t="s">
        <v>25</v>
      </c>
      <c r="AH12" s="161" t="s">
        <v>215</v>
      </c>
      <c r="AI12" s="163" t="str">
        <f>IF($P$16&lt;=0.4,"baixo","erro")</f>
        <v>erro</v>
      </c>
      <c r="AJ12" s="301" t="str">
        <f>IF($AI$12="baixo","baixo",IF($AI$13="medio","medio",IF($AI$14="adequado","adequado",0)))</f>
        <v>adequado</v>
      </c>
      <c r="AK12" s="301">
        <f>IF(AJ12="Baixo",AL12,0)</f>
        <v>0</v>
      </c>
      <c r="AL12" s="301">
        <f>(AM12*1000)/$E$18</f>
        <v>1.8</v>
      </c>
      <c r="AM12" s="302">
        <v>0.5</v>
      </c>
      <c r="AO12" s="7"/>
      <c r="AP12" s="160">
        <v>7</v>
      </c>
      <c r="AQ12" s="295" t="str">
        <f>O79</f>
        <v>Ncalcio Formulado 07-00-30</v>
      </c>
      <c r="AR12" s="295"/>
      <c r="AS12" s="9">
        <f>IFERROR((VLOOKUP(AQ12,$V$100:$AB$179,3,0)*0.01)*AV12,0)</f>
        <v>117.60000000000001</v>
      </c>
      <c r="AT12" s="9">
        <f>IFERROR((VLOOKUP(AQ12,$V$100:$AB$179,5,0)*0.01)*AV12,0)</f>
        <v>0</v>
      </c>
      <c r="AU12" s="9">
        <f>IFERROR((VLOOKUP(AQ12,$V$100:$AB$179,7,0)*0.01)*AV12,0)</f>
        <v>504</v>
      </c>
      <c r="AV12" s="9">
        <f>IFERROR($AU$11*Q79/(VLOOKUP(AQ12,$V$100:$AB$179,7,0)/100),0)</f>
        <v>1680</v>
      </c>
      <c r="AW12" s="7"/>
      <c r="AX12" s="7"/>
      <c r="AY12" s="7"/>
      <c r="AZ12" s="7"/>
      <c r="BA12" s="7"/>
      <c r="BB12" s="7"/>
    </row>
    <row r="13" spans="1:54" ht="19.5" customHeight="1" x14ac:dyDescent="0.25">
      <c r="B13" s="166" t="s">
        <v>110</v>
      </c>
      <c r="C13" s="300"/>
      <c r="D13" s="298"/>
      <c r="E13" s="298"/>
      <c r="F13" s="298"/>
      <c r="G13" s="298"/>
      <c r="H13" s="298"/>
      <c r="I13" s="299"/>
      <c r="M13" s="303"/>
      <c r="N13" s="304"/>
      <c r="O13" s="163" t="s">
        <v>11</v>
      </c>
      <c r="P13" s="5">
        <v>9</v>
      </c>
      <c r="Q13" s="163" t="s">
        <v>12</v>
      </c>
      <c r="R13" s="179"/>
      <c r="AF13" s="307"/>
      <c r="AG13" s="161" t="s">
        <v>26</v>
      </c>
      <c r="AH13" s="161" t="s">
        <v>211</v>
      </c>
      <c r="AI13" s="163" t="str">
        <f>IF(AND($P$16&gt;=0.401,$P$16&lt;=0.8),"medio","erro")</f>
        <v>erro</v>
      </c>
      <c r="AJ13" s="301"/>
      <c r="AK13" s="301"/>
      <c r="AL13" s="301"/>
      <c r="AM13" s="302"/>
      <c r="AO13" s="7"/>
      <c r="AP13" s="160">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66" t="s">
        <v>111</v>
      </c>
      <c r="C14" s="300"/>
      <c r="D14" s="298"/>
      <c r="E14" s="298"/>
      <c r="F14" s="298"/>
      <c r="G14" s="299"/>
      <c r="H14" s="163" t="s">
        <v>112</v>
      </c>
      <c r="I14" s="90">
        <f ca="1">TODAY()</f>
        <v>44010</v>
      </c>
      <c r="M14" s="303"/>
      <c r="N14" s="304"/>
      <c r="O14" s="163" t="s">
        <v>13</v>
      </c>
      <c r="P14" s="6">
        <v>0.08</v>
      </c>
      <c r="Q14" s="163" t="s">
        <v>12</v>
      </c>
      <c r="R14" s="179"/>
      <c r="AF14" s="307"/>
      <c r="AG14" s="161" t="s">
        <v>208</v>
      </c>
      <c r="AH14" s="161" t="s">
        <v>206</v>
      </c>
      <c r="AI14" s="163" t="str">
        <f>IF($P$16&gt;0.8,"adequado","erro")</f>
        <v>adequado</v>
      </c>
      <c r="AJ14" s="301"/>
      <c r="AK14" s="301"/>
      <c r="AL14" s="301"/>
      <c r="AM14" s="302"/>
      <c r="AO14" s="7"/>
      <c r="AP14" s="160">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63" t="s">
        <v>14</v>
      </c>
      <c r="P15" s="5">
        <v>7.1</v>
      </c>
      <c r="Q15" s="163" t="s">
        <v>12</v>
      </c>
      <c r="R15" s="179"/>
      <c r="AF15" s="307" t="s">
        <v>218</v>
      </c>
      <c r="AG15" s="161" t="s">
        <v>25</v>
      </c>
      <c r="AH15" s="161" t="s">
        <v>214</v>
      </c>
      <c r="AI15" s="163" t="str">
        <f>IF($P$18&lt;=1.9,"baixo","erro")</f>
        <v>erro</v>
      </c>
      <c r="AJ15" s="301" t="str">
        <f>IF($AI$15="baixo","baixo",IF($AI$16="medio","medio",IF($AI$17="adequado","adequado",0)))</f>
        <v>adequado</v>
      </c>
      <c r="AK15" s="301">
        <f>IF(AJ15="Baixo",AL15,0)</f>
        <v>0</v>
      </c>
      <c r="AL15" s="301">
        <f>(AM15*1000)/$E$18</f>
        <v>3.6</v>
      </c>
      <c r="AM15" s="302">
        <v>1</v>
      </c>
      <c r="AO15" s="7"/>
      <c r="AP15" s="7"/>
      <c r="AQ15" s="7"/>
      <c r="AR15" s="7"/>
      <c r="AS15" s="28">
        <f>AS11-(SUM(AS12:AS14))</f>
        <v>782.4</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63" t="s">
        <v>15</v>
      </c>
      <c r="P16" s="6">
        <v>2.7</v>
      </c>
      <c r="Q16" s="163" t="s">
        <v>12</v>
      </c>
      <c r="R16" s="179"/>
      <c r="AF16" s="307"/>
      <c r="AG16" s="161" t="s">
        <v>26</v>
      </c>
      <c r="AH16" s="161" t="s">
        <v>210</v>
      </c>
      <c r="AI16" s="163" t="str">
        <f>IF(AND($P$18&gt;=1.901,$P$18&lt;=5),"medio","erro")</f>
        <v>erro</v>
      </c>
      <c r="AJ16" s="301"/>
      <c r="AK16" s="301"/>
      <c r="AL16" s="301"/>
      <c r="AM16" s="302"/>
      <c r="AO16" s="7"/>
      <c r="AP16" s="295" t="s">
        <v>232</v>
      </c>
      <c r="AQ16" s="295" t="s">
        <v>233</v>
      </c>
      <c r="AR16" s="295"/>
      <c r="AS16" s="160" t="s">
        <v>33</v>
      </c>
      <c r="AT16" s="160" t="s">
        <v>198</v>
      </c>
      <c r="AU16" s="160" t="s">
        <v>199</v>
      </c>
      <c r="AV16" s="296" t="s">
        <v>234</v>
      </c>
      <c r="AW16" s="7"/>
      <c r="AX16" s="7"/>
      <c r="AY16" s="7"/>
      <c r="AZ16" s="7"/>
      <c r="BA16" s="7"/>
      <c r="BB16" s="7"/>
    </row>
    <row r="17" spans="2:54" ht="19.5" customHeight="1" x14ac:dyDescent="0.25">
      <c r="M17" s="303"/>
      <c r="N17" s="304"/>
      <c r="O17" s="163" t="s">
        <v>16</v>
      </c>
      <c r="P17" s="5">
        <v>37.6</v>
      </c>
      <c r="Q17" s="163" t="s">
        <v>12</v>
      </c>
      <c r="R17" s="179"/>
      <c r="U17" s="311" t="s">
        <v>60</v>
      </c>
      <c r="V17" s="311"/>
      <c r="W17" s="311"/>
      <c r="X17" s="311"/>
      <c r="Y17" s="301" t="s">
        <v>59</v>
      </c>
      <c r="Z17" s="301"/>
      <c r="AA17" s="301"/>
      <c r="AB17" s="301"/>
      <c r="AC17" s="301"/>
      <c r="AD17" s="301"/>
      <c r="AF17" s="307"/>
      <c r="AG17" s="161" t="s">
        <v>208</v>
      </c>
      <c r="AH17" s="161" t="s">
        <v>205</v>
      </c>
      <c r="AI17" s="163" t="str">
        <f>IF($P$18&gt;5,"adequado","erro")</f>
        <v>adequado</v>
      </c>
      <c r="AJ17" s="301"/>
      <c r="AK17" s="301"/>
      <c r="AL17" s="301"/>
      <c r="AM17" s="302"/>
      <c r="AO17" s="7"/>
      <c r="AP17" s="295"/>
      <c r="AQ17" s="295"/>
      <c r="AR17" s="295"/>
      <c r="AS17" s="9">
        <f>AS15</f>
        <v>782.4</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277.77777777777777</v>
      </c>
      <c r="F18" s="301" t="s">
        <v>113</v>
      </c>
      <c r="G18" s="301"/>
      <c r="H18" s="301"/>
      <c r="I18" s="163">
        <f>O34</f>
        <v>1</v>
      </c>
      <c r="M18" s="303"/>
      <c r="N18" s="304"/>
      <c r="O18" s="163" t="s">
        <v>17</v>
      </c>
      <c r="P18" s="6">
        <v>23.1</v>
      </c>
      <c r="Q18" s="163" t="s">
        <v>12</v>
      </c>
      <c r="R18" s="179"/>
      <c r="U18" s="311"/>
      <c r="V18" s="311"/>
      <c r="W18" s="311"/>
      <c r="X18" s="311"/>
      <c r="Y18" s="301"/>
      <c r="Z18" s="301"/>
      <c r="AA18" s="301"/>
      <c r="AB18" s="301"/>
      <c r="AC18" s="301"/>
      <c r="AD18" s="301"/>
      <c r="AF18" s="307" t="s">
        <v>217</v>
      </c>
      <c r="AG18" s="161" t="s">
        <v>25</v>
      </c>
      <c r="AH18" s="161" t="s">
        <v>213</v>
      </c>
      <c r="AI18" s="163" t="str">
        <f>IF($P$19&lt;=1,"baixo","erro")</f>
        <v>erro</v>
      </c>
      <c r="AJ18" s="301" t="str">
        <f>IF($AI$18="baixo","baixo",IF($AI$19="medio","medio",IF($AI$20="adequado","adequado",0)))</f>
        <v>adequado</v>
      </c>
      <c r="AK18" s="301">
        <f>IF(AJ18="Baixo",AL18,0)</f>
        <v>0</v>
      </c>
      <c r="AL18" s="301">
        <f>(AM18*1000)/$E$18</f>
        <v>18</v>
      </c>
      <c r="AM18" s="302">
        <v>5</v>
      </c>
      <c r="AO18" s="7"/>
      <c r="AP18" s="160">
        <v>13</v>
      </c>
      <c r="AQ18" s="295" t="str">
        <f>O87</f>
        <v>Uréia</v>
      </c>
      <c r="AR18" s="295"/>
      <c r="AS18" s="9">
        <f>IFERROR((VLOOKUP(AQ18,$V$100:$AB$179,3,0)*0.01)*AV18,0)</f>
        <v>782.4</v>
      </c>
      <c r="AT18" s="9">
        <f>IFERROR((VLOOKUP(AQ18,$V$100:$AB$179,5,0)*0.01)*AV18,0)</f>
        <v>0</v>
      </c>
      <c r="AU18" s="9">
        <f>IFERROR((VLOOKUP(AQ18,$V$100:$AB$179,7,0)*0.01)*AV18,0)</f>
        <v>0</v>
      </c>
      <c r="AV18" s="9">
        <f>IFERROR($AS$17*Q87/(VLOOKUP(AQ18,$V$100:$AB$179,3,0)/100),0)</f>
        <v>1738.6666666666665</v>
      </c>
      <c r="AW18" s="7"/>
      <c r="AX18" s="7"/>
      <c r="AY18" s="7"/>
      <c r="AZ18" s="7"/>
      <c r="BA18" s="7"/>
      <c r="BB18" s="7"/>
    </row>
    <row r="19" spans="2:54" ht="19.5" customHeight="1" x14ac:dyDescent="0.25">
      <c r="M19" s="303"/>
      <c r="N19" s="304"/>
      <c r="O19" s="163" t="s">
        <v>18</v>
      </c>
      <c r="P19" s="5">
        <v>5.8</v>
      </c>
      <c r="Q19" s="163" t="s">
        <v>12</v>
      </c>
      <c r="R19" s="179"/>
      <c r="S19" s="11"/>
      <c r="U19" s="311"/>
      <c r="V19" s="311"/>
      <c r="W19" s="311"/>
      <c r="X19" s="311"/>
      <c r="Y19" s="301"/>
      <c r="Z19" s="301"/>
      <c r="AA19" s="301"/>
      <c r="AB19" s="301"/>
      <c r="AC19" s="301"/>
      <c r="AD19" s="301"/>
      <c r="AF19" s="307"/>
      <c r="AG19" s="161" t="s">
        <v>26</v>
      </c>
      <c r="AH19" s="161" t="s">
        <v>209</v>
      </c>
      <c r="AI19" s="163" t="str">
        <f>IF(AND($P$19&gt;=1.01,$P$19&lt;=1.6),"medio","erro")</f>
        <v>erro</v>
      </c>
      <c r="AJ19" s="301"/>
      <c r="AK19" s="301"/>
      <c r="AL19" s="301"/>
      <c r="AM19" s="302"/>
      <c r="AO19" s="7"/>
      <c r="AP19" s="160">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62.678375411635571</v>
      </c>
      <c r="H20" s="2" t="s">
        <v>52</v>
      </c>
      <c r="I20" s="91">
        <f>P21</f>
        <v>375</v>
      </c>
      <c r="M20" s="303"/>
      <c r="N20" s="304"/>
      <c r="O20" s="163" t="s">
        <v>19</v>
      </c>
      <c r="P20" s="6">
        <v>425</v>
      </c>
      <c r="Q20" s="163" t="s">
        <v>23</v>
      </c>
      <c r="R20" s="179"/>
      <c r="U20" s="163" t="s">
        <v>29</v>
      </c>
      <c r="V20" s="301" t="s">
        <v>74</v>
      </c>
      <c r="W20" s="301"/>
      <c r="X20" s="301"/>
      <c r="Y20" s="301"/>
      <c r="Z20" s="301"/>
      <c r="AA20" s="301"/>
      <c r="AB20" s="301"/>
      <c r="AC20" s="301"/>
      <c r="AD20" s="301"/>
      <c r="AF20" s="307"/>
      <c r="AG20" s="161" t="s">
        <v>208</v>
      </c>
      <c r="AH20" s="161" t="s">
        <v>204</v>
      </c>
      <c r="AI20" s="163" t="str">
        <f>IF($P$19&gt;1.6,"adequado","erro")</f>
        <v>adequado</v>
      </c>
      <c r="AJ20" s="301"/>
      <c r="AK20" s="301"/>
      <c r="AL20" s="301"/>
      <c r="AM20" s="302"/>
      <c r="AO20" s="7"/>
      <c r="AP20" s="160">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6.4</v>
      </c>
      <c r="D21" s="2" t="s">
        <v>115</v>
      </c>
      <c r="E21" s="2">
        <f>P9</f>
        <v>7.0000000000000007E-2</v>
      </c>
      <c r="F21" s="2" t="s">
        <v>116</v>
      </c>
      <c r="G21" s="2">
        <f>P23</f>
        <v>36.1</v>
      </c>
      <c r="H21" s="2" t="s">
        <v>85</v>
      </c>
      <c r="I21" s="2">
        <f>P18</f>
        <v>23.1</v>
      </c>
      <c r="M21" s="303"/>
      <c r="N21" s="304"/>
      <c r="O21" s="163" t="s">
        <v>52</v>
      </c>
      <c r="P21" s="5">
        <v>375</v>
      </c>
      <c r="Q21" s="163" t="s">
        <v>23</v>
      </c>
      <c r="R21" s="179"/>
      <c r="S21" s="11"/>
      <c r="U21" s="163" t="s">
        <v>23</v>
      </c>
      <c r="V21" s="163" t="s">
        <v>25</v>
      </c>
      <c r="W21" s="163" t="s">
        <v>26</v>
      </c>
      <c r="X21" s="163" t="s">
        <v>31</v>
      </c>
      <c r="Y21" s="163" t="s">
        <v>53</v>
      </c>
      <c r="Z21" s="301" t="s">
        <v>62</v>
      </c>
      <c r="AA21" s="301"/>
      <c r="AB21" s="301"/>
      <c r="AC21" s="163" t="s">
        <v>57</v>
      </c>
      <c r="AD21" s="163"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4.3</v>
      </c>
      <c r="D22" s="2" t="s">
        <v>79</v>
      </c>
      <c r="E22" s="2">
        <f>P13</f>
        <v>9</v>
      </c>
      <c r="F22" s="2" t="s">
        <v>84</v>
      </c>
      <c r="G22" s="2">
        <f>P14</f>
        <v>0.08</v>
      </c>
      <c r="H22" s="2" t="s">
        <v>86</v>
      </c>
      <c r="I22" s="2">
        <f>P19</f>
        <v>5.8</v>
      </c>
      <c r="M22" s="303"/>
      <c r="N22" s="304"/>
      <c r="O22" s="163" t="s">
        <v>20</v>
      </c>
      <c r="P22" s="5">
        <v>200</v>
      </c>
      <c r="Q22" s="163" t="s">
        <v>23</v>
      </c>
      <c r="R22" s="179"/>
      <c r="U22" s="163" t="s">
        <v>50</v>
      </c>
      <c r="V22" s="163" t="s">
        <v>248</v>
      </c>
      <c r="W22" s="163" t="s">
        <v>250</v>
      </c>
      <c r="X22" s="163" t="s">
        <v>251</v>
      </c>
      <c r="Y22" s="163" t="str">
        <f>IF($P$21&lt;=20,"correto","erro")</f>
        <v>erro</v>
      </c>
      <c r="Z22" s="163" t="str">
        <f>IF($P$8&lt;=0.04,"baixo","erro")</f>
        <v>erro</v>
      </c>
      <c r="AA22" s="163" t="str">
        <f>IF(AND($P$8&gt;=0.041,$P$8&lt;=0.1),"medio","erro")</f>
        <v>erro</v>
      </c>
      <c r="AB22" s="163" t="str">
        <f>IF($P$8&gt;0.101,"adequado","erro")</f>
        <v>adequado</v>
      </c>
      <c r="AC22" s="163"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0.8</v>
      </c>
      <c r="D23" s="2" t="s">
        <v>117</v>
      </c>
      <c r="E23" s="2">
        <f>P11</f>
        <v>3.4</v>
      </c>
      <c r="F23" s="2" t="s">
        <v>87</v>
      </c>
      <c r="G23" s="2">
        <f>P16</f>
        <v>2.7</v>
      </c>
      <c r="H23" s="2" t="s">
        <v>83</v>
      </c>
      <c r="I23" s="2">
        <f>P15</f>
        <v>7.1</v>
      </c>
      <c r="M23" s="303"/>
      <c r="N23" s="304"/>
      <c r="O23" s="163" t="s">
        <v>21</v>
      </c>
      <c r="P23" s="5">
        <v>36.1</v>
      </c>
      <c r="Q23" s="163" t="s">
        <v>10</v>
      </c>
      <c r="R23" s="179"/>
      <c r="U23" s="163" t="s">
        <v>61</v>
      </c>
      <c r="V23" s="163" t="s">
        <v>249</v>
      </c>
      <c r="W23" s="163" t="s">
        <v>252</v>
      </c>
      <c r="X23" s="163" t="s">
        <v>253</v>
      </c>
      <c r="Y23" s="163" t="str">
        <f>IF($P$21&gt;20,"correto","erro")</f>
        <v>correto</v>
      </c>
      <c r="Z23" s="163" t="str">
        <f>IF($P$8&lt;=0.06,"baixo","erro")</f>
        <v>erro</v>
      </c>
      <c r="AA23" s="163" t="str">
        <f>IF(AND($P$8&gt;=0.061,$P$8&lt;=0.2),"medio","erro")</f>
        <v>erro</v>
      </c>
      <c r="AB23" s="163" t="str">
        <f>IF($P$8&gt;0.201,"adequado","erro")</f>
        <v>adequado</v>
      </c>
      <c r="AC23" s="163"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0.54</v>
      </c>
      <c r="D24" s="2" t="s">
        <v>118</v>
      </c>
      <c r="E24" s="2">
        <f>P10</f>
        <v>0.1</v>
      </c>
      <c r="F24" s="2" t="s">
        <v>89</v>
      </c>
      <c r="G24" s="2">
        <f>P17</f>
        <v>37.6</v>
      </c>
      <c r="H24" s="2" t="s">
        <v>119</v>
      </c>
      <c r="I24" s="2">
        <f>P25</f>
        <v>9.11</v>
      </c>
      <c r="M24" s="303"/>
      <c r="N24" s="304"/>
      <c r="O24" s="163" t="s">
        <v>22</v>
      </c>
      <c r="P24" s="2">
        <f>100*(P6+P7+P8+P9)/P25</f>
        <v>62.678375411635571</v>
      </c>
      <c r="Q24" s="163" t="s">
        <v>23</v>
      </c>
      <c r="R24" s="179"/>
      <c r="AO24" s="7"/>
      <c r="AP24" s="7"/>
      <c r="AQ24" s="7"/>
      <c r="AR24" s="7"/>
      <c r="AS24" s="28">
        <f>AS26-(SUM(AS27:AS36))</f>
        <v>3.6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63" t="s">
        <v>24</v>
      </c>
      <c r="P25" s="1">
        <f>(P6+P7+P8+P9+P11)</f>
        <v>9.11</v>
      </c>
      <c r="Q25" s="163" t="s">
        <v>55</v>
      </c>
      <c r="R25" s="179"/>
      <c r="AO25" s="7"/>
      <c r="AP25" s="326" t="s">
        <v>232</v>
      </c>
      <c r="AQ25" s="326" t="s">
        <v>233</v>
      </c>
      <c r="AR25" s="326"/>
      <c r="AS25" s="176" t="s">
        <v>84</v>
      </c>
      <c r="AT25" s="176" t="s">
        <v>87</v>
      </c>
      <c r="AU25" s="176" t="s">
        <v>85</v>
      </c>
      <c r="AV25" s="176" t="s">
        <v>86</v>
      </c>
      <c r="AW25" s="7"/>
      <c r="AX25" s="7"/>
      <c r="AY25" s="7"/>
      <c r="AZ25" s="7"/>
      <c r="BA25" s="7"/>
      <c r="BB25" s="7"/>
    </row>
    <row r="26" spans="2:54" ht="19.5" customHeight="1" thickBot="1" x14ac:dyDescent="0.3">
      <c r="B26" s="321" t="s">
        <v>246</v>
      </c>
      <c r="C26" s="322"/>
      <c r="D26" s="322"/>
      <c r="E26" s="322"/>
      <c r="F26" s="322"/>
      <c r="G26" s="322"/>
      <c r="H26" s="322"/>
      <c r="I26" s="323"/>
      <c r="J26" s="12"/>
      <c r="M26" s="180"/>
      <c r="N26" s="173"/>
      <c r="O26" s="173"/>
      <c r="P26" s="173"/>
      <c r="Q26" s="173"/>
      <c r="R26" s="181"/>
      <c r="U26" s="300" t="s">
        <v>281</v>
      </c>
      <c r="V26" s="298"/>
      <c r="W26" s="298"/>
      <c r="X26" s="298"/>
      <c r="Y26" s="298"/>
      <c r="Z26" s="299"/>
      <c r="AO26" s="7"/>
      <c r="AP26" s="326"/>
      <c r="AQ26" s="326"/>
      <c r="AR26" s="326"/>
      <c r="AS26" s="3">
        <f>AK9</f>
        <v>3.6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1.0325077399380798</v>
      </c>
      <c r="E27" s="329" t="str">
        <f>IF(J27&gt;0,"toneladas por hectare ou,","-")</f>
        <v>toneladas por hectare ou,</v>
      </c>
      <c r="F27" s="329"/>
      <c r="G27" s="329"/>
      <c r="H27" s="101" t="s">
        <v>447</v>
      </c>
      <c r="I27" s="101">
        <f>IFERROR((D27*1000*VLOOKUP(B27,$V$56:$W$68,2,0)*$O$34),0)</f>
        <v>578.20433436532471</v>
      </c>
      <c r="J27" s="32">
        <f>V51</f>
        <v>1.0325077399380798</v>
      </c>
      <c r="U27" s="163" t="s">
        <v>271</v>
      </c>
      <c r="V27" s="163" t="s">
        <v>282</v>
      </c>
      <c r="W27" s="163" t="s">
        <v>75</v>
      </c>
      <c r="X27" s="163" t="s">
        <v>71</v>
      </c>
      <c r="Y27" s="163" t="s">
        <v>283</v>
      </c>
      <c r="Z27" s="163" t="s">
        <v>284</v>
      </c>
      <c r="AO27" s="7"/>
      <c r="AP27" s="295" t="s">
        <v>235</v>
      </c>
      <c r="AQ27" s="295" t="str">
        <f>B30</f>
        <v>-</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0.10325077399380797</v>
      </c>
      <c r="E28" s="332" t="str">
        <f>IF(J28&gt;0,"gramas por metro quadrado","-")</f>
        <v>gramas por metro quadrado</v>
      </c>
      <c r="F28" s="332"/>
      <c r="G28" s="332"/>
      <c r="H28" s="102" t="s">
        <v>419</v>
      </c>
      <c r="I28" s="102">
        <f>I27/$E$18</f>
        <v>2.0815356037151691</v>
      </c>
      <c r="J28" s="32">
        <f>J27/10</f>
        <v>0.10325077399380797</v>
      </c>
      <c r="M28" s="177"/>
      <c r="N28" s="174"/>
      <c r="O28" s="174"/>
      <c r="P28" s="174"/>
      <c r="Q28" s="174"/>
      <c r="R28" s="178"/>
      <c r="U28" s="163" t="s">
        <v>50</v>
      </c>
      <c r="V28" s="163">
        <v>60000</v>
      </c>
      <c r="W28" s="163" t="s">
        <v>68</v>
      </c>
      <c r="X28" s="163" t="str">
        <f>CONCATENATE(U28," - ",W28)</f>
        <v>&lt; 20 - baixo</v>
      </c>
      <c r="Y28" s="163">
        <v>70000</v>
      </c>
      <c r="Z28" s="163">
        <v>70000</v>
      </c>
      <c r="AE28" s="162" t="s">
        <v>63</v>
      </c>
      <c r="AG28" s="163" t="s">
        <v>63</v>
      </c>
      <c r="AI28" s="15" t="s">
        <v>63</v>
      </c>
      <c r="AK28" s="15" t="s">
        <v>63</v>
      </c>
      <c r="AL28" s="163" t="s">
        <v>77</v>
      </c>
      <c r="AO28" s="7"/>
      <c r="AP28" s="295"/>
      <c r="AQ28" s="295" t="str">
        <f>B48</f>
        <v>Superfosfato simples</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179"/>
      <c r="U29" s="163" t="s">
        <v>50</v>
      </c>
      <c r="V29" s="163">
        <v>60000</v>
      </c>
      <c r="W29" s="163" t="s">
        <v>69</v>
      </c>
      <c r="X29" s="163" t="str">
        <f t="shared" ref="X29:X42" si="8">CONCATENATE(U29," - ",W29)</f>
        <v>&lt; 20 - medio</v>
      </c>
      <c r="Y29" s="163">
        <v>50000</v>
      </c>
      <c r="Z29" s="163">
        <v>45000</v>
      </c>
      <c r="AB29" s="312" t="s">
        <v>65</v>
      </c>
      <c r="AC29" s="312"/>
      <c r="AD29" s="12"/>
      <c r="AE29" s="162" t="s">
        <v>271</v>
      </c>
      <c r="AG29" s="163"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v>
      </c>
      <c r="C30" s="327"/>
      <c r="D30" s="94" t="str">
        <f>IF(J30&gt;0,J30,"-")</f>
        <v>-</v>
      </c>
      <c r="E30" s="332" t="str">
        <f>IF(J30&gt;0,"toneladas por hectare ou,","-")</f>
        <v>-</v>
      </c>
      <c r="F30" s="332"/>
      <c r="G30" s="332"/>
      <c r="H30" s="102" t="s">
        <v>447</v>
      </c>
      <c r="I30" s="102">
        <f>IFERROR((D30*1000*VLOOKUP(B30,$V$87:$W$95,2,0)*$O$34),0)</f>
        <v>0</v>
      </c>
      <c r="J30" s="32">
        <f>Z49</f>
        <v>0</v>
      </c>
      <c r="M30" s="303"/>
      <c r="N30" s="304"/>
      <c r="O30" s="5">
        <v>6</v>
      </c>
      <c r="P30" s="4" t="s">
        <v>179</v>
      </c>
      <c r="Q30" s="5">
        <v>6</v>
      </c>
      <c r="R30" s="179"/>
      <c r="U30" s="163" t="s">
        <v>50</v>
      </c>
      <c r="V30" s="163">
        <v>60000</v>
      </c>
      <c r="W30" s="163" t="s">
        <v>70</v>
      </c>
      <c r="X30" s="163" t="str">
        <f t="shared" si="8"/>
        <v>&lt; 20 - adequado</v>
      </c>
      <c r="Y30" s="163">
        <v>10000</v>
      </c>
      <c r="Z30" s="163">
        <v>30000</v>
      </c>
      <c r="AB30" s="165" t="s">
        <v>33</v>
      </c>
      <c r="AC30" s="4">
        <f>(VLOOKUP($P$39,$U$28:$V$42,2,0)/$E$18)/AD30</f>
        <v>900</v>
      </c>
      <c r="AD30" s="12">
        <f>'Abacate produção (1)'!$AD$30</f>
        <v>1</v>
      </c>
      <c r="AE30" s="162" t="s">
        <v>34</v>
      </c>
      <c r="AG30" s="163"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179"/>
      <c r="U31" s="163" t="s">
        <v>289</v>
      </c>
      <c r="V31" s="163">
        <v>85000</v>
      </c>
      <c r="W31" s="163" t="s">
        <v>68</v>
      </c>
      <c r="X31" s="163" t="str">
        <f t="shared" si="8"/>
        <v>20,1 - 40 - baixo</v>
      </c>
      <c r="Y31" s="163">
        <v>100000</v>
      </c>
      <c r="Z31" s="163">
        <v>100000</v>
      </c>
      <c r="AB31" s="165" t="s">
        <v>66</v>
      </c>
      <c r="AC31" s="165">
        <f>(VLOOKUP(AB36,X28:Z42,2,0)/$E$18)/AD31</f>
        <v>180</v>
      </c>
      <c r="AD31" s="12">
        <f>'Abacate produção (1)'!$AD$31</f>
        <v>1</v>
      </c>
      <c r="AE31" s="162" t="s">
        <v>50</v>
      </c>
      <c r="AG31" s="16" t="e">
        <f>10000/((($O$32/2)+($P$32/2))*$Q$32)</f>
        <v>#DIV/0!</v>
      </c>
      <c r="AI31" s="15">
        <v>0.1</v>
      </c>
      <c r="AK31" s="73" t="str">
        <f>'Adubos e corretivos (1)'!E122</f>
        <v>Esterco de galinha</v>
      </c>
      <c r="AL31" s="105">
        <f>'Adubos e corretivos (1)'!F122</f>
        <v>0.25</v>
      </c>
      <c r="AO31" s="7"/>
      <c r="AP31" s="295"/>
      <c r="AQ31" s="295" t="str">
        <f>B57</f>
        <v>Ncalcio Formulado 07-00-30</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179"/>
      <c r="U32" s="163" t="s">
        <v>289</v>
      </c>
      <c r="V32" s="163">
        <v>85000</v>
      </c>
      <c r="W32" s="163" t="s">
        <v>69</v>
      </c>
      <c r="X32" s="163" t="str">
        <f t="shared" si="8"/>
        <v>20,1 - 40 - medio</v>
      </c>
      <c r="Y32" s="163">
        <v>70000</v>
      </c>
      <c r="Z32" s="163">
        <v>70000</v>
      </c>
      <c r="AB32" s="165" t="s">
        <v>67</v>
      </c>
      <c r="AC32" s="165">
        <f>(VLOOKUP($AB$39,X28:Z42,3,0)/$E$18)/AD32</f>
        <v>504</v>
      </c>
      <c r="AD32" s="12">
        <f>'Abacate produção (1)'!$AD$32</f>
        <v>1</v>
      </c>
      <c r="AE32" s="162" t="s">
        <v>289</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179"/>
      <c r="U33" s="163" t="s">
        <v>289</v>
      </c>
      <c r="V33" s="163">
        <v>85000</v>
      </c>
      <c r="W33" s="163" t="s">
        <v>70</v>
      </c>
      <c r="X33" s="163" t="str">
        <f t="shared" si="8"/>
        <v>20,1 - 40 - adequado</v>
      </c>
      <c r="Y33" s="163">
        <v>20000</v>
      </c>
      <c r="Z33" s="163">
        <v>50000</v>
      </c>
      <c r="AE33" s="162" t="s">
        <v>290</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179"/>
      <c r="U34" s="163" t="s">
        <v>290</v>
      </c>
      <c r="V34" s="163">
        <v>140000</v>
      </c>
      <c r="W34" s="163" t="s">
        <v>68</v>
      </c>
      <c r="X34" s="163" t="str">
        <f t="shared" si="8"/>
        <v>40,1 - 60 - baixo</v>
      </c>
      <c r="Y34" s="163">
        <v>180000</v>
      </c>
      <c r="Z34" s="163">
        <v>170000</v>
      </c>
      <c r="AE34" s="162" t="s">
        <v>291</v>
      </c>
      <c r="AI34" s="15">
        <v>0.4</v>
      </c>
      <c r="AK34" s="76" t="str">
        <f>'Adubos e corretivos (1)'!E125</f>
        <v>Esterco de suínos</v>
      </c>
      <c r="AL34" s="106">
        <f>'Adubos e corretivos (1)'!F125</f>
        <v>0.04</v>
      </c>
      <c r="AO34" s="7"/>
      <c r="AP34" s="295"/>
      <c r="AQ34" s="295" t="str">
        <f>B66</f>
        <v>Uréia</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180"/>
      <c r="N35" s="173"/>
      <c r="O35" s="103">
        <f>IFERROR(IF(ISERR(P35),Q35,IF(ISERR(Q35),P35)),"-")</f>
        <v>277.77777777777777</v>
      </c>
      <c r="P35" s="17">
        <f>10000/($O$30*$Q$30)</f>
        <v>277.77777777777777</v>
      </c>
      <c r="Q35" s="17" t="e">
        <f>10000/((($O$32/2)+($P$32/2))*$Q$32)</f>
        <v>#DIV/0!</v>
      </c>
      <c r="R35" s="181"/>
      <c r="U35" s="163" t="s">
        <v>290</v>
      </c>
      <c r="V35" s="163">
        <v>140000</v>
      </c>
      <c r="W35" s="163" t="s">
        <v>69</v>
      </c>
      <c r="X35" s="163" t="str">
        <f t="shared" si="8"/>
        <v>40,1 - 60 - medio</v>
      </c>
      <c r="Y35" s="163">
        <v>120000</v>
      </c>
      <c r="Z35" s="163">
        <v>120000</v>
      </c>
      <c r="AB35" s="301" t="s">
        <v>72</v>
      </c>
      <c r="AC35" s="301"/>
      <c r="AE35" s="162" t="s">
        <v>461</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63" t="s">
        <v>290</v>
      </c>
      <c r="V36" s="163">
        <v>140000</v>
      </c>
      <c r="W36" s="163" t="s">
        <v>70</v>
      </c>
      <c r="X36" s="163" t="str">
        <f t="shared" si="8"/>
        <v>40,1 - 60 - adequado</v>
      </c>
      <c r="Y36" s="163">
        <v>30000</v>
      </c>
      <c r="Z36" s="163">
        <v>80000</v>
      </c>
      <c r="AB36" s="301" t="str">
        <f>CONCATENATE($P$39," - ",$AD$8)</f>
        <v>80,1 - 90 - adequado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177"/>
      <c r="N37" s="174"/>
      <c r="O37" s="174"/>
      <c r="P37" s="174"/>
      <c r="Q37" s="174"/>
      <c r="R37" s="178"/>
      <c r="U37" s="163" t="s">
        <v>291</v>
      </c>
      <c r="V37" s="163">
        <v>200000</v>
      </c>
      <c r="W37" s="163" t="s">
        <v>68</v>
      </c>
      <c r="X37" s="163" t="str">
        <f t="shared" si="8"/>
        <v>60,1 - 80 - baixo</v>
      </c>
      <c r="Y37" s="163">
        <v>250000</v>
      </c>
      <c r="Z37" s="163">
        <v>235000</v>
      </c>
      <c r="AI37" s="15">
        <v>0.7</v>
      </c>
      <c r="AK37" s="73" t="str">
        <f>'Adubos e corretivos (1)'!E128</f>
        <v>Compostos orgânicos</v>
      </c>
      <c r="AL37" s="105">
        <f>'Adubos e corretivos (1)'!F128</f>
        <v>0.7</v>
      </c>
      <c r="AO37" s="29"/>
      <c r="AP37" s="29"/>
      <c r="AQ37" s="29"/>
      <c r="AR37" s="29"/>
      <c r="AS37" s="28">
        <f>IF(AS24&gt;0,AS24,0)</f>
        <v>3.6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2812.5</v>
      </c>
      <c r="E38" s="329" t="str">
        <f>IF(J38&gt;0,"quilos por hectare ou,","-")</f>
        <v>quilos por hectare ou,</v>
      </c>
      <c r="F38" s="329"/>
      <c r="G38" s="329"/>
      <c r="H38" s="101" t="s">
        <v>447</v>
      </c>
      <c r="I38" s="101">
        <f>IFERROR((D38*VLOOKUP(B38,$V$73:$W$82,2,0)*$O$34),0)</f>
        <v>2137.5</v>
      </c>
      <c r="J38" s="33">
        <f>IF(O60="Não",P21*7.5, AE46)</f>
        <v>2812.5</v>
      </c>
      <c r="K38" s="35"/>
      <c r="M38" s="303" t="s">
        <v>188</v>
      </c>
      <c r="N38" s="332"/>
      <c r="O38" s="312" t="s">
        <v>272</v>
      </c>
      <c r="P38" s="312"/>
      <c r="Q38" s="312"/>
      <c r="R38" s="179"/>
      <c r="U38" s="163" t="s">
        <v>291</v>
      </c>
      <c r="V38" s="163">
        <v>200000</v>
      </c>
      <c r="W38" s="163" t="s">
        <v>69</v>
      </c>
      <c r="X38" s="163" t="str">
        <f t="shared" si="8"/>
        <v>60,1 - 80 - medio</v>
      </c>
      <c r="Y38" s="163">
        <v>170000</v>
      </c>
      <c r="Z38" s="163">
        <v>160000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281.25</v>
      </c>
      <c r="E39" s="332" t="str">
        <f>IF(J39&gt;0,"gramas por metro quadrado","-")</f>
        <v>gramas por metro quadrado</v>
      </c>
      <c r="F39" s="332"/>
      <c r="G39" s="332"/>
      <c r="H39" s="102" t="s">
        <v>446</v>
      </c>
      <c r="I39" s="102">
        <f>I38/$E$18</f>
        <v>7.6950000000000003</v>
      </c>
      <c r="J39" s="33">
        <f>J38/10</f>
        <v>281.25</v>
      </c>
      <c r="K39" s="35"/>
      <c r="M39" s="303"/>
      <c r="N39" s="332"/>
      <c r="O39" s="163" t="s">
        <v>274</v>
      </c>
      <c r="P39" s="330" t="s">
        <v>461</v>
      </c>
      <c r="Q39" s="330"/>
      <c r="R39" s="179"/>
      <c r="U39" s="163" t="s">
        <v>291</v>
      </c>
      <c r="V39" s="163">
        <v>200000</v>
      </c>
      <c r="W39" s="163" t="s">
        <v>70</v>
      </c>
      <c r="X39" s="163" t="str">
        <f t="shared" si="8"/>
        <v>60,1 - 80 - adequado</v>
      </c>
      <c r="Y39" s="163">
        <v>40000</v>
      </c>
      <c r="Z39" s="163">
        <v>110000</v>
      </c>
      <c r="AB39" s="301" t="str">
        <f>CONCATENATE($P$39," - ",$AD$22)</f>
        <v>80,1 - 90 - adequado</v>
      </c>
      <c r="AC39" s="301"/>
      <c r="AI39" s="15">
        <v>0.9</v>
      </c>
      <c r="AO39" s="7"/>
      <c r="AP39" s="295" t="s">
        <v>235</v>
      </c>
      <c r="AQ39" s="295"/>
      <c r="AR39" s="160" t="s">
        <v>84</v>
      </c>
      <c r="AS39" s="160" t="s">
        <v>87</v>
      </c>
      <c r="AT39" s="160" t="s">
        <v>85</v>
      </c>
      <c r="AU39" s="160" t="s">
        <v>86</v>
      </c>
      <c r="AV39" s="160" t="s">
        <v>200</v>
      </c>
      <c r="AW39" s="160" t="s">
        <v>84</v>
      </c>
      <c r="AX39" s="160" t="s">
        <v>87</v>
      </c>
      <c r="AY39" s="160" t="s">
        <v>85</v>
      </c>
      <c r="AZ39" s="160" t="s">
        <v>86</v>
      </c>
      <c r="BA39" s="7"/>
      <c r="BB39" s="7"/>
    </row>
    <row r="40" spans="2:57" ht="19.5" customHeight="1" x14ac:dyDescent="0.25">
      <c r="J40" s="12"/>
      <c r="K40" s="35"/>
      <c r="M40" s="303"/>
      <c r="N40" s="332"/>
      <c r="O40" s="168"/>
      <c r="P40" s="168"/>
      <c r="Q40" s="168"/>
      <c r="R40" s="179"/>
      <c r="U40" s="162" t="s">
        <v>461</v>
      </c>
      <c r="V40" s="163">
        <v>250000</v>
      </c>
      <c r="W40" s="163" t="s">
        <v>68</v>
      </c>
      <c r="X40" s="163" t="str">
        <f t="shared" si="8"/>
        <v>80,1 - 90 - baixo</v>
      </c>
      <c r="Y40" s="163">
        <v>320000</v>
      </c>
      <c r="Z40" s="163">
        <v>300000</v>
      </c>
      <c r="AI40" s="15">
        <v>1</v>
      </c>
      <c r="AO40" s="7"/>
      <c r="AP40" s="295" t="str">
        <f>O102</f>
        <v>Boráx</v>
      </c>
      <c r="AQ40" s="295"/>
      <c r="AR40" s="9">
        <f>IFERROR($AS$37/((VLOOKUP(AP40,$V$100:$AO$179,11,0)*0.01)),0)</f>
        <v>34.285714285714285</v>
      </c>
      <c r="AS40" s="9">
        <f>IFERROR($AT$37/((VLOOKUP(AP40,$V$100:$AO$179,14,0)*0.01)),0)</f>
        <v>0</v>
      </c>
      <c r="AT40" s="9">
        <f>IFERROR($AU$37/((VLOOKUP(AP40,$V$100:$AO$179,12,0)*0.01)),0)</f>
        <v>0</v>
      </c>
      <c r="AU40" s="9">
        <f>IFERROR($AV$37/((VLOOKUP(AP40,$V$100:$AO$179,13,0)*0.01)),0)</f>
        <v>0</v>
      </c>
      <c r="AV40" s="9">
        <f>MAX(AR40:AU40)</f>
        <v>34.285714285714285</v>
      </c>
      <c r="AW40" s="9">
        <f>IFERROR(AV40*(VLOOKUP(AP40,$V$100:$AO$179,11,0)*0.01),0)</f>
        <v>3.5999999999999996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179"/>
      <c r="U41" s="162" t="s">
        <v>461</v>
      </c>
      <c r="V41" s="163">
        <v>250000</v>
      </c>
      <c r="W41" s="163" t="s">
        <v>69</v>
      </c>
      <c r="X41" s="163" t="str">
        <f t="shared" si="8"/>
        <v>80,1 - 90 - medio</v>
      </c>
      <c r="Y41" s="163">
        <v>215000</v>
      </c>
      <c r="Z41" s="163">
        <v>200000</v>
      </c>
      <c r="AO41" s="7"/>
      <c r="AP41" s="295">
        <f>O103</f>
        <v>0</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68"/>
      <c r="BD41" s="168"/>
      <c r="BE41" s="168"/>
    </row>
    <row r="42" spans="2:57" ht="19.5" customHeight="1" x14ac:dyDescent="0.25">
      <c r="B42" s="328"/>
      <c r="C42" s="328"/>
      <c r="D42" s="328"/>
      <c r="E42" s="328"/>
      <c r="F42" s="328"/>
      <c r="G42" s="328"/>
      <c r="H42" s="328"/>
      <c r="I42" s="328"/>
      <c r="J42" s="12"/>
      <c r="K42" s="35"/>
      <c r="M42" s="303"/>
      <c r="N42" s="332"/>
      <c r="O42" s="333" t="s">
        <v>145</v>
      </c>
      <c r="P42" s="334"/>
      <c r="Q42" s="335"/>
      <c r="R42" s="179"/>
      <c r="U42" s="162" t="s">
        <v>461</v>
      </c>
      <c r="V42" s="163">
        <v>250000</v>
      </c>
      <c r="W42" s="163" t="s">
        <v>70</v>
      </c>
      <c r="X42" s="163" t="str">
        <f t="shared" si="8"/>
        <v>80,1 - 90 - adequado</v>
      </c>
      <c r="Y42" s="163">
        <v>50000</v>
      </c>
      <c r="Z42" s="163">
        <v>140000</v>
      </c>
      <c r="AO42" s="7"/>
      <c r="AP42" s="295">
        <f>O104</f>
        <v>0</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180"/>
      <c r="N43" s="173"/>
      <c r="O43" s="173"/>
      <c r="P43" s="173"/>
      <c r="Q43" s="173"/>
      <c r="R43" s="181"/>
      <c r="AO43" s="7"/>
      <c r="AP43" s="295">
        <f>O105</f>
        <v>0</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500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Esterco de galinha</v>
      </c>
      <c r="C45" s="365"/>
      <c r="D45" s="108">
        <f>IFERROR((D46*$E$18),0)</f>
        <v>1111.1111111111111</v>
      </c>
      <c r="E45" s="329" t="str">
        <f>IF(AQ58&gt;0,"quilos para área total","-")</f>
        <v>quilos para área total</v>
      </c>
      <c r="F45" s="329"/>
      <c r="G45" s="329"/>
      <c r="H45" s="101" t="s">
        <v>447</v>
      </c>
      <c r="I45" s="102">
        <f>I46*$E$18*$I$18</f>
        <v>277.77777777777777</v>
      </c>
      <c r="J45" s="33">
        <f>AV7</f>
        <v>514.28571428571433</v>
      </c>
      <c r="K45" s="35"/>
      <c r="M45" s="177"/>
      <c r="N45" s="174"/>
      <c r="O45" s="337" t="s">
        <v>275</v>
      </c>
      <c r="P45" s="337"/>
      <c r="Q45" s="337"/>
      <c r="R45" s="178"/>
      <c r="U45" s="300" t="s">
        <v>101</v>
      </c>
      <c r="V45" s="299"/>
      <c r="X45" s="301" t="s">
        <v>181</v>
      </c>
      <c r="Y45" s="301"/>
      <c r="Z45" s="301"/>
      <c r="AB45" s="163" t="s">
        <v>399</v>
      </c>
      <c r="AC45" s="163" t="str">
        <f>IF($P$63&lt;=0.5,"Sim","Não")</f>
        <v>Não</v>
      </c>
      <c r="AD45" s="163" t="s">
        <v>171</v>
      </c>
      <c r="AE45" s="163">
        <f>P21*7.5</f>
        <v>2812.5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f>IF(AQ58&gt;0,AQ58,"-")</f>
        <v>4</v>
      </c>
      <c r="E46" s="332" t="str">
        <f>IF(AQ58&gt;0,"quilos por cova ou planta","-")</f>
        <v>quilos por cova ou planta</v>
      </c>
      <c r="F46" s="332"/>
      <c r="G46" s="332"/>
      <c r="H46" s="102" t="s">
        <v>446</v>
      </c>
      <c r="I46" s="102">
        <f>IFERROR(D46*VLOOKUP(B45,$AK$29:$AL$38,2,0),0)</f>
        <v>1</v>
      </c>
      <c r="J46" s="33">
        <f>AV8</f>
        <v>0</v>
      </c>
      <c r="K46" s="35"/>
      <c r="M46" s="303" t="s">
        <v>189</v>
      </c>
      <c r="N46" s="332"/>
      <c r="O46" s="338"/>
      <c r="P46" s="338"/>
      <c r="Q46" s="338"/>
      <c r="R46" s="179"/>
      <c r="U46" s="163" t="s">
        <v>102</v>
      </c>
      <c r="V46" s="31">
        <f>'Adubos e corretivos (1)'!C124</f>
        <v>70</v>
      </c>
      <c r="X46" s="336" t="s">
        <v>242</v>
      </c>
      <c r="Y46" s="336"/>
      <c r="Z46" s="2">
        <f>IFERROR(VLOOKUP(O50,$V$87:$AE$95,10,0),0)</f>
        <v>0</v>
      </c>
      <c r="AB46" s="163" t="s">
        <v>400</v>
      </c>
      <c r="AC46" s="163" t="str">
        <f>IF($P$64&gt;=0.5,"Sim","Não")</f>
        <v>Não</v>
      </c>
      <c r="AD46" s="163" t="s">
        <v>170</v>
      </c>
      <c r="AE46" s="163">
        <f>IF(OR(AC45="Sim",AC46="Sim",AC47="Sim"),P21*7.5,0)</f>
        <v>2812.5</v>
      </c>
      <c r="AO46" s="7"/>
      <c r="AP46" s="7"/>
      <c r="AQ46" s="7"/>
      <c r="AR46" s="7"/>
      <c r="AS46" s="7"/>
      <c r="AT46" s="7"/>
      <c r="AU46" s="7"/>
      <c r="AV46" s="7"/>
      <c r="AW46" s="7"/>
      <c r="AX46" s="7"/>
      <c r="AY46" s="7"/>
      <c r="AZ46" s="7"/>
      <c r="BA46" s="7"/>
      <c r="BB46" s="7"/>
    </row>
    <row r="47" spans="2:57" ht="19.5" customHeight="1" x14ac:dyDescent="0.25">
      <c r="D47" s="110"/>
      <c r="J47" s="33">
        <f>AV12</f>
        <v>1680</v>
      </c>
      <c r="K47" s="35"/>
      <c r="M47" s="303"/>
      <c r="N47" s="332"/>
      <c r="O47" s="333" t="s">
        <v>442</v>
      </c>
      <c r="P47" s="335"/>
      <c r="Q47" s="18">
        <v>1</v>
      </c>
      <c r="R47" s="179"/>
      <c r="U47" s="163" t="s">
        <v>104</v>
      </c>
      <c r="V47" s="2">
        <f>IFERROR((((V46-P24)*P25)/V49),0)</f>
        <v>1.0325077399380798</v>
      </c>
      <c r="X47" s="336" t="s">
        <v>182</v>
      </c>
      <c r="Y47" s="336"/>
      <c r="Z47" s="2">
        <f>IFERROR((($V$50/$Z$46)*$V$47),0)</f>
        <v>0</v>
      </c>
      <c r="AB47" s="163" t="s">
        <v>401</v>
      </c>
      <c r="AC47" s="163" t="str">
        <f>IF($P$65&gt;=20,"Sim","Não")</f>
        <v>Sim</v>
      </c>
      <c r="AD47" s="163"/>
      <c r="AE47" s="163"/>
      <c r="AO47" s="7"/>
      <c r="BA47" s="7"/>
      <c r="BB47" s="7"/>
    </row>
    <row r="48" spans="2:57" ht="19.5" customHeight="1" x14ac:dyDescent="0.25">
      <c r="B48" s="327" t="str">
        <f>IF(AQ6&gt;0,AQ6,"-")</f>
        <v>Superfosfato simples</v>
      </c>
      <c r="C48" s="327"/>
      <c r="D48" s="108">
        <f>IFERROR(((D49/1000)*$E$18),0)</f>
        <v>138.88888888888889</v>
      </c>
      <c r="E48" s="332" t="str">
        <f>IF(J44&gt;0,"quilos para área total","-")</f>
        <v>quilos para área total</v>
      </c>
      <c r="F48" s="332"/>
      <c r="G48" s="332"/>
      <c r="H48" s="102" t="s">
        <v>447</v>
      </c>
      <c r="I48" s="102">
        <f>I49*$E$18*$I$18</f>
        <v>233.33333333333331</v>
      </c>
      <c r="J48" s="33">
        <f>AV13</f>
        <v>0</v>
      </c>
      <c r="K48" s="35"/>
      <c r="M48" s="303"/>
      <c r="N48" s="332"/>
      <c r="O48" s="339" t="s">
        <v>276</v>
      </c>
      <c r="P48" s="339"/>
      <c r="Q48" s="339"/>
      <c r="R48" s="179"/>
      <c r="U48" s="163" t="s">
        <v>180</v>
      </c>
      <c r="V48" s="2">
        <f>IF(V47&lt;0,(0),IF(V47&gt;=0,(V47)))</f>
        <v>1.0325077399380798</v>
      </c>
      <c r="X48" s="336" t="s">
        <v>180</v>
      </c>
      <c r="Y48" s="336"/>
      <c r="Z48" s="2">
        <f>IFERROR(IF(Z47&lt;0,(0),IF(Z47&gt;=0,(Z47))),0)</f>
        <v>0</v>
      </c>
    </row>
    <row r="49" spans="2:50" ht="19.5" customHeight="1" x14ac:dyDescent="0.25">
      <c r="B49" s="327"/>
      <c r="C49" s="327"/>
      <c r="D49" s="109">
        <f>IF(J44&gt;0,J44,"-")</f>
        <v>500</v>
      </c>
      <c r="E49" s="332" t="str">
        <f>IF(J44&gt;0,"gramas por cova ou planta","-")</f>
        <v>gramas por cova ou planta</v>
      </c>
      <c r="F49" s="332"/>
      <c r="G49" s="332"/>
      <c r="H49" s="102" t="s">
        <v>446</v>
      </c>
      <c r="I49" s="102">
        <f>IFERROR((D49/1000)*VLOOKUP(B48,$V$100:$W$179,2,0),0)</f>
        <v>0.84</v>
      </c>
      <c r="J49" s="33">
        <f>AV14</f>
        <v>0</v>
      </c>
      <c r="K49" s="35"/>
      <c r="M49" s="303"/>
      <c r="N49" s="332"/>
      <c r="O49" s="338"/>
      <c r="P49" s="338"/>
      <c r="Q49" s="338"/>
      <c r="R49" s="179"/>
      <c r="U49" s="163" t="s">
        <v>103</v>
      </c>
      <c r="V49" s="2">
        <f>IFERROR(VLOOKUP($O$47,$V$56:$AA$68,5,0),0)</f>
        <v>64.599999999999994</v>
      </c>
      <c r="X49" s="336" t="s">
        <v>247</v>
      </c>
      <c r="Y49" s="336"/>
      <c r="Z49" s="2">
        <f>Z48*$Q$50</f>
        <v>0</v>
      </c>
    </row>
    <row r="50" spans="2:50" ht="19.5" customHeight="1" x14ac:dyDescent="0.25">
      <c r="J50" s="33">
        <f>AV18</f>
        <v>1738.6666666666665</v>
      </c>
      <c r="K50" s="35"/>
      <c r="L50" s="168"/>
      <c r="M50" s="303"/>
      <c r="N50" s="332"/>
      <c r="O50" s="333"/>
      <c r="P50" s="335"/>
      <c r="Q50" s="18"/>
      <c r="R50" s="179"/>
      <c r="U50" s="163" t="s">
        <v>174</v>
      </c>
      <c r="V50" s="2">
        <f>IFERROR(VLOOKUP($O$47,$V$56:$AA$68,6,0),0)</f>
        <v>45</v>
      </c>
      <c r="AT50" s="301" t="s">
        <v>254</v>
      </c>
      <c r="AU50" s="301"/>
      <c r="AV50" s="301"/>
    </row>
    <row r="51" spans="2:50" ht="19.5" customHeight="1" thickBot="1" x14ac:dyDescent="0.3">
      <c r="B51" s="327" t="str">
        <f>IF(AQ7&gt;0,AQ7,"-")</f>
        <v>Termofosfato YOORIN</v>
      </c>
      <c r="C51" s="327"/>
      <c r="D51" s="108">
        <f>IFERROR(((D52/1000)*$E$18),0)</f>
        <v>142.85714285714286</v>
      </c>
      <c r="E51" s="332" t="str">
        <f>IF(J45&gt;0,"quilos para área total","-")</f>
        <v>quilos para área total</v>
      </c>
      <c r="F51" s="332"/>
      <c r="G51" s="332"/>
      <c r="H51" s="102" t="s">
        <v>447</v>
      </c>
      <c r="I51" s="102">
        <f>I52*$E$18*$I$18</f>
        <v>332.14285714285722</v>
      </c>
      <c r="J51" s="33">
        <f>AV19</f>
        <v>0</v>
      </c>
      <c r="K51" s="35"/>
      <c r="L51" s="168"/>
      <c r="M51" s="180"/>
      <c r="N51" s="173"/>
      <c r="O51" s="173"/>
      <c r="P51" s="173"/>
      <c r="Q51" s="173"/>
      <c r="R51" s="181"/>
      <c r="U51" s="163" t="s">
        <v>247</v>
      </c>
      <c r="V51" s="2">
        <f>V48*$Q$47</f>
        <v>1.0325077399380798</v>
      </c>
      <c r="AT51" s="164" t="s">
        <v>264</v>
      </c>
      <c r="AU51" s="96" t="str">
        <f>AK29</f>
        <v>Composto de lixo (COL)</v>
      </c>
      <c r="AV51" s="164">
        <v>12</v>
      </c>
    </row>
    <row r="52" spans="2:50" ht="19.5" customHeight="1" x14ac:dyDescent="0.25">
      <c r="B52" s="327"/>
      <c r="C52" s="327"/>
      <c r="D52" s="109">
        <f>IF(J45&gt;0,J45,"-")</f>
        <v>514.28571428571433</v>
      </c>
      <c r="E52" s="332" t="str">
        <f>IF(J45&gt;0,"gramas por planta","-")</f>
        <v>gramas por planta</v>
      </c>
      <c r="F52" s="332"/>
      <c r="G52" s="332"/>
      <c r="H52" s="102" t="s">
        <v>446</v>
      </c>
      <c r="I52" s="102">
        <f>IFERROR((D52/1000)*VLOOKUP(B51,$V$100:$W$179,2,0),0)</f>
        <v>1.195714285714286</v>
      </c>
      <c r="J52" s="33">
        <f>AV20</f>
        <v>0</v>
      </c>
      <c r="K52" s="35"/>
      <c r="L52" s="168"/>
      <c r="AT52" s="164" t="s">
        <v>264</v>
      </c>
      <c r="AU52" s="96" t="str">
        <f t="shared" ref="AU52:AU59" si="10">AK30</f>
        <v>Cama de frango corte</v>
      </c>
      <c r="AV52" s="164">
        <v>4</v>
      </c>
    </row>
    <row r="53" spans="2:50" ht="19.5" customHeight="1" thickBot="1" x14ac:dyDescent="0.3">
      <c r="J53" s="34"/>
      <c r="K53" s="35"/>
      <c r="L53" s="168"/>
      <c r="AP53" s="168"/>
      <c r="AQ53" s="168"/>
      <c r="AS53" s="168"/>
      <c r="AT53" s="164" t="s">
        <v>264</v>
      </c>
      <c r="AU53" s="96" t="str">
        <f t="shared" si="10"/>
        <v>Esterco de galinha</v>
      </c>
      <c r="AV53" s="164">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177"/>
      <c r="N54" s="174"/>
      <c r="O54" s="174"/>
      <c r="P54" s="174"/>
      <c r="Q54" s="174"/>
      <c r="R54" s="178"/>
      <c r="U54" s="340" t="s">
        <v>124</v>
      </c>
      <c r="V54" s="340" t="s">
        <v>76</v>
      </c>
      <c r="W54" s="340" t="s">
        <v>77</v>
      </c>
      <c r="X54" s="340" t="s">
        <v>78</v>
      </c>
      <c r="Y54" s="340"/>
      <c r="Z54" s="340"/>
      <c r="AA54" s="340"/>
      <c r="AP54" s="341"/>
      <c r="AQ54" s="341"/>
      <c r="AS54" s="341"/>
      <c r="AT54" s="164" t="s">
        <v>264</v>
      </c>
      <c r="AU54" s="96" t="str">
        <f t="shared" si="10"/>
        <v>Esterco Bovino curtido</v>
      </c>
      <c r="AV54" s="164">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179"/>
      <c r="U55" s="340"/>
      <c r="V55" s="340"/>
      <c r="W55" s="340"/>
      <c r="X55" s="170" t="s">
        <v>98</v>
      </c>
      <c r="Y55" s="170" t="s">
        <v>99</v>
      </c>
      <c r="Z55" s="170" t="s">
        <v>100</v>
      </c>
      <c r="AA55" s="170" t="s">
        <v>176</v>
      </c>
      <c r="AP55" s="341"/>
      <c r="AQ55" s="341"/>
      <c r="AS55" s="341"/>
      <c r="AT55" s="164" t="s">
        <v>264</v>
      </c>
      <c r="AU55" s="96" t="str">
        <f t="shared" si="10"/>
        <v>Esterco de equino</v>
      </c>
      <c r="AV55" s="164">
        <v>12</v>
      </c>
    </row>
    <row r="56" spans="2:50" ht="19.5" customHeight="1" x14ac:dyDescent="0.25">
      <c r="J56" s="35"/>
      <c r="K56" s="35"/>
      <c r="M56" s="303"/>
      <c r="N56" s="332"/>
      <c r="O56" s="330" t="s">
        <v>169</v>
      </c>
      <c r="P56" s="330"/>
      <c r="Q56" s="330"/>
      <c r="R56" s="17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68"/>
      <c r="AQ56" s="168"/>
      <c r="AS56" s="168"/>
      <c r="AT56" s="164" t="s">
        <v>264</v>
      </c>
      <c r="AU56" s="96" t="str">
        <f t="shared" si="10"/>
        <v>Esterco de suínos</v>
      </c>
      <c r="AV56" s="164">
        <v>4</v>
      </c>
    </row>
    <row r="57" spans="2:50" ht="19.5" customHeight="1" x14ac:dyDescent="0.25">
      <c r="B57" s="327" t="str">
        <f>IF(AQ12&gt;0,AQ12,"-")</f>
        <v>Ncalcio Formulado 07-00-30</v>
      </c>
      <c r="C57" s="327"/>
      <c r="D57" s="108">
        <f>IFERROR(((D58/1000)*$E$18),0)</f>
        <v>466.66666666666663</v>
      </c>
      <c r="E57" s="354" t="str">
        <f>IF(J47&gt;0,"quilos para área total","-")</f>
        <v>quilos para área total</v>
      </c>
      <c r="F57" s="354"/>
      <c r="G57" s="354"/>
      <c r="H57" s="102" t="s">
        <v>447</v>
      </c>
      <c r="I57" s="102">
        <f>I58*$E$18*$I$18</f>
        <v>1567.9999999999998</v>
      </c>
      <c r="J57" s="35"/>
      <c r="K57" s="35"/>
      <c r="M57" s="303"/>
      <c r="N57" s="332"/>
      <c r="R57" s="17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68"/>
      <c r="AQ57" s="330" t="s">
        <v>273</v>
      </c>
      <c r="AR57" s="330"/>
      <c r="AS57" s="168"/>
      <c r="AT57" s="164" t="s">
        <v>264</v>
      </c>
      <c r="AU57" s="96" t="str">
        <f t="shared" si="10"/>
        <v>Esterco de ovinos</v>
      </c>
      <c r="AV57" s="164">
        <v>4</v>
      </c>
    </row>
    <row r="58" spans="2:50" ht="19.5" customHeight="1" x14ac:dyDescent="0.25">
      <c r="B58" s="327"/>
      <c r="C58" s="327"/>
      <c r="D58" s="108">
        <f>IF(J47&gt;0,J47,"-")</f>
        <v>1680</v>
      </c>
      <c r="E58" s="332" t="str">
        <f>IF(J47&gt;0,"gramas por planta","-")</f>
        <v>gramas por planta</v>
      </c>
      <c r="F58" s="332"/>
      <c r="G58" s="332"/>
      <c r="H58" s="102" t="s">
        <v>446</v>
      </c>
      <c r="I58" s="102">
        <f>IFERROR((D58/1000)*VLOOKUP(B57,$V$100:$W$179,2,0),0)</f>
        <v>5.6447999999999992</v>
      </c>
      <c r="J58" s="35"/>
      <c r="K58" s="35"/>
      <c r="M58" s="303"/>
      <c r="N58" s="332"/>
      <c r="O58" s="355" t="s">
        <v>398</v>
      </c>
      <c r="P58" s="356"/>
      <c r="Q58" s="357"/>
      <c r="R58" s="17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68"/>
      <c r="AQ58" s="330">
        <f>IFERROR(VLOOKUP($O$42,AU51:AV59,2,0),0)</f>
        <v>4</v>
      </c>
      <c r="AR58" s="330"/>
      <c r="AS58" s="168"/>
      <c r="AT58" s="164" t="s">
        <v>264</v>
      </c>
      <c r="AU58" s="96" t="str">
        <f t="shared" si="10"/>
        <v>Lodo de esgosto</v>
      </c>
      <c r="AV58" s="164">
        <v>4</v>
      </c>
    </row>
    <row r="59" spans="2:50" ht="19.5" customHeight="1" x14ac:dyDescent="0.25">
      <c r="J59" s="35"/>
      <c r="K59" s="35"/>
      <c r="M59" s="303"/>
      <c r="N59" s="332"/>
      <c r="O59" s="358"/>
      <c r="P59" s="359"/>
      <c r="Q59" s="360"/>
      <c r="R59" s="17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68"/>
      <c r="AS59" s="168"/>
      <c r="AT59" s="164" t="s">
        <v>264</v>
      </c>
      <c r="AU59" s="96" t="str">
        <f t="shared" si="10"/>
        <v>Compostos orgânicos</v>
      </c>
      <c r="AV59" s="164">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17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68"/>
      <c r="AQ60" s="168"/>
      <c r="AS60" s="168"/>
      <c r="AT60" s="168"/>
      <c r="AU60" s="168"/>
      <c r="AV60" s="168"/>
      <c r="AW60" s="168"/>
      <c r="AX60" s="16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17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68"/>
      <c r="AQ61" s="168"/>
      <c r="AS61" s="168"/>
      <c r="AT61" s="168"/>
      <c r="AU61" s="168"/>
      <c r="AV61" s="168"/>
      <c r="AW61" s="168"/>
      <c r="AX61" s="168"/>
    </row>
    <row r="62" spans="2:50" ht="19.5" customHeight="1" x14ac:dyDescent="0.25">
      <c r="J62" s="35"/>
      <c r="K62" s="35"/>
      <c r="M62" s="303"/>
      <c r="N62" s="332"/>
      <c r="O62" s="318" t="s">
        <v>407</v>
      </c>
      <c r="P62" s="319"/>
      <c r="Q62" s="320"/>
      <c r="R62" s="17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68"/>
      <c r="AT62" s="168"/>
      <c r="AU62" s="168"/>
      <c r="AV62" s="168"/>
      <c r="AW62" s="168"/>
      <c r="AX62" s="16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63" t="s">
        <v>3</v>
      </c>
      <c r="P63" s="6">
        <v>2</v>
      </c>
      <c r="Q63" s="163" t="s">
        <v>55</v>
      </c>
      <c r="R63" s="17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68"/>
      <c r="AT63" s="168"/>
      <c r="AU63" s="168"/>
      <c r="AV63" s="168"/>
      <c r="AW63" s="168"/>
      <c r="AX63" s="16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63" t="s">
        <v>7</v>
      </c>
      <c r="P64" s="6">
        <v>0.4</v>
      </c>
      <c r="Q64" s="163" t="s">
        <v>55</v>
      </c>
      <c r="R64" s="17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68"/>
      <c r="AT64" s="168"/>
      <c r="AU64" s="168"/>
      <c r="AV64" s="168"/>
      <c r="AW64" s="168"/>
      <c r="AX64" s="168"/>
    </row>
    <row r="65" spans="2:50" ht="19.5" customHeight="1" x14ac:dyDescent="0.25">
      <c r="H65" s="102"/>
      <c r="I65" s="21"/>
      <c r="J65" s="35"/>
      <c r="K65" s="35"/>
      <c r="M65" s="303"/>
      <c r="N65" s="332"/>
      <c r="O65" s="163" t="s">
        <v>402</v>
      </c>
      <c r="P65" s="5">
        <v>25</v>
      </c>
      <c r="Q65" s="163" t="s">
        <v>23</v>
      </c>
      <c r="R65" s="17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68"/>
      <c r="AT65" s="168"/>
      <c r="AU65" s="168"/>
      <c r="AV65" s="168"/>
      <c r="AW65" s="168"/>
      <c r="AX65" s="168"/>
    </row>
    <row r="66" spans="2:50" ht="19.5" customHeight="1" thickBot="1" x14ac:dyDescent="0.3">
      <c r="B66" s="327" t="str">
        <f>IF(AQ18&gt;0,AQ18,"-")</f>
        <v>Uréia</v>
      </c>
      <c r="C66" s="327"/>
      <c r="D66" s="108">
        <f>IFERROR(((D67/1000)*$E$18),0)</f>
        <v>482.96296296296293</v>
      </c>
      <c r="E66" s="354" t="str">
        <f>IF(J50&gt;0,"quilos para área total","-")</f>
        <v>quilos para área total</v>
      </c>
      <c r="F66" s="354"/>
      <c r="G66" s="354"/>
      <c r="H66" s="102" t="s">
        <v>447</v>
      </c>
      <c r="I66" s="102">
        <f>I67*$E$18*$I$18</f>
        <v>1352.2962962962961</v>
      </c>
      <c r="M66" s="180"/>
      <c r="N66" s="173"/>
      <c r="O66" s="173"/>
      <c r="P66" s="173"/>
      <c r="Q66" s="173"/>
      <c r="R66" s="18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68"/>
      <c r="AT66" s="168"/>
      <c r="AU66" s="168"/>
      <c r="AV66" s="168"/>
      <c r="AW66" s="168"/>
      <c r="AX66" s="168"/>
    </row>
    <row r="67" spans="2:50" ht="19.5" customHeight="1" thickBot="1" x14ac:dyDescent="0.3">
      <c r="B67" s="327"/>
      <c r="C67" s="327"/>
      <c r="D67" s="108">
        <f>IF(J50&gt;0,J50,"-")</f>
        <v>1738.6666666666665</v>
      </c>
      <c r="E67" s="332" t="str">
        <f>IF(J50&gt;0,"gramas por planta","-")</f>
        <v>gramas por planta</v>
      </c>
      <c r="F67" s="332"/>
      <c r="G67" s="332"/>
      <c r="H67" s="102" t="s">
        <v>446</v>
      </c>
      <c r="I67" s="102">
        <f>IFERROR((D67/1000)*VLOOKUP(B66,$V$100:$W$179,2,0),0)</f>
        <v>4.8682666666666661</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68"/>
      <c r="AT67" s="168"/>
      <c r="AU67" s="168"/>
      <c r="AV67" s="168"/>
      <c r="AW67" s="168"/>
      <c r="AX67" s="168"/>
    </row>
    <row r="68" spans="2:50" ht="19.5" customHeight="1" x14ac:dyDescent="0.25">
      <c r="H68" s="102"/>
      <c r="I68" s="21"/>
      <c r="M68" s="177"/>
      <c r="N68" s="174"/>
      <c r="O68" s="174"/>
      <c r="P68" s="174"/>
      <c r="Q68" s="174"/>
      <c r="R68" s="17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68"/>
      <c r="AT68" s="168"/>
      <c r="AU68" s="168"/>
      <c r="AV68" s="168"/>
      <c r="AW68" s="168"/>
      <c r="AX68" s="16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179"/>
      <c r="AS69" s="168"/>
      <c r="AT69" s="168"/>
      <c r="AU69" s="168"/>
      <c r="AV69" s="168"/>
      <c r="AW69" s="168"/>
      <c r="AX69" s="16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179"/>
      <c r="AS70" s="168"/>
      <c r="AT70" s="168"/>
      <c r="AU70" s="168"/>
      <c r="AV70" s="168"/>
      <c r="AW70" s="168"/>
      <c r="AX70" s="168"/>
    </row>
    <row r="71" spans="2:50" ht="19.5" customHeight="1" x14ac:dyDescent="0.25">
      <c r="M71" s="303"/>
      <c r="N71" s="332"/>
      <c r="O71" s="330" t="s">
        <v>192</v>
      </c>
      <c r="P71" s="330"/>
      <c r="Q71" s="18">
        <v>0.5</v>
      </c>
      <c r="R71" s="179"/>
      <c r="U71" s="349" t="s">
        <v>124</v>
      </c>
      <c r="V71" s="349" t="s">
        <v>76</v>
      </c>
      <c r="W71" s="349" t="s">
        <v>77</v>
      </c>
      <c r="X71" s="349" t="s">
        <v>257</v>
      </c>
      <c r="Y71" s="349"/>
      <c r="Z71" s="349"/>
      <c r="AS71" s="168"/>
      <c r="AT71" s="168"/>
      <c r="AU71" s="168"/>
      <c r="AV71" s="168"/>
      <c r="AW71" s="168"/>
      <c r="AX71" s="16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0.5</v>
      </c>
      <c r="R72" s="179"/>
      <c r="U72" s="349"/>
      <c r="V72" s="349"/>
      <c r="W72" s="349"/>
      <c r="X72" s="172" t="s">
        <v>81</v>
      </c>
      <c r="Y72" s="172" t="s">
        <v>82</v>
      </c>
      <c r="Z72" s="172" t="s">
        <v>83</v>
      </c>
      <c r="AS72" s="168"/>
      <c r="AT72" s="168"/>
      <c r="AU72" s="168"/>
      <c r="AV72" s="168"/>
      <c r="AW72" s="168"/>
      <c r="AX72" s="16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179"/>
      <c r="U73" s="361" t="s">
        <v>138</v>
      </c>
      <c r="V73" s="20" t="str">
        <f>'Adubos e corretivos (1)'!C104</f>
        <v>Gesso Nutrion</v>
      </c>
      <c r="W73" s="20">
        <f>'Adubos e corretivos (1)'!D104</f>
        <v>0</v>
      </c>
      <c r="X73" s="20">
        <f>'Adubos e corretivos (1)'!E104</f>
        <v>15</v>
      </c>
      <c r="Y73" s="20">
        <f>'Adubos e corretivos (1)'!F104</f>
        <v>0</v>
      </c>
      <c r="Z73" s="20">
        <f>'Adubos e corretivos (1)'!G104</f>
        <v>20</v>
      </c>
      <c r="AS73" s="168"/>
      <c r="AT73" s="168"/>
      <c r="AU73" s="168"/>
      <c r="AV73" s="168"/>
      <c r="AW73" s="168"/>
      <c r="AX73" s="168"/>
    </row>
    <row r="74" spans="2:50" ht="19.5" customHeight="1" x14ac:dyDescent="0.25">
      <c r="M74" s="303"/>
      <c r="N74" s="332"/>
      <c r="O74" s="168"/>
      <c r="P74" s="168"/>
      <c r="Q74" s="168"/>
      <c r="R74" s="179"/>
      <c r="U74" s="361"/>
      <c r="V74" s="20" t="str">
        <f>'Adubos e corretivos (1)'!C105</f>
        <v>Gesso Votorantim</v>
      </c>
      <c r="W74" s="20">
        <f>'Adubos e corretivos (1)'!D105</f>
        <v>0</v>
      </c>
      <c r="X74" s="20">
        <f>'Adubos e corretivos (1)'!E105</f>
        <v>16</v>
      </c>
      <c r="Y74" s="20">
        <f>'Adubos e corretivos (1)'!F105</f>
        <v>0</v>
      </c>
      <c r="Z74" s="20">
        <f>'Adubos e corretivos (1)'!G105</f>
        <v>20</v>
      </c>
      <c r="AS74" s="168"/>
      <c r="AT74" s="168"/>
      <c r="AU74" s="168"/>
      <c r="AV74" s="168"/>
      <c r="AW74" s="168"/>
      <c r="AX74" s="168"/>
    </row>
    <row r="75" spans="2:50" ht="19.5" customHeight="1" x14ac:dyDescent="0.25">
      <c r="B75" s="328" t="s">
        <v>405</v>
      </c>
      <c r="C75" s="328"/>
      <c r="D75" s="328"/>
      <c r="E75" s="328"/>
      <c r="F75" s="328"/>
      <c r="G75" s="328"/>
      <c r="H75" s="328"/>
      <c r="I75" s="328"/>
      <c r="M75" s="303"/>
      <c r="N75" s="332"/>
      <c r="O75" s="332" t="s">
        <v>238</v>
      </c>
      <c r="P75" s="332"/>
      <c r="Q75" s="332"/>
      <c r="R75" s="179"/>
      <c r="U75" s="361"/>
      <c r="V75" s="20" t="str">
        <f>'Adubos e corretivos (1)'!C106</f>
        <v>Gesso Agronelli</v>
      </c>
      <c r="W75" s="20">
        <f>'Adubos e corretivos (1)'!D106</f>
        <v>0.76</v>
      </c>
      <c r="X75" s="20">
        <f>'Adubos e corretivos (1)'!E106</f>
        <v>14</v>
      </c>
      <c r="Y75" s="20">
        <f>'Adubos e corretivos (1)'!F106</f>
        <v>0</v>
      </c>
      <c r="Z75" s="20">
        <f>'Adubos e corretivos (1)'!G106</f>
        <v>17</v>
      </c>
      <c r="AS75" s="168"/>
      <c r="AT75" s="168"/>
      <c r="AU75" s="168"/>
      <c r="AV75" s="168"/>
      <c r="AW75" s="168"/>
      <c r="AX75" s="168"/>
    </row>
    <row r="76" spans="2:50" ht="19.5" customHeight="1" x14ac:dyDescent="0.25">
      <c r="B76" s="328"/>
      <c r="C76" s="328"/>
      <c r="D76" s="328"/>
      <c r="E76" s="328"/>
      <c r="F76" s="328"/>
      <c r="G76" s="328"/>
      <c r="H76" s="328"/>
      <c r="I76" s="328"/>
      <c r="M76" s="303"/>
      <c r="N76" s="332"/>
      <c r="O76" s="168"/>
      <c r="P76" s="168"/>
      <c r="Q76" s="168"/>
      <c r="R76" s="179"/>
      <c r="U76" s="361"/>
      <c r="V76" s="20" t="str">
        <f>'Adubos e corretivos (1)'!C107</f>
        <v>Siligesso Agronelli</v>
      </c>
      <c r="W76" s="20">
        <f>'Adubos e corretivos (1)'!D107</f>
        <v>0</v>
      </c>
      <c r="X76" s="20">
        <f>'Adubos e corretivos (1)'!E107</f>
        <v>9.9</v>
      </c>
      <c r="Y76" s="20">
        <f>'Adubos e corretivos (1)'!F107</f>
        <v>0</v>
      </c>
      <c r="Z76" s="20">
        <f>'Adubos e corretivos (1)'!G107</f>
        <v>20.3</v>
      </c>
      <c r="AS76" s="168"/>
      <c r="AT76" s="168"/>
      <c r="AU76" s="168"/>
      <c r="AV76" s="168"/>
      <c r="AW76" s="168"/>
      <c r="AX76" s="168"/>
    </row>
    <row r="77" spans="2:50" ht="19.5" customHeight="1" x14ac:dyDescent="0.25">
      <c r="B77" s="328"/>
      <c r="C77" s="328"/>
      <c r="D77" s="328"/>
      <c r="E77" s="328"/>
      <c r="F77" s="328"/>
      <c r="G77" s="328"/>
      <c r="H77" s="328"/>
      <c r="I77" s="328"/>
      <c r="M77" s="303"/>
      <c r="N77" s="332"/>
      <c r="O77" s="351" t="s">
        <v>227</v>
      </c>
      <c r="P77" s="352"/>
      <c r="Q77" s="353"/>
      <c r="R77" s="179"/>
      <c r="U77" s="361"/>
      <c r="V77" s="20" t="str">
        <f>'Adubos e corretivos (1)'!C108</f>
        <v>Nutrigesso Nutrion</v>
      </c>
      <c r="W77" s="20">
        <f>'Adubos e corretivos (1)'!D108</f>
        <v>0</v>
      </c>
      <c r="X77" s="20">
        <f>'Adubos e corretivos (1)'!E108</f>
        <v>13</v>
      </c>
      <c r="Y77" s="20">
        <f>'Adubos e corretivos (1)'!F108</f>
        <v>0</v>
      </c>
      <c r="Z77" s="20">
        <f>'Adubos e corretivos (1)'!G108</f>
        <v>16</v>
      </c>
      <c r="AS77" s="168"/>
      <c r="AT77" s="168"/>
      <c r="AU77" s="168"/>
      <c r="AV77" s="168"/>
      <c r="AW77" s="168"/>
      <c r="AX77" s="168"/>
    </row>
    <row r="78" spans="2:50" ht="19.5" customHeight="1" x14ac:dyDescent="0.25">
      <c r="B78" s="328"/>
      <c r="C78" s="328"/>
      <c r="D78" s="328"/>
      <c r="E78" s="328"/>
      <c r="F78" s="328"/>
      <c r="G78" s="328"/>
      <c r="H78" s="328"/>
      <c r="I78" s="328"/>
      <c r="M78" s="303"/>
      <c r="N78" s="332"/>
      <c r="O78" s="351" t="s">
        <v>225</v>
      </c>
      <c r="P78" s="352"/>
      <c r="Q78" s="353"/>
      <c r="R78" s="179"/>
      <c r="U78" s="361"/>
      <c r="V78" s="20">
        <f>'Adubos e corretivos (1)'!C109</f>
        <v>0</v>
      </c>
      <c r="W78" s="20">
        <f>'Adubos e corretivos (1)'!D109</f>
        <v>0</v>
      </c>
      <c r="X78" s="20">
        <f>'Adubos e corretivos (1)'!E109</f>
        <v>0</v>
      </c>
      <c r="Y78" s="20">
        <f>'Adubos e corretivos (1)'!F109</f>
        <v>0</v>
      </c>
      <c r="Z78" s="20">
        <f>'Adubos e corretivos (1)'!G109</f>
        <v>0</v>
      </c>
      <c r="AS78" s="168"/>
      <c r="AT78" s="168"/>
      <c r="AU78" s="168"/>
      <c r="AV78" s="168"/>
      <c r="AW78" s="168"/>
      <c r="AX78" s="168"/>
    </row>
    <row r="79" spans="2:50" ht="19.5" customHeight="1" thickBot="1" x14ac:dyDescent="0.3">
      <c r="M79" s="303"/>
      <c r="N79" s="332"/>
      <c r="O79" s="330" t="s">
        <v>440</v>
      </c>
      <c r="P79" s="330"/>
      <c r="Q79" s="18">
        <v>1</v>
      </c>
      <c r="R79" s="179"/>
      <c r="U79" s="361"/>
      <c r="V79" s="20">
        <f>'Adubos e corretivos (1)'!C110</f>
        <v>0</v>
      </c>
      <c r="W79" s="20">
        <f>'Adubos e corretivos (1)'!D110</f>
        <v>0</v>
      </c>
      <c r="X79" s="20">
        <f>'Adubos e corretivos (1)'!E110</f>
        <v>0</v>
      </c>
      <c r="Y79" s="20">
        <f>'Adubos e corretivos (1)'!F110</f>
        <v>0</v>
      </c>
      <c r="Z79" s="20">
        <f>'Adubos e corretivos (1)'!G110</f>
        <v>0</v>
      </c>
      <c r="AS79" s="168"/>
      <c r="AT79" s="168"/>
      <c r="AU79" s="168"/>
      <c r="AV79" s="168"/>
      <c r="AW79" s="168"/>
      <c r="AX79" s="168"/>
    </row>
    <row r="80" spans="2:50" ht="19.5" customHeight="1" thickBot="1" x14ac:dyDescent="0.3">
      <c r="B80" s="321" t="s">
        <v>230</v>
      </c>
      <c r="C80" s="322"/>
      <c r="D80" s="322"/>
      <c r="E80" s="322"/>
      <c r="F80" s="322"/>
      <c r="G80" s="322"/>
      <c r="H80" s="322"/>
      <c r="I80" s="323"/>
      <c r="M80" s="303"/>
      <c r="N80" s="332"/>
      <c r="O80" s="330"/>
      <c r="P80" s="330"/>
      <c r="Q80" s="18"/>
      <c r="R80" s="179"/>
      <c r="U80" s="361"/>
      <c r="V80" s="20">
        <f>'Adubos e corretivos (1)'!C111</f>
        <v>0</v>
      </c>
      <c r="W80" s="20">
        <f>'Adubos e corretivos (1)'!D111</f>
        <v>0</v>
      </c>
      <c r="X80" s="20">
        <f>'Adubos e corretivos (1)'!E111</f>
        <v>0</v>
      </c>
      <c r="Y80" s="20">
        <f>'Adubos e corretivos (1)'!F111</f>
        <v>0</v>
      </c>
      <c r="Z80" s="20">
        <f>'Adubos e corretivos (1)'!G111</f>
        <v>0</v>
      </c>
      <c r="AS80" s="168"/>
      <c r="AT80" s="168"/>
      <c r="AU80" s="168"/>
      <c r="AV80" s="168"/>
      <c r="AW80" s="168"/>
      <c r="AX80" s="168"/>
    </row>
    <row r="81" spans="2:50" ht="19.5" customHeight="1" x14ac:dyDescent="0.25">
      <c r="M81" s="303"/>
      <c r="N81" s="332"/>
      <c r="O81" s="330"/>
      <c r="P81" s="330"/>
      <c r="Q81" s="18"/>
      <c r="R81" s="179"/>
      <c r="U81" s="361"/>
      <c r="V81" s="20">
        <f>'Adubos e corretivos (1)'!C112</f>
        <v>0</v>
      </c>
      <c r="W81" s="20">
        <f>'Adubos e corretivos (1)'!D112</f>
        <v>0</v>
      </c>
      <c r="X81" s="20">
        <f>'Adubos e corretivos (1)'!E112</f>
        <v>0</v>
      </c>
      <c r="Y81" s="20">
        <f>'Adubos e corretivos (1)'!F112</f>
        <v>0</v>
      </c>
      <c r="Z81" s="20">
        <f>'Adubos e corretivos (1)'!G112</f>
        <v>0</v>
      </c>
      <c r="AS81" s="168"/>
      <c r="AT81" s="168"/>
      <c r="AU81" s="168"/>
      <c r="AV81" s="168"/>
      <c r="AW81" s="168"/>
      <c r="AX81" s="168"/>
    </row>
    <row r="82" spans="2:50" ht="19.5" customHeight="1" x14ac:dyDescent="0.25">
      <c r="B82" s="327" t="str">
        <f>IF(AP40&gt;0,AP40,"-")</f>
        <v>Boráx</v>
      </c>
      <c r="C82" s="327"/>
      <c r="D82" s="108">
        <f>IFERROR(((D83/1000)*$E$18),0)</f>
        <v>9.5238095238095237</v>
      </c>
      <c r="E82" s="354" t="str">
        <f>IF(AV40&gt;0,"quilos para área total","-")</f>
        <v>quilos para área total</v>
      </c>
      <c r="F82" s="354"/>
      <c r="G82" s="354"/>
      <c r="H82" s="102" t="s">
        <v>447</v>
      </c>
      <c r="I82" s="102">
        <f>I83*$E$18*$I$18</f>
        <v>36.571428571428569</v>
      </c>
      <c r="M82" s="303"/>
      <c r="N82" s="332"/>
      <c r="O82" s="168"/>
      <c r="P82" s="168"/>
      <c r="Q82" s="168"/>
      <c r="R82" s="179"/>
      <c r="U82" s="361"/>
      <c r="V82" s="20">
        <f>'Adubos e corretivos (1)'!C113</f>
        <v>0</v>
      </c>
      <c r="W82" s="20">
        <f>'Adubos e corretivos (1)'!D113</f>
        <v>0</v>
      </c>
      <c r="X82" s="20">
        <f>'Adubos e corretivos (1)'!E113</f>
        <v>0</v>
      </c>
      <c r="Y82" s="20">
        <f>'Adubos e corretivos (1)'!F113</f>
        <v>0</v>
      </c>
      <c r="Z82" s="20">
        <f>'Adubos e corretivos (1)'!G113</f>
        <v>0</v>
      </c>
      <c r="AS82" s="168"/>
      <c r="AT82" s="168"/>
      <c r="AU82" s="168"/>
      <c r="AV82" s="168"/>
      <c r="AW82" s="168"/>
      <c r="AX82" s="168"/>
    </row>
    <row r="83" spans="2:50" ht="19.5" customHeight="1" x14ac:dyDescent="0.25">
      <c r="B83" s="327"/>
      <c r="C83" s="327"/>
      <c r="D83" s="108">
        <f>IF(AV40&gt;0,AV40,"-")</f>
        <v>34.285714285714285</v>
      </c>
      <c r="E83" s="332" t="str">
        <f>IF(AV40&gt;0,"gramas por planta","-")</f>
        <v>gramas por planta</v>
      </c>
      <c r="F83" s="332"/>
      <c r="G83" s="332"/>
      <c r="H83" s="102" t="s">
        <v>446</v>
      </c>
      <c r="I83" s="102">
        <f>IFERROR((D83/1000)*VLOOKUP(B82,$V$100:$W$179,2,0),0)</f>
        <v>0.13165714285714286</v>
      </c>
      <c r="M83" s="303"/>
      <c r="N83" s="332"/>
      <c r="O83" s="332" t="s">
        <v>238</v>
      </c>
      <c r="P83" s="332"/>
      <c r="Q83" s="332"/>
      <c r="R83" s="179"/>
      <c r="AS83" s="168"/>
      <c r="AT83" s="168"/>
      <c r="AU83" s="168"/>
      <c r="AV83" s="168"/>
      <c r="AW83" s="168"/>
      <c r="AX83" s="168"/>
    </row>
    <row r="84" spans="2:50" ht="19.5" customHeight="1" x14ac:dyDescent="0.25">
      <c r="M84" s="303"/>
      <c r="N84" s="332"/>
      <c r="O84" s="168"/>
      <c r="P84" s="168"/>
      <c r="Q84" s="168"/>
      <c r="R84" s="179"/>
      <c r="AS84" s="168"/>
      <c r="AT84" s="168"/>
      <c r="AU84" s="168"/>
      <c r="AV84" s="168"/>
      <c r="AW84" s="168"/>
      <c r="AX84" s="168"/>
    </row>
    <row r="85" spans="2:50" ht="19.5" customHeight="1" x14ac:dyDescent="0.25">
      <c r="B85" s="327" t="str">
        <f>IF(AP41&gt;0,AP41,"-")</f>
        <v>-</v>
      </c>
      <c r="C85" s="327"/>
      <c r="D85" s="108">
        <f>IFERROR(((D86/1000)*$E$18),0)</f>
        <v>0</v>
      </c>
      <c r="E85" s="354" t="str">
        <f>IF(AV41&gt;0,"quilos para área total","-")</f>
        <v>-</v>
      </c>
      <c r="F85" s="354"/>
      <c r="G85" s="354"/>
      <c r="H85" s="102" t="s">
        <v>447</v>
      </c>
      <c r="I85" s="102">
        <f>I86*$E$18*$I$18</f>
        <v>0</v>
      </c>
      <c r="M85" s="303"/>
      <c r="N85" s="332"/>
      <c r="O85" s="351" t="s">
        <v>228</v>
      </c>
      <c r="P85" s="352"/>
      <c r="Q85" s="353"/>
      <c r="R85" s="179"/>
      <c r="U85" s="350" t="s">
        <v>124</v>
      </c>
      <c r="V85" s="350" t="s">
        <v>76</v>
      </c>
      <c r="W85" s="350" t="s">
        <v>77</v>
      </c>
      <c r="X85" s="350" t="s">
        <v>78</v>
      </c>
      <c r="Y85" s="350"/>
      <c r="Z85" s="350"/>
      <c r="AA85" s="350"/>
      <c r="AB85" s="350"/>
      <c r="AC85" s="350"/>
      <c r="AD85" s="350"/>
      <c r="AE85" s="350"/>
      <c r="AS85" s="168"/>
      <c r="AT85" s="168"/>
      <c r="AU85" s="168"/>
      <c r="AV85" s="168"/>
      <c r="AW85" s="168"/>
      <c r="AX85" s="16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179"/>
      <c r="U86" s="350"/>
      <c r="V86" s="350"/>
      <c r="W86" s="350"/>
      <c r="X86" s="171" t="s">
        <v>106</v>
      </c>
      <c r="Y86" s="171" t="s">
        <v>79</v>
      </c>
      <c r="Z86" s="171" t="s">
        <v>66</v>
      </c>
      <c r="AA86" s="171" t="s">
        <v>80</v>
      </c>
      <c r="AB86" s="171" t="s">
        <v>67</v>
      </c>
      <c r="AC86" s="171" t="s">
        <v>172</v>
      </c>
      <c r="AD86" s="171" t="s">
        <v>173</v>
      </c>
      <c r="AE86" s="171" t="s">
        <v>183</v>
      </c>
      <c r="AS86" s="168"/>
      <c r="AT86" s="168"/>
      <c r="AU86" s="168"/>
      <c r="AV86" s="168"/>
      <c r="AW86" s="168"/>
      <c r="AX86" s="168"/>
    </row>
    <row r="87" spans="2:50" ht="19.5" customHeight="1" x14ac:dyDescent="0.25">
      <c r="J87" s="97"/>
      <c r="M87" s="303"/>
      <c r="N87" s="332"/>
      <c r="O87" s="330" t="s">
        <v>422</v>
      </c>
      <c r="P87" s="330"/>
      <c r="Q87" s="18">
        <v>1</v>
      </c>
      <c r="R87" s="17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68"/>
      <c r="AT87" s="168"/>
      <c r="AU87" s="168"/>
      <c r="AV87" s="168"/>
      <c r="AW87" s="168"/>
      <c r="AX87" s="168"/>
    </row>
    <row r="88" spans="2:50" ht="19.5" customHeight="1" x14ac:dyDescent="0.25">
      <c r="B88" s="327" t="str">
        <f>IF(AP42&gt;0,AP42,"-")</f>
        <v>-</v>
      </c>
      <c r="C88" s="327"/>
      <c r="D88" s="108">
        <f>IFERROR(((D89/1000)*$E$18),0)</f>
        <v>0</v>
      </c>
      <c r="E88" s="354" t="str">
        <f>IF(AV42&gt;0,"quilos para área total","-")</f>
        <v>-</v>
      </c>
      <c r="F88" s="354"/>
      <c r="G88" s="354"/>
      <c r="H88" s="102" t="s">
        <v>447</v>
      </c>
      <c r="I88" s="102">
        <f>I89*$E$18*$I$18</f>
        <v>0</v>
      </c>
      <c r="J88" s="97"/>
      <c r="M88" s="303"/>
      <c r="N88" s="332"/>
      <c r="O88" s="330"/>
      <c r="P88" s="330"/>
      <c r="Q88" s="18"/>
      <c r="R88" s="17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68"/>
      <c r="AT88" s="168"/>
      <c r="AU88" s="168"/>
      <c r="AV88" s="168"/>
      <c r="AW88" s="168"/>
      <c r="AX88" s="16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17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68"/>
      <c r="AT89" s="168"/>
      <c r="AU89" s="168"/>
      <c r="AV89" s="168"/>
      <c r="AW89" s="168"/>
      <c r="AX89" s="168"/>
    </row>
    <row r="90" spans="2:50" ht="19.5" customHeight="1" x14ac:dyDescent="0.25">
      <c r="M90" s="167"/>
      <c r="N90" s="168"/>
      <c r="O90" s="168"/>
      <c r="P90" s="168"/>
      <c r="Q90" s="168"/>
      <c r="R90" s="17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68"/>
      <c r="AT90" s="168"/>
      <c r="AU90" s="168"/>
      <c r="AV90" s="168"/>
      <c r="AW90" s="168"/>
      <c r="AX90" s="168"/>
    </row>
    <row r="91" spans="2:50" ht="19.5" customHeight="1" x14ac:dyDescent="0.25">
      <c r="B91" s="327" t="str">
        <f>IF(AP43&gt;0,AP43,"-")</f>
        <v>-</v>
      </c>
      <c r="C91" s="327"/>
      <c r="D91" s="108">
        <f>IFERROR(((D92/1000)*$E$18),0)</f>
        <v>0</v>
      </c>
      <c r="E91" s="354" t="str">
        <f>IF(AV43&gt;0,"quilos para área total","-")</f>
        <v>-</v>
      </c>
      <c r="F91" s="354"/>
      <c r="G91" s="354"/>
      <c r="H91" s="102" t="s">
        <v>447</v>
      </c>
      <c r="I91" s="102">
        <f>I92*$E$18*$I$18</f>
        <v>0</v>
      </c>
      <c r="M91" s="167"/>
      <c r="N91" s="168"/>
      <c r="O91" s="332" t="s">
        <v>238</v>
      </c>
      <c r="P91" s="332"/>
      <c r="Q91" s="332"/>
      <c r="R91" s="17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68"/>
      <c r="AT91" s="168"/>
      <c r="AU91" s="168"/>
      <c r="AV91" s="168"/>
      <c r="AW91" s="168"/>
      <c r="AX91" s="16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180"/>
      <c r="N92" s="173"/>
      <c r="O92" s="173"/>
      <c r="P92" s="173"/>
      <c r="Q92" s="173"/>
      <c r="R92" s="18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68"/>
      <c r="AT92" s="168"/>
      <c r="AU92" s="168"/>
      <c r="AV92" s="168"/>
      <c r="AW92" s="168"/>
      <c r="AX92" s="16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68"/>
      <c r="AT93" s="168"/>
      <c r="AU93" s="168"/>
      <c r="AV93" s="168"/>
      <c r="AW93" s="168"/>
      <c r="AX93" s="16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177"/>
      <c r="N94" s="174"/>
      <c r="O94" s="174"/>
      <c r="P94" s="174"/>
      <c r="Q94" s="174"/>
      <c r="R94" s="17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68"/>
      <c r="AT94" s="168"/>
      <c r="AU94" s="168"/>
      <c r="AV94" s="168"/>
      <c r="AW94" s="168"/>
      <c r="AX94" s="16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17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68"/>
      <c r="AT95" s="168"/>
      <c r="AU95" s="168"/>
      <c r="AV95" s="168"/>
      <c r="AW95" s="168"/>
      <c r="AX95" s="168"/>
    </row>
    <row r="96" spans="2:50" ht="19.5" customHeight="1" x14ac:dyDescent="0.25">
      <c r="G96" s="21"/>
      <c r="H96" s="21"/>
      <c r="I96" s="21"/>
      <c r="M96" s="303" t="s">
        <v>236</v>
      </c>
      <c r="N96" s="304"/>
      <c r="O96" s="26">
        <f>$AC$30</f>
        <v>900</v>
      </c>
      <c r="P96" s="26">
        <f>$AC$31</f>
        <v>180</v>
      </c>
      <c r="Q96" s="26">
        <f>$AC$32</f>
        <v>504</v>
      </c>
      <c r="R96" s="179"/>
      <c r="AS96" s="168"/>
      <c r="AT96" s="168"/>
      <c r="AU96" s="168"/>
      <c r="AV96" s="168"/>
      <c r="AW96" s="168"/>
      <c r="AX96" s="16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179"/>
      <c r="AS97" s="168"/>
      <c r="AT97" s="168"/>
      <c r="AU97" s="168"/>
      <c r="AV97" s="168"/>
      <c r="AW97" s="168"/>
      <c r="AX97" s="168"/>
    </row>
    <row r="98" spans="1:50" ht="19.5" customHeight="1" thickBot="1" x14ac:dyDescent="0.3">
      <c r="A98" s="169"/>
      <c r="B98" s="328"/>
      <c r="C98" s="328"/>
      <c r="D98" s="328"/>
      <c r="E98" s="328"/>
      <c r="F98" s="328"/>
      <c r="G98" s="328"/>
      <c r="H98" s="328"/>
      <c r="I98" s="328"/>
      <c r="M98" s="180"/>
      <c r="N98" s="173"/>
      <c r="O98" s="173"/>
      <c r="P98" s="173"/>
      <c r="Q98" s="173"/>
      <c r="R98" s="18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68"/>
      <c r="AT98" s="168"/>
      <c r="AU98" s="168"/>
      <c r="AV98" s="168"/>
      <c r="AW98" s="168"/>
      <c r="AX98" s="168"/>
    </row>
    <row r="99" spans="1:50" ht="19.5" customHeight="1" thickBot="1" x14ac:dyDescent="0.3">
      <c r="A99" s="169"/>
      <c r="B99" s="328"/>
      <c r="C99" s="328"/>
      <c r="D99" s="328"/>
      <c r="E99" s="328"/>
      <c r="F99" s="328"/>
      <c r="G99" s="328"/>
      <c r="H99" s="328"/>
      <c r="I99" s="328"/>
      <c r="U99" s="363"/>
      <c r="V99" s="363"/>
      <c r="W99" s="363"/>
      <c r="X99" s="175" t="s">
        <v>33</v>
      </c>
      <c r="Y99" s="175" t="s">
        <v>79</v>
      </c>
      <c r="Z99" s="175" t="s">
        <v>66</v>
      </c>
      <c r="AA99" s="175" t="s">
        <v>80</v>
      </c>
      <c r="AB99" s="175" t="s">
        <v>67</v>
      </c>
      <c r="AC99" s="175" t="s">
        <v>81</v>
      </c>
      <c r="AD99" s="175" t="s">
        <v>82</v>
      </c>
      <c r="AE99" s="175" t="s">
        <v>83</v>
      </c>
      <c r="AF99" s="175" t="s">
        <v>84</v>
      </c>
      <c r="AG99" s="175" t="s">
        <v>85</v>
      </c>
      <c r="AH99" s="175" t="s">
        <v>86</v>
      </c>
      <c r="AI99" s="175" t="s">
        <v>87</v>
      </c>
      <c r="AJ99" s="175" t="s">
        <v>88</v>
      </c>
      <c r="AK99" s="175" t="s">
        <v>89</v>
      </c>
      <c r="AL99" s="175" t="s">
        <v>106</v>
      </c>
      <c r="AM99" s="175" t="s">
        <v>90</v>
      </c>
      <c r="AN99" s="175" t="s">
        <v>91</v>
      </c>
      <c r="AO99" s="175" t="s">
        <v>92</v>
      </c>
      <c r="AS99" s="168"/>
      <c r="AT99" s="168"/>
      <c r="AU99" s="168"/>
      <c r="AV99" s="168"/>
      <c r="AW99" s="168"/>
      <c r="AX99" s="168"/>
    </row>
    <row r="100" spans="1:50" ht="19.5" customHeight="1" x14ac:dyDescent="0.25">
      <c r="A100" s="168"/>
      <c r="B100" s="328"/>
      <c r="C100" s="328"/>
      <c r="D100" s="328"/>
      <c r="E100" s="328"/>
      <c r="F100" s="328"/>
      <c r="G100" s="328"/>
      <c r="H100" s="328"/>
      <c r="I100" s="328"/>
      <c r="M100" s="177"/>
      <c r="N100" s="174"/>
      <c r="O100" s="174"/>
      <c r="P100" s="174"/>
      <c r="Q100" s="174"/>
      <c r="R100" s="17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68"/>
      <c r="AT100" s="168"/>
      <c r="AU100" s="168"/>
      <c r="AV100" s="168"/>
      <c r="AW100" s="168"/>
      <c r="AX100" s="168"/>
    </row>
    <row r="101" spans="1:50" ht="19.5" customHeight="1" thickBot="1" x14ac:dyDescent="0.3">
      <c r="A101" s="168"/>
      <c r="B101" s="111"/>
      <c r="C101" s="111"/>
      <c r="D101" s="108"/>
      <c r="H101" s="102"/>
      <c r="I101" s="102"/>
      <c r="M101" s="303" t="s">
        <v>239</v>
      </c>
      <c r="N101" s="304"/>
      <c r="O101" s="364" t="s">
        <v>229</v>
      </c>
      <c r="P101" s="364"/>
      <c r="Q101" s="364"/>
      <c r="R101" s="17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68"/>
      <c r="AT101" s="168"/>
      <c r="AU101" s="168"/>
      <c r="AV101" s="168"/>
      <c r="AW101" s="168"/>
      <c r="AX101" s="168"/>
    </row>
    <row r="102" spans="1:50" ht="19.5" customHeight="1" thickBot="1" x14ac:dyDescent="0.3">
      <c r="A102" s="168"/>
      <c r="B102" s="321" t="s">
        <v>417</v>
      </c>
      <c r="C102" s="322"/>
      <c r="D102" s="322"/>
      <c r="E102" s="322"/>
      <c r="F102" s="322"/>
      <c r="G102" s="322"/>
      <c r="H102" s="322"/>
      <c r="I102" s="323"/>
      <c r="M102" s="303"/>
      <c r="N102" s="304"/>
      <c r="O102" s="330" t="s">
        <v>431</v>
      </c>
      <c r="P102" s="330"/>
      <c r="Q102" s="330"/>
      <c r="R102" s="17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68"/>
      <c r="AT102" s="168"/>
      <c r="AU102" s="168"/>
      <c r="AV102" s="168"/>
      <c r="AW102" s="168"/>
      <c r="AX102" s="168"/>
    </row>
    <row r="103" spans="1:50" ht="19.5" customHeight="1" x14ac:dyDescent="0.25">
      <c r="M103" s="303"/>
      <c r="N103" s="304"/>
      <c r="O103" s="330"/>
      <c r="P103" s="330"/>
      <c r="Q103" s="330"/>
      <c r="R103" s="17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68"/>
      <c r="AT103" s="168"/>
      <c r="AU103" s="168"/>
      <c r="AV103" s="168"/>
      <c r="AW103" s="168"/>
      <c r="AX103" s="168"/>
    </row>
    <row r="104" spans="1:50" ht="19.5" customHeight="1" x14ac:dyDescent="0.25">
      <c r="C104" s="102" t="s">
        <v>457</v>
      </c>
      <c r="D104" s="102"/>
      <c r="G104" s="369">
        <f>IFERROR((I27+I30+I38+I45+I48+I51+I54+I57+I60+I63+I66+I69+I72+I82+I85+I88+I91+I94),0)</f>
        <v>6515.8260274870181</v>
      </c>
      <c r="H104" s="369"/>
      <c r="I104" s="112"/>
      <c r="M104" s="303"/>
      <c r="N104" s="304"/>
      <c r="O104" s="330"/>
      <c r="P104" s="330"/>
      <c r="Q104" s="330"/>
      <c r="R104" s="17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68"/>
      <c r="AT104" s="168"/>
      <c r="AU104" s="168"/>
      <c r="AV104" s="168"/>
      <c r="AW104" s="168"/>
      <c r="AX104" s="168"/>
    </row>
    <row r="105" spans="1:50" ht="19.5" customHeight="1" x14ac:dyDescent="0.25">
      <c r="M105" s="303"/>
      <c r="N105" s="304"/>
      <c r="O105" s="330"/>
      <c r="P105" s="330"/>
      <c r="Q105" s="330"/>
      <c r="R105" s="17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68"/>
      <c r="AT105" s="168"/>
      <c r="AU105" s="168"/>
      <c r="AV105" s="168"/>
      <c r="AW105" s="168"/>
      <c r="AX105" s="168"/>
    </row>
    <row r="106" spans="1:50" ht="19.5" customHeight="1" x14ac:dyDescent="0.25">
      <c r="C106" s="102" t="s">
        <v>458</v>
      </c>
      <c r="D106" s="102"/>
      <c r="G106" s="369">
        <f>IFERROR((I27+I30+I38+I48+I51+I54+I57+I60+I63+I66+I69+I72+I82+I85+I88+I91+I94),0)</f>
        <v>6238.0482497092407</v>
      </c>
      <c r="H106" s="369"/>
      <c r="M106" s="303"/>
      <c r="N106" s="304"/>
      <c r="O106" s="330"/>
      <c r="P106" s="330"/>
      <c r="Q106" s="330"/>
      <c r="R106" s="17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180"/>
      <c r="N107" s="173"/>
      <c r="O107" s="173"/>
      <c r="P107" s="173"/>
      <c r="Q107" s="173"/>
      <c r="R107" s="18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23.456973698953266</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177"/>
      <c r="N109" s="174"/>
      <c r="O109" s="174"/>
      <c r="P109" s="174"/>
      <c r="Q109" s="174"/>
      <c r="R109" s="17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22.456973698953266</v>
      </c>
      <c r="H110" s="369"/>
      <c r="M110" s="167" t="s">
        <v>243</v>
      </c>
      <c r="N110" s="25" t="s">
        <v>84</v>
      </c>
      <c r="O110" s="25" t="s">
        <v>87</v>
      </c>
      <c r="P110" s="25" t="s">
        <v>85</v>
      </c>
      <c r="Q110" s="25" t="s">
        <v>86</v>
      </c>
      <c r="R110" s="17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67" t="s">
        <v>236</v>
      </c>
      <c r="N111" s="26">
        <f>AS26</f>
        <v>3.6</v>
      </c>
      <c r="O111" s="26">
        <f>AT26</f>
        <v>0</v>
      </c>
      <c r="P111" s="26">
        <f>AU26</f>
        <v>0</v>
      </c>
      <c r="Q111" s="26">
        <f>AV26</f>
        <v>0</v>
      </c>
      <c r="R111" s="17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67" t="s">
        <v>244</v>
      </c>
      <c r="N112" s="6">
        <f>AW45</f>
        <v>0</v>
      </c>
      <c r="O112" s="6">
        <f>AX45</f>
        <v>0</v>
      </c>
      <c r="P112" s="6">
        <f>AY45</f>
        <v>0</v>
      </c>
      <c r="Q112" s="6">
        <f>AZ45</f>
        <v>0</v>
      </c>
      <c r="R112" s="17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180"/>
      <c r="N113" s="173"/>
      <c r="O113" s="173"/>
      <c r="P113" s="173"/>
      <c r="Q113" s="173"/>
      <c r="R113" s="18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177"/>
      <c r="N115" s="174"/>
      <c r="O115" s="174"/>
      <c r="P115" s="174"/>
      <c r="Q115" s="174"/>
      <c r="R115" s="17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17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422</v>
      </c>
      <c r="P117" s="330"/>
      <c r="Q117" s="1">
        <f>AA188</f>
        <v>699.42930467811391</v>
      </c>
      <c r="R117" s="17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95</v>
      </c>
      <c r="P118" s="330"/>
      <c r="Q118" s="1">
        <f t="shared" ref="Q118:Q143" si="17">AA189</f>
        <v>0</v>
      </c>
      <c r="R118" s="17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185</v>
      </c>
      <c r="P119" s="330"/>
      <c r="Q119" s="1">
        <f t="shared" si="17"/>
        <v>5.6843418860808015E-14</v>
      </c>
      <c r="R119" s="17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94</v>
      </c>
      <c r="P120" s="330"/>
      <c r="Q120" s="1">
        <f t="shared" si="17"/>
        <v>0</v>
      </c>
      <c r="R120" s="17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423</v>
      </c>
      <c r="P121" s="330"/>
      <c r="Q121" s="1">
        <f t="shared" si="17"/>
        <v>0</v>
      </c>
      <c r="R121" s="17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192</v>
      </c>
      <c r="P122" s="330"/>
      <c r="Q122" s="1">
        <f t="shared" si="17"/>
        <v>0</v>
      </c>
      <c r="R122" s="17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184</v>
      </c>
      <c r="P123" s="330"/>
      <c r="Q123" s="1">
        <f t="shared" si="17"/>
        <v>0</v>
      </c>
      <c r="R123" s="17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424</v>
      </c>
      <c r="P124" s="330"/>
      <c r="Q124" s="1">
        <f t="shared" si="17"/>
        <v>0</v>
      </c>
      <c r="R124" s="17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426</v>
      </c>
      <c r="P125" s="330"/>
      <c r="Q125" s="1">
        <f t="shared" si="17"/>
        <v>0</v>
      </c>
      <c r="R125" s="17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427</v>
      </c>
      <c r="P126" s="330"/>
      <c r="Q126" s="1">
        <f t="shared" si="17"/>
        <v>0</v>
      </c>
      <c r="R126" s="17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428</v>
      </c>
      <c r="P127" s="330"/>
      <c r="Q127" s="1">
        <f t="shared" si="17"/>
        <v>0</v>
      </c>
      <c r="R127" s="17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432</v>
      </c>
      <c r="P128" s="330"/>
      <c r="Q128" s="1">
        <f t="shared" si="17"/>
        <v>2.7469192028557415E-7</v>
      </c>
      <c r="R128" s="17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434</v>
      </c>
      <c r="P129" s="330"/>
      <c r="Q129" s="1">
        <f t="shared" si="17"/>
        <v>576.00028758763608</v>
      </c>
      <c r="R129" s="17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454</v>
      </c>
      <c r="P130" s="330"/>
      <c r="Q130" s="1">
        <f t="shared" si="17"/>
        <v>0</v>
      </c>
      <c r="R130" s="17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436</v>
      </c>
      <c r="P131" s="330"/>
      <c r="Q131" s="1">
        <f t="shared" si="17"/>
        <v>0</v>
      </c>
      <c r="R131" s="17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437</v>
      </c>
      <c r="P132" s="330"/>
      <c r="Q132" s="1">
        <f t="shared" si="17"/>
        <v>0</v>
      </c>
      <c r="R132" s="17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194</v>
      </c>
      <c r="P133" s="330"/>
      <c r="Q133" s="1">
        <f t="shared" si="17"/>
        <v>0</v>
      </c>
      <c r="R133" s="17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t="s">
        <v>438</v>
      </c>
      <c r="P134" s="330"/>
      <c r="Q134" s="1">
        <f t="shared" si="17"/>
        <v>6.4633382715998489E-7</v>
      </c>
      <c r="R134" s="17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t="s">
        <v>439</v>
      </c>
      <c r="P135" s="330"/>
      <c r="Q135" s="1">
        <f t="shared" si="17"/>
        <v>467.9998077933293</v>
      </c>
      <c r="R135" s="17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t="s">
        <v>440</v>
      </c>
      <c r="P136" s="330"/>
      <c r="Q136" s="1">
        <f t="shared" si="17"/>
        <v>3.4320963945942461E-7</v>
      </c>
      <c r="R136" s="17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t="s">
        <v>203</v>
      </c>
      <c r="P137" s="330"/>
      <c r="Q137" s="1">
        <f t="shared" si="17"/>
        <v>0</v>
      </c>
      <c r="R137" s="17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17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17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17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17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17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17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68"/>
      <c r="P144" s="168"/>
      <c r="Q144" s="168"/>
      <c r="R144" s="17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4177.4421929995615</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68"/>
      <c r="P146" s="168"/>
      <c r="Q146" s="168"/>
      <c r="R146" s="17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15.038791894798422</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180"/>
      <c r="N148" s="173"/>
      <c r="O148" s="173"/>
      <c r="P148" s="173"/>
      <c r="Q148" s="173"/>
      <c r="R148" s="18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Q152" s="213"/>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6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6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6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6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68"/>
      <c r="L158" s="16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68"/>
      <c r="L159" s="16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68"/>
      <c r="L160" s="16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68"/>
      <c r="L161" s="16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68"/>
      <c r="L162" s="16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68"/>
      <c r="L163" s="16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68"/>
      <c r="L164" s="16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68"/>
      <c r="L165" s="16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68"/>
      <c r="L166" s="16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68"/>
      <c r="L167" s="16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68"/>
      <c r="L168" s="16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68"/>
      <c r="L169" s="16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68"/>
      <c r="AQ169" s="168"/>
      <c r="AR169" s="168"/>
    </row>
    <row r="170" spans="11:44" ht="19.5" customHeight="1" x14ac:dyDescent="0.25">
      <c r="K170" s="168"/>
      <c r="L170" s="16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68"/>
      <c r="L171" s="16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68"/>
      <c r="L172" s="16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68"/>
      <c r="L173" s="16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68"/>
      <c r="L174" s="16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68"/>
      <c r="L175" s="16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68"/>
      <c r="L176" s="16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68"/>
      <c r="L177" s="16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68"/>
      <c r="L178" s="16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68"/>
      <c r="L179" s="16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183" t="s">
        <v>33</v>
      </c>
      <c r="Y187" s="183" t="s">
        <v>66</v>
      </c>
      <c r="Z187" s="183" t="s">
        <v>67</v>
      </c>
      <c r="AA187" s="183" t="s">
        <v>451</v>
      </c>
      <c r="AB187" s="183" t="s">
        <v>452</v>
      </c>
      <c r="AC187" s="183" t="s">
        <v>33</v>
      </c>
      <c r="AD187" s="183" t="s">
        <v>66</v>
      </c>
      <c r="AE187" s="183" t="s">
        <v>199</v>
      </c>
      <c r="AH187" s="132"/>
      <c r="AI187" s="132"/>
      <c r="AJ187" s="132"/>
      <c r="AK187" s="132"/>
      <c r="AL187" s="132"/>
      <c r="AM187" s="132"/>
      <c r="AN187" s="132"/>
      <c r="AO187" s="132"/>
      <c r="AP187" s="168"/>
      <c r="AQ187" s="168"/>
      <c r="AR187" s="168"/>
      <c r="AS187" s="168"/>
      <c r="AT187" s="168"/>
    </row>
    <row r="188" spans="11:46" ht="19.5" customHeight="1" x14ac:dyDescent="0.25">
      <c r="U188" s="371" t="s">
        <v>453</v>
      </c>
      <c r="V188" s="135" t="str">
        <f>O117</f>
        <v>Uréia</v>
      </c>
      <c r="W188" s="128">
        <f>(VLOOKUP(V188,$V$100:$AB$179,2,0))</f>
        <v>2.8</v>
      </c>
      <c r="X188" s="128">
        <f>(VLOOKUP(V188,$V$100:$AB$179,3,0))</f>
        <v>45</v>
      </c>
      <c r="Y188" s="128">
        <f>(VLOOKUP(V188,$V$100:$AB$179,5,0))</f>
        <v>0</v>
      </c>
      <c r="Z188" s="128">
        <f>(VLOOKUP(V188,$V$100:$AB$179,7,0))</f>
        <v>0</v>
      </c>
      <c r="AA188" s="129">
        <v>699.42930467811391</v>
      </c>
      <c r="AB188" s="129">
        <f>AA188*W188</f>
        <v>1958.4020530987189</v>
      </c>
      <c r="AC188" s="129">
        <f>AA188*X188%</f>
        <v>314.74318710515126</v>
      </c>
      <c r="AD188" s="129">
        <f>AA188*Y188%</f>
        <v>0</v>
      </c>
      <c r="AE188" s="129">
        <f>AA188*Z188%</f>
        <v>0</v>
      </c>
      <c r="AH188" s="133"/>
      <c r="AI188" s="133"/>
      <c r="AJ188" s="133"/>
      <c r="AK188" s="133"/>
      <c r="AL188" s="133"/>
      <c r="AM188" s="133"/>
      <c r="AN188" s="133"/>
      <c r="AO188" s="133"/>
      <c r="AP188" s="168"/>
      <c r="AQ188" s="168"/>
      <c r="AR188" s="168"/>
      <c r="AS188" s="168"/>
      <c r="AT188" s="168"/>
    </row>
    <row r="189" spans="11:46" ht="19.5" customHeight="1" x14ac:dyDescent="0.25">
      <c r="U189" s="371"/>
      <c r="V189" s="135" t="str">
        <f t="shared" ref="V189:V214" si="18">O118</f>
        <v>Sulfato de amônio</v>
      </c>
      <c r="W189" s="128">
        <f t="shared" ref="W189:W214" si="19">(VLOOKUP(V189,$V$100:$AB$179,2,0))</f>
        <v>1.72</v>
      </c>
      <c r="X189" s="128">
        <f t="shared" ref="X189:X214" si="20">(VLOOKUP(V189,$V$100:$AB$179,3,0))</f>
        <v>20</v>
      </c>
      <c r="Y189" s="128">
        <f t="shared" ref="Y189:Y214" si="21">(VLOOKUP(V189,$V$100:$AB$179,5,0))</f>
        <v>0</v>
      </c>
      <c r="Z189" s="128">
        <f t="shared" ref="Z189:Z214" si="22">(VLOOKUP(V189,$V$100:$AB$179,7,0))</f>
        <v>0</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68"/>
      <c r="AQ189" s="168"/>
      <c r="AR189" s="168"/>
      <c r="AS189" s="168"/>
      <c r="AT189" s="168"/>
    </row>
    <row r="190" spans="11:46" ht="19.5" customHeight="1" x14ac:dyDescent="0.25">
      <c r="U190" s="371"/>
      <c r="V190" s="135" t="str">
        <f t="shared" si="18"/>
        <v>Nitrato de cálcio</v>
      </c>
      <c r="W190" s="128">
        <f t="shared" si="19"/>
        <v>2.56</v>
      </c>
      <c r="X190" s="128">
        <f t="shared" si="20"/>
        <v>15</v>
      </c>
      <c r="Y190" s="128">
        <f t="shared" si="21"/>
        <v>0</v>
      </c>
      <c r="Z190" s="128">
        <f t="shared" si="22"/>
        <v>0</v>
      </c>
      <c r="AA190" s="129">
        <v>5.6843418860808015E-14</v>
      </c>
      <c r="AB190" s="129">
        <f t="shared" si="23"/>
        <v>1.4551915228366852E-13</v>
      </c>
      <c r="AC190" s="129">
        <f t="shared" si="24"/>
        <v>8.5265128291212019E-15</v>
      </c>
      <c r="AD190" s="129">
        <f t="shared" si="25"/>
        <v>0</v>
      </c>
      <c r="AE190" s="129">
        <f t="shared" si="26"/>
        <v>0</v>
      </c>
      <c r="AH190" s="133"/>
      <c r="AI190" s="133"/>
      <c r="AJ190" s="133"/>
      <c r="AK190" s="133"/>
      <c r="AL190" s="133"/>
      <c r="AM190" s="133"/>
      <c r="AN190" s="133"/>
      <c r="AO190" s="133"/>
      <c r="AP190" s="168"/>
      <c r="AQ190" s="168"/>
      <c r="AR190" s="168"/>
      <c r="AS190" s="168"/>
      <c r="AT190" s="168"/>
    </row>
    <row r="191" spans="11:46" ht="19.5" customHeight="1" x14ac:dyDescent="0.25">
      <c r="U191" s="371"/>
      <c r="V191" s="135" t="str">
        <f t="shared" si="18"/>
        <v>Nitrato de magnésio</v>
      </c>
      <c r="W191" s="128">
        <f t="shared" si="19"/>
        <v>4.5999999999999996</v>
      </c>
      <c r="X191" s="128">
        <f t="shared" si="20"/>
        <v>11</v>
      </c>
      <c r="Y191" s="128">
        <f t="shared" si="21"/>
        <v>0</v>
      </c>
      <c r="Z191" s="128">
        <f t="shared" si="22"/>
        <v>0</v>
      </c>
      <c r="AA191" s="129">
        <v>0</v>
      </c>
      <c r="AB191" s="129">
        <f t="shared" si="23"/>
        <v>0</v>
      </c>
      <c r="AC191" s="129">
        <f t="shared" si="24"/>
        <v>0</v>
      </c>
      <c r="AD191" s="129">
        <f t="shared" si="25"/>
        <v>0</v>
      </c>
      <c r="AE191" s="129">
        <f t="shared" si="26"/>
        <v>0</v>
      </c>
      <c r="AH191" s="133"/>
      <c r="AI191" s="133"/>
      <c r="AJ191" s="133"/>
      <c r="AK191" s="133"/>
      <c r="AL191" s="133"/>
      <c r="AM191" s="133"/>
      <c r="AN191" s="133"/>
      <c r="AO191" s="133"/>
      <c r="AP191" s="168"/>
      <c r="AQ191" s="168"/>
      <c r="AR191" s="168"/>
      <c r="AS191" s="168"/>
      <c r="AT191" s="168"/>
    </row>
    <row r="192" spans="11:46" ht="19.5" customHeight="1" x14ac:dyDescent="0.25">
      <c r="U192" s="371"/>
      <c r="V192" s="135" t="str">
        <f t="shared" si="18"/>
        <v>Nitrato de potássio</v>
      </c>
      <c r="W192" s="128">
        <f t="shared" si="19"/>
        <v>5.92</v>
      </c>
      <c r="X192" s="128">
        <f t="shared" si="20"/>
        <v>12</v>
      </c>
      <c r="Y192" s="128">
        <f t="shared" si="21"/>
        <v>0</v>
      </c>
      <c r="Z192" s="128">
        <f t="shared" si="22"/>
        <v>0</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68"/>
      <c r="AQ192" s="168"/>
      <c r="AR192" s="168"/>
      <c r="AS192" s="168"/>
      <c r="AT192" s="168"/>
    </row>
    <row r="193" spans="21:46" ht="19.5" customHeight="1" x14ac:dyDescent="0.25">
      <c r="U193" s="371"/>
      <c r="V193" s="135" t="str">
        <f t="shared" si="18"/>
        <v>Superfosfato simples</v>
      </c>
      <c r="W193" s="128">
        <f t="shared" si="19"/>
        <v>1.68</v>
      </c>
      <c r="X193" s="128">
        <f t="shared" si="20"/>
        <v>0</v>
      </c>
      <c r="Y193" s="128">
        <f t="shared" si="21"/>
        <v>18</v>
      </c>
      <c r="Z193" s="128">
        <f t="shared" si="22"/>
        <v>0</v>
      </c>
      <c r="AA193" s="129">
        <v>0</v>
      </c>
      <c r="AB193" s="129">
        <f t="shared" si="23"/>
        <v>0</v>
      </c>
      <c r="AC193" s="129">
        <f t="shared" si="24"/>
        <v>0</v>
      </c>
      <c r="AD193" s="129">
        <f t="shared" si="25"/>
        <v>0</v>
      </c>
      <c r="AE193" s="129">
        <f t="shared" si="26"/>
        <v>0</v>
      </c>
      <c r="AH193" s="133"/>
      <c r="AI193" s="133"/>
      <c r="AJ193" s="133"/>
      <c r="AK193" s="133"/>
      <c r="AL193" s="133"/>
      <c r="AM193" s="133"/>
      <c r="AN193" s="133"/>
      <c r="AO193" s="133"/>
      <c r="AP193" s="168"/>
      <c r="AQ193" s="168"/>
      <c r="AR193" s="168"/>
      <c r="AS193" s="168"/>
      <c r="AT193" s="168"/>
    </row>
    <row r="194" spans="21:46" ht="19.5" customHeight="1" x14ac:dyDescent="0.25">
      <c r="U194" s="371"/>
      <c r="V194" s="135" t="str">
        <f t="shared" si="18"/>
        <v>Cloreto de potássio</v>
      </c>
      <c r="W194" s="128">
        <f t="shared" si="19"/>
        <v>3.48</v>
      </c>
      <c r="X194" s="128">
        <f t="shared" si="20"/>
        <v>0</v>
      </c>
      <c r="Y194" s="128">
        <f t="shared" si="21"/>
        <v>0</v>
      </c>
      <c r="Z194" s="128">
        <f t="shared" si="22"/>
        <v>60</v>
      </c>
      <c r="AA194" s="129">
        <v>0</v>
      </c>
      <c r="AB194" s="129">
        <f t="shared" si="23"/>
        <v>0</v>
      </c>
      <c r="AC194" s="129">
        <f t="shared" si="24"/>
        <v>0</v>
      </c>
      <c r="AD194" s="129">
        <f t="shared" si="25"/>
        <v>0</v>
      </c>
      <c r="AE194" s="129">
        <f t="shared" si="26"/>
        <v>0</v>
      </c>
      <c r="AH194" s="133"/>
      <c r="AI194" s="133"/>
      <c r="AJ194" s="133"/>
      <c r="AK194" s="133"/>
      <c r="AL194" s="133"/>
      <c r="AM194" s="133"/>
      <c r="AN194" s="133"/>
      <c r="AO194" s="133"/>
      <c r="AP194" s="168"/>
      <c r="AQ194" s="168"/>
      <c r="AR194" s="168"/>
      <c r="AS194" s="168"/>
      <c r="AT194" s="168"/>
    </row>
    <row r="195" spans="21:46" ht="19.5" customHeight="1" x14ac:dyDescent="0.25">
      <c r="U195" s="371"/>
      <c r="V195" s="135" t="str">
        <f t="shared" si="18"/>
        <v>Sulfato de potássio</v>
      </c>
      <c r="W195" s="128">
        <f t="shared" si="19"/>
        <v>5.32</v>
      </c>
      <c r="X195" s="128">
        <f t="shared" si="20"/>
        <v>0</v>
      </c>
      <c r="Y195" s="128">
        <f t="shared" si="21"/>
        <v>0</v>
      </c>
      <c r="Z195" s="128">
        <f t="shared" si="22"/>
        <v>52</v>
      </c>
      <c r="AA195" s="129">
        <v>0</v>
      </c>
      <c r="AB195" s="129">
        <f t="shared" si="23"/>
        <v>0</v>
      </c>
      <c r="AC195" s="129">
        <f t="shared" si="24"/>
        <v>0</v>
      </c>
      <c r="AD195" s="129">
        <f t="shared" si="25"/>
        <v>0</v>
      </c>
      <c r="AE195" s="129">
        <f t="shared" si="26"/>
        <v>0</v>
      </c>
      <c r="AH195" s="133"/>
      <c r="AI195" s="133"/>
      <c r="AJ195" s="133"/>
      <c r="AK195" s="133"/>
      <c r="AL195" s="133"/>
      <c r="AM195" s="133"/>
      <c r="AN195" s="133"/>
      <c r="AO195" s="133"/>
      <c r="AP195" s="168"/>
      <c r="AQ195" s="168"/>
      <c r="AR195" s="168"/>
      <c r="AS195" s="168"/>
      <c r="AT195" s="168"/>
    </row>
    <row r="196" spans="21:46" ht="19.5" customHeight="1" x14ac:dyDescent="0.25">
      <c r="U196" s="371"/>
      <c r="V196" s="135" t="str">
        <f t="shared" si="18"/>
        <v>MAP</v>
      </c>
      <c r="W196" s="128">
        <f t="shared" si="19"/>
        <v>5.52</v>
      </c>
      <c r="X196" s="128">
        <f t="shared" si="20"/>
        <v>12</v>
      </c>
      <c r="Y196" s="128">
        <f t="shared" si="21"/>
        <v>62</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68"/>
      <c r="AQ196" s="168"/>
      <c r="AR196" s="168"/>
      <c r="AS196" s="168"/>
      <c r="AT196" s="168"/>
    </row>
    <row r="197" spans="21:46" ht="19.5" customHeight="1" x14ac:dyDescent="0.25">
      <c r="U197" s="371"/>
      <c r="V197" s="135" t="str">
        <f t="shared" si="18"/>
        <v>MKP</v>
      </c>
      <c r="W197" s="128">
        <f t="shared" si="19"/>
        <v>8.92</v>
      </c>
      <c r="X197" s="128">
        <f t="shared" si="20"/>
        <v>0</v>
      </c>
      <c r="Y197" s="128">
        <f t="shared" si="21"/>
        <v>53</v>
      </c>
      <c r="Z197" s="128">
        <f t="shared" si="22"/>
        <v>34</v>
      </c>
      <c r="AA197" s="129">
        <v>0</v>
      </c>
      <c r="AB197" s="129">
        <f t="shared" si="23"/>
        <v>0</v>
      </c>
      <c r="AC197" s="129">
        <f t="shared" si="24"/>
        <v>0</v>
      </c>
      <c r="AD197" s="129">
        <f t="shared" si="25"/>
        <v>0</v>
      </c>
      <c r="AE197" s="129">
        <f t="shared" si="26"/>
        <v>0</v>
      </c>
      <c r="AH197" s="133"/>
      <c r="AI197" s="133"/>
      <c r="AJ197" s="133"/>
      <c r="AK197" s="133"/>
      <c r="AL197" s="133"/>
      <c r="AM197" s="133"/>
      <c r="AN197" s="133"/>
      <c r="AO197" s="133"/>
      <c r="AP197" s="168"/>
      <c r="AQ197" s="168"/>
      <c r="AR197" s="168"/>
      <c r="AS197" s="168"/>
      <c r="AT197" s="168"/>
    </row>
    <row r="198" spans="21:46" ht="19.5" customHeight="1" x14ac:dyDescent="0.25">
      <c r="U198" s="371"/>
      <c r="V198" s="135" t="str">
        <f t="shared" si="18"/>
        <v>Hortimax Plantio 03-18-05</v>
      </c>
      <c r="W198" s="128">
        <f t="shared" si="19"/>
        <v>1.88</v>
      </c>
      <c r="X198" s="128">
        <f t="shared" si="20"/>
        <v>3</v>
      </c>
      <c r="Y198" s="128">
        <f t="shared" si="21"/>
        <v>18</v>
      </c>
      <c r="Z198" s="128">
        <f t="shared" si="22"/>
        <v>5</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68"/>
      <c r="AQ198" s="168"/>
      <c r="AR198" s="168"/>
      <c r="AS198" s="168"/>
      <c r="AT198" s="168"/>
    </row>
    <row r="199" spans="21:46" ht="19.5" customHeight="1" x14ac:dyDescent="0.25">
      <c r="U199" s="371"/>
      <c r="V199" s="135" t="str">
        <f t="shared" si="18"/>
        <v>Formulado 04-14-08</v>
      </c>
      <c r="W199" s="128">
        <f t="shared" si="19"/>
        <v>1.86</v>
      </c>
      <c r="X199" s="128">
        <f t="shared" si="20"/>
        <v>4</v>
      </c>
      <c r="Y199" s="128">
        <f t="shared" si="21"/>
        <v>14</v>
      </c>
      <c r="Z199" s="128">
        <f t="shared" si="22"/>
        <v>8</v>
      </c>
      <c r="AA199" s="129">
        <v>2.7469192028557415E-7</v>
      </c>
      <c r="AB199" s="129">
        <f t="shared" si="23"/>
        <v>5.109269717311679E-7</v>
      </c>
      <c r="AC199" s="129">
        <f t="shared" si="24"/>
        <v>1.0987676811422966E-8</v>
      </c>
      <c r="AD199" s="129">
        <f t="shared" si="25"/>
        <v>3.8456868839980388E-8</v>
      </c>
      <c r="AE199" s="129">
        <f t="shared" si="26"/>
        <v>2.1975353622845931E-8</v>
      </c>
      <c r="AH199" s="133"/>
      <c r="AI199" s="133"/>
      <c r="AJ199" s="133"/>
      <c r="AK199" s="133"/>
      <c r="AL199" s="133"/>
      <c r="AM199" s="133"/>
      <c r="AN199" s="133"/>
      <c r="AO199" s="133"/>
      <c r="AP199" s="168"/>
      <c r="AQ199" s="168"/>
      <c r="AR199" s="168"/>
      <c r="AS199" s="168"/>
      <c r="AT199" s="168"/>
    </row>
    <row r="200" spans="21:46" ht="19.5" customHeight="1" x14ac:dyDescent="0.25">
      <c r="U200" s="371"/>
      <c r="V200" s="135" t="str">
        <f t="shared" si="18"/>
        <v>Formulado 05-25-15</v>
      </c>
      <c r="W200" s="128">
        <f t="shared" si="19"/>
        <v>2</v>
      </c>
      <c r="X200" s="128">
        <f t="shared" si="20"/>
        <v>5</v>
      </c>
      <c r="Y200" s="128">
        <f t="shared" si="21"/>
        <v>25</v>
      </c>
      <c r="Z200" s="128">
        <f t="shared" si="22"/>
        <v>15</v>
      </c>
      <c r="AA200" s="129">
        <v>576.00028758763608</v>
      </c>
      <c r="AB200" s="129">
        <f t="shared" si="23"/>
        <v>1152.0005751752722</v>
      </c>
      <c r="AC200" s="129">
        <f t="shared" si="24"/>
        <v>28.800014379381807</v>
      </c>
      <c r="AD200" s="129">
        <f t="shared" si="25"/>
        <v>144.00007189690902</v>
      </c>
      <c r="AE200" s="129">
        <f t="shared" si="26"/>
        <v>86.400043138145406</v>
      </c>
      <c r="AH200" s="133"/>
      <c r="AI200" s="133"/>
      <c r="AJ200" s="133"/>
      <c r="AK200" s="133"/>
      <c r="AL200" s="133"/>
      <c r="AM200" s="133"/>
      <c r="AN200" s="133"/>
      <c r="AO200" s="133"/>
      <c r="AP200" s="168"/>
      <c r="AQ200" s="168"/>
      <c r="AR200" s="168"/>
      <c r="AS200" s="168"/>
      <c r="AT200" s="168"/>
    </row>
    <row r="201" spans="21:46" ht="19.5" customHeight="1" x14ac:dyDescent="0.2">
      <c r="U201" s="371"/>
      <c r="V201" s="135" t="str">
        <f t="shared" si="18"/>
        <v>Formulado 04-30-10</v>
      </c>
      <c r="W201" s="128">
        <f t="shared" si="19"/>
        <v>2.44</v>
      </c>
      <c r="X201" s="128">
        <f t="shared" si="20"/>
        <v>4</v>
      </c>
      <c r="Y201" s="128">
        <f t="shared" si="21"/>
        <v>30</v>
      </c>
      <c r="Z201" s="128">
        <f t="shared" si="22"/>
        <v>10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68"/>
      <c r="AQ201" s="168"/>
      <c r="AR201" s="168"/>
      <c r="AS201" s="168"/>
      <c r="AT201" s="168"/>
    </row>
    <row r="202" spans="21:46" ht="19.5" customHeight="1" x14ac:dyDescent="0.25">
      <c r="U202" s="371"/>
      <c r="V202" s="135" t="str">
        <f>O131</f>
        <v>Timac Formulado 04-26-10</v>
      </c>
      <c r="W202" s="128">
        <f t="shared" si="19"/>
        <v>2.52</v>
      </c>
      <c r="X202" s="128">
        <f t="shared" si="20"/>
        <v>4</v>
      </c>
      <c r="Y202" s="128">
        <f t="shared" si="21"/>
        <v>26</v>
      </c>
      <c r="Z202" s="128">
        <f t="shared" si="22"/>
        <v>10</v>
      </c>
      <c r="AA202" s="129">
        <v>0</v>
      </c>
      <c r="AB202" s="129">
        <f t="shared" si="23"/>
        <v>0</v>
      </c>
      <c r="AC202" s="129">
        <f t="shared" si="24"/>
        <v>0</v>
      </c>
      <c r="AD202" s="129">
        <f t="shared" si="25"/>
        <v>0</v>
      </c>
      <c r="AE202" s="129">
        <f t="shared" si="26"/>
        <v>0</v>
      </c>
    </row>
    <row r="203" spans="21:46" ht="19.5" customHeight="1" x14ac:dyDescent="0.25">
      <c r="U203" s="371"/>
      <c r="V203" s="135" t="str">
        <f t="shared" si="18"/>
        <v>Timac Formulado 12-03-24</v>
      </c>
      <c r="W203" s="128">
        <f t="shared" si="19"/>
        <v>2.72</v>
      </c>
      <c r="X203" s="128">
        <f t="shared" si="20"/>
        <v>12</v>
      </c>
      <c r="Y203" s="128">
        <f t="shared" si="21"/>
        <v>3</v>
      </c>
      <c r="Z203" s="128">
        <f t="shared" si="22"/>
        <v>24</v>
      </c>
      <c r="AA203" s="129">
        <v>0</v>
      </c>
      <c r="AB203" s="129">
        <f t="shared" si="23"/>
        <v>0</v>
      </c>
      <c r="AC203" s="129">
        <f t="shared" si="24"/>
        <v>0</v>
      </c>
      <c r="AD203" s="129">
        <f t="shared" si="25"/>
        <v>0</v>
      </c>
      <c r="AE203" s="129">
        <f t="shared" si="26"/>
        <v>0</v>
      </c>
    </row>
    <row r="204" spans="21:46" ht="19.5" customHeight="1" x14ac:dyDescent="0.25">
      <c r="U204" s="371"/>
      <c r="V204" s="135" t="str">
        <f t="shared" si="18"/>
        <v>Hortimax Cobertura 13-3-25</v>
      </c>
      <c r="W204" s="128">
        <f t="shared" si="19"/>
        <v>2.2799999999999998</v>
      </c>
      <c r="X204" s="128">
        <f t="shared" si="20"/>
        <v>13</v>
      </c>
      <c r="Y204" s="128">
        <f t="shared" si="21"/>
        <v>3</v>
      </c>
      <c r="Z204" s="128">
        <f t="shared" si="22"/>
        <v>25</v>
      </c>
      <c r="AA204" s="129">
        <v>0</v>
      </c>
      <c r="AB204" s="129">
        <f t="shared" si="23"/>
        <v>0</v>
      </c>
      <c r="AC204" s="129">
        <f t="shared" si="24"/>
        <v>0</v>
      </c>
      <c r="AD204" s="129">
        <f t="shared" si="25"/>
        <v>0</v>
      </c>
      <c r="AE204" s="129">
        <f t="shared" si="26"/>
        <v>0</v>
      </c>
    </row>
    <row r="205" spans="21:46" ht="19.5" customHeight="1" x14ac:dyDescent="0.25">
      <c r="U205" s="371"/>
      <c r="V205" s="135" t="str">
        <f t="shared" si="18"/>
        <v>Formulado 10-10-10</v>
      </c>
      <c r="W205" s="128">
        <f t="shared" si="19"/>
        <v>2</v>
      </c>
      <c r="X205" s="128">
        <f t="shared" si="20"/>
        <v>10</v>
      </c>
      <c r="Y205" s="128">
        <f t="shared" si="21"/>
        <v>10</v>
      </c>
      <c r="Z205" s="128">
        <f t="shared" si="22"/>
        <v>10</v>
      </c>
      <c r="AA205" s="129">
        <v>6.4633382715998489E-7</v>
      </c>
      <c r="AB205" s="129">
        <f t="shared" si="23"/>
        <v>1.2926676543199698E-6</v>
      </c>
      <c r="AC205" s="129">
        <f t="shared" si="24"/>
        <v>6.4633382715998489E-8</v>
      </c>
      <c r="AD205" s="129">
        <f t="shared" si="25"/>
        <v>6.4633382715998489E-8</v>
      </c>
      <c r="AE205" s="129">
        <f t="shared" si="26"/>
        <v>6.4633382715998489E-8</v>
      </c>
    </row>
    <row r="206" spans="21:46" ht="19.5" customHeight="1" x14ac:dyDescent="0.25">
      <c r="U206" s="371"/>
      <c r="V206" s="135" t="str">
        <f t="shared" si="18"/>
        <v>Formulado 20-00-20</v>
      </c>
      <c r="W206" s="128">
        <f t="shared" si="19"/>
        <v>2.2799999999999998</v>
      </c>
      <c r="X206" s="128">
        <f t="shared" si="20"/>
        <v>20</v>
      </c>
      <c r="Y206" s="128">
        <f t="shared" si="21"/>
        <v>0</v>
      </c>
      <c r="Z206" s="128">
        <f t="shared" si="22"/>
        <v>20</v>
      </c>
      <c r="AA206" s="129">
        <v>467.9998077933293</v>
      </c>
      <c r="AB206" s="129">
        <f t="shared" si="23"/>
        <v>1067.0395617687907</v>
      </c>
      <c r="AC206" s="129">
        <f t="shared" si="24"/>
        <v>93.599961558665868</v>
      </c>
      <c r="AD206" s="129">
        <f t="shared" si="25"/>
        <v>0</v>
      </c>
      <c r="AE206" s="129">
        <f t="shared" si="26"/>
        <v>93.599961558665868</v>
      </c>
    </row>
    <row r="207" spans="21:46" ht="19.5" customHeight="1" x14ac:dyDescent="0.25">
      <c r="U207" s="371"/>
      <c r="V207" s="135" t="str">
        <f t="shared" si="18"/>
        <v>Ncalcio Formulado 07-00-30</v>
      </c>
      <c r="W207" s="128">
        <f t="shared" si="19"/>
        <v>3.36</v>
      </c>
      <c r="X207" s="128">
        <f t="shared" si="20"/>
        <v>7</v>
      </c>
      <c r="Y207" s="128">
        <f t="shared" si="21"/>
        <v>0</v>
      </c>
      <c r="Z207" s="128">
        <f t="shared" si="22"/>
        <v>30</v>
      </c>
      <c r="AA207" s="129">
        <v>3.4320963945942461E-7</v>
      </c>
      <c r="AB207" s="129">
        <f t="shared" si="23"/>
        <v>1.1531843885836666E-6</v>
      </c>
      <c r="AC207" s="129">
        <f t="shared" si="24"/>
        <v>2.4024674762159724E-8</v>
      </c>
      <c r="AD207" s="129">
        <f t="shared" si="25"/>
        <v>0</v>
      </c>
      <c r="AE207" s="129">
        <f t="shared" si="26"/>
        <v>1.0296289183782738E-7</v>
      </c>
    </row>
    <row r="208" spans="21:46" ht="19.5" customHeight="1" x14ac:dyDescent="0.25">
      <c r="U208" s="371"/>
      <c r="V208" s="135" t="str">
        <f t="shared" si="18"/>
        <v>Termofosfato YOORIN</v>
      </c>
      <c r="W208" s="128">
        <f t="shared" si="19"/>
        <v>2.3250000000000002</v>
      </c>
      <c r="X208" s="128">
        <f t="shared" si="20"/>
        <v>0</v>
      </c>
      <c r="Y208" s="128">
        <f t="shared" si="21"/>
        <v>17.5</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1743.4294013233148</v>
      </c>
      <c r="AB215" s="130">
        <f>SUM(AB188:AB214)</f>
        <v>4177.4421929995615</v>
      </c>
      <c r="AC215" s="130">
        <f t="shared" ref="AC215:AE215" si="27">SUM(AC188:AC214)</f>
        <v>437.14316314284468</v>
      </c>
      <c r="AD215" s="130">
        <f t="shared" si="27"/>
        <v>144.00007199999928</v>
      </c>
      <c r="AE215" s="130">
        <f t="shared" si="27"/>
        <v>180.00000488638292</v>
      </c>
    </row>
    <row r="220" spans="21:31" ht="19.5" customHeight="1" x14ac:dyDescent="0.25">
      <c r="AD220" s="182" t="s">
        <v>33</v>
      </c>
      <c r="AE220" s="182">
        <v>126</v>
      </c>
    </row>
    <row r="221" spans="21:31" ht="19.5" customHeight="1" x14ac:dyDescent="0.25">
      <c r="AD221" s="182" t="s">
        <v>66</v>
      </c>
      <c r="AE221" s="182">
        <v>108</v>
      </c>
    </row>
    <row r="222" spans="21:31" ht="19.5" customHeight="1" x14ac:dyDescent="0.25">
      <c r="AD222" s="182" t="s">
        <v>67</v>
      </c>
      <c r="AE222" s="182">
        <v>144</v>
      </c>
    </row>
  </sheetData>
  <mergeCells count="290">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P43:AQ43"/>
    <mergeCell ref="B44:I44"/>
    <mergeCell ref="M44:R44"/>
    <mergeCell ref="AP44:AQ44"/>
    <mergeCell ref="B45:C46"/>
    <mergeCell ref="E45:G45"/>
    <mergeCell ref="O45:Q46"/>
    <mergeCell ref="U45:V45"/>
    <mergeCell ref="X45:Z45"/>
    <mergeCell ref="E46:G46"/>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B60:C61"/>
    <mergeCell ref="E60:G60"/>
    <mergeCell ref="O60:Q60"/>
    <mergeCell ref="E61:G61"/>
    <mergeCell ref="O62:Q62"/>
    <mergeCell ref="B63:C64"/>
    <mergeCell ref="E63:G63"/>
    <mergeCell ref="E64:G64"/>
    <mergeCell ref="B57:C58"/>
    <mergeCell ref="E57:G57"/>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W85:W86"/>
    <mergeCell ref="X85:AE85"/>
    <mergeCell ref="E86:G86"/>
    <mergeCell ref="O86:Q86"/>
    <mergeCell ref="O87:P87"/>
    <mergeCell ref="U87:U95"/>
    <mergeCell ref="E88:G88"/>
    <mergeCell ref="O88:P88"/>
    <mergeCell ref="E89:G89"/>
    <mergeCell ref="O89:P89"/>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O130:P130"/>
    <mergeCell ref="O131:P131"/>
    <mergeCell ref="O132:P132"/>
    <mergeCell ref="O133:P133"/>
    <mergeCell ref="O134:P134"/>
    <mergeCell ref="O135:P135"/>
    <mergeCell ref="O136:P136"/>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U131:U150"/>
  </mergeCells>
  <dataValidations disablePrompts="1"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disablePrompts="1"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270</v>
      </c>
      <c r="AT5" s="9">
        <f>$AC$31</f>
        <v>240</v>
      </c>
      <c r="AU5" s="9">
        <f>$AC$32</f>
        <v>50</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240.00000000000006</v>
      </c>
      <c r="AU7" s="9">
        <f>IFERROR((VLOOKUP(AQ7,$V$100:$AB$179,7,0)*0.01)*AV7,0)</f>
        <v>0</v>
      </c>
      <c r="AV7" s="9">
        <f>IFERROR($AT$5*Q72/(VLOOKUP(AQ7,$V$100:$AB$179,5,0)/100),0)</f>
        <v>1371.4285714285716</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16</v>
      </c>
      <c r="AL9" s="301">
        <f>(AM9*1000)/$E$18</f>
        <v>16</v>
      </c>
      <c r="AM9" s="302">
        <v>2</v>
      </c>
      <c r="AO9" s="7"/>
      <c r="AP9" s="7"/>
      <c r="AQ9" s="7"/>
      <c r="AR9" s="7"/>
      <c r="AS9" s="28">
        <f>AS5-(SUM(AS6:AS8))</f>
        <v>270</v>
      </c>
      <c r="AT9" s="28">
        <f>AT5-(SUM(AT6:AT8))</f>
        <v>0</v>
      </c>
      <c r="AU9" s="28">
        <f>AU5-(SUM(AU6:AU8))</f>
        <v>50</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270</v>
      </c>
      <c r="AT11" s="9">
        <f t="shared" ref="AT11:AU11" si="0">AT9</f>
        <v>0</v>
      </c>
      <c r="AU11" s="9">
        <f t="shared" si="0"/>
        <v>50</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16</v>
      </c>
      <c r="AM12" s="302">
        <v>2</v>
      </c>
      <c r="AO12" s="7"/>
      <c r="AP12" s="254">
        <v>7</v>
      </c>
      <c r="AQ12" s="295" t="str">
        <f>O79</f>
        <v>Kmag</v>
      </c>
      <c r="AR12" s="295"/>
      <c r="AS12" s="9">
        <f>IFERROR((VLOOKUP(AQ12,$V$100:$AB$179,3,0)*0.01)*AV12,0)</f>
        <v>0</v>
      </c>
      <c r="AT12" s="9">
        <f>IFERROR((VLOOKUP(AQ12,$V$100:$AB$179,5,0)*0.01)*AV12,0)</f>
        <v>0</v>
      </c>
      <c r="AU12" s="9">
        <f>IFERROR((VLOOKUP(AQ12,$V$100:$AB$179,7,0)*0.01)*AV12,0)</f>
        <v>50</v>
      </c>
      <c r="AV12" s="9">
        <f>IFERROR($AU$11*Q79/(VLOOKUP(AQ12,$V$100:$AB$179,7,0)/100),0)</f>
        <v>238.0952380952381</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48</v>
      </c>
      <c r="AM15" s="302">
        <v>6</v>
      </c>
      <c r="AO15" s="7"/>
      <c r="AP15" s="7"/>
      <c r="AQ15" s="7"/>
      <c r="AR15" s="7"/>
      <c r="AS15" s="28">
        <f>AS11-(SUM(AS12:AS14))</f>
        <v>270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270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48</v>
      </c>
      <c r="AM18" s="302">
        <v>6</v>
      </c>
      <c r="AO18" s="7"/>
      <c r="AP18" s="254">
        <v>13</v>
      </c>
      <c r="AQ18" s="295" t="str">
        <f>O87</f>
        <v>Torta de mamona Hortibraz</v>
      </c>
      <c r="AR18" s="295"/>
      <c r="AS18" s="9">
        <f>IFERROR((VLOOKUP(AQ18,$V$100:$AB$179,3,0)*0.01)*AV18,0)</f>
        <v>270</v>
      </c>
      <c r="AT18" s="9">
        <f>IFERROR((VLOOKUP(AQ18,$V$100:$AB$179,5,0)*0.01)*AV18,0)</f>
        <v>0</v>
      </c>
      <c r="AU18" s="9">
        <f>IFERROR((VLOOKUP(AQ18,$V$100:$AB$179,7,0)*0.01)*AV18,0)</f>
        <v>0</v>
      </c>
      <c r="AV18" s="9">
        <f>IFERROR($AS$17*Q87/(VLOOKUP(AQ18,$V$100:$AB$179,3,0)/100),0)</f>
        <v>4500</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1.3746130030959745</v>
      </c>
      <c r="E27" s="329" t="str">
        <f>IF(J27&gt;0,"toneladas por hectare ou,","-")</f>
        <v>toneladas por hectare ou,</v>
      </c>
      <c r="F27" s="329"/>
      <c r="G27" s="329"/>
      <c r="H27" s="101" t="s">
        <v>447</v>
      </c>
      <c r="I27" s="101">
        <f>IFERROR((D27*1000*VLOOKUP(B27,$V$56:$W$68,2,0)*$O$34),0)</f>
        <v>769.78328173374575</v>
      </c>
      <c r="J27" s="32">
        <f>V51</f>
        <v>1.3746130030959745</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0.13746130030959744</v>
      </c>
      <c r="E28" s="332" t="str">
        <f>IF(J28&gt;0,"gramas por metro quadrado","-")</f>
        <v>gramas por metro quadrado</v>
      </c>
      <c r="F28" s="332"/>
      <c r="G28" s="332"/>
      <c r="H28" s="102" t="s">
        <v>419</v>
      </c>
      <c r="I28" s="102">
        <f>I27/$E$18</f>
        <v>6.1582662538699662</v>
      </c>
      <c r="J28" s="32">
        <f>J27/10</f>
        <v>0.13746130030959744</v>
      </c>
      <c r="M28" s="246"/>
      <c r="N28" s="241"/>
      <c r="O28" s="241"/>
      <c r="P28" s="241"/>
      <c r="Q28" s="241"/>
      <c r="R28" s="247"/>
      <c r="U28" s="236">
        <v>0</v>
      </c>
      <c r="V28" s="236">
        <v>50</v>
      </c>
      <c r="W28" s="236" t="s">
        <v>68</v>
      </c>
      <c r="X28" s="236" t="str">
        <f>CONCATENATE(U28," - ",W28)</f>
        <v>0 - baixo</v>
      </c>
      <c r="Y28" s="236">
        <v>10</v>
      </c>
      <c r="Z28" s="236">
        <v>10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0</v>
      </c>
      <c r="V29" s="236">
        <v>50</v>
      </c>
      <c r="W29" s="236" t="s">
        <v>69</v>
      </c>
      <c r="X29" s="236" t="str">
        <f t="shared" ref="X29:X42" si="8">CONCATENATE(U29," - ",W29)</f>
        <v>0 - medio</v>
      </c>
      <c r="Y29" s="236">
        <v>10</v>
      </c>
      <c r="Z29" s="236">
        <v>10</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48"/>
      <c r="U30" s="236">
        <v>0</v>
      </c>
      <c r="V30" s="236">
        <v>50</v>
      </c>
      <c r="W30" s="236" t="s">
        <v>70</v>
      </c>
      <c r="X30" s="236" t="str">
        <f t="shared" si="8"/>
        <v>0 - adequado</v>
      </c>
      <c r="Y30" s="236">
        <v>10</v>
      </c>
      <c r="Z30" s="236">
        <v>10</v>
      </c>
      <c r="AB30" s="255" t="s">
        <v>33</v>
      </c>
      <c r="AC30" s="4">
        <f>(VLOOKUP($P$39,$U$28:$V$42,2,0))/AD30</f>
        <v>270</v>
      </c>
      <c r="AD30" s="184">
        <f>'Abacate formação (1)'!AD30</f>
        <v>1</v>
      </c>
      <c r="AE30" s="258" t="s">
        <v>34</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1</v>
      </c>
      <c r="V31" s="236">
        <v>40</v>
      </c>
      <c r="W31" s="236" t="s">
        <v>68</v>
      </c>
      <c r="X31" s="236" t="str">
        <f t="shared" si="8"/>
        <v>1 - baixo</v>
      </c>
      <c r="Y31" s="236">
        <v>100</v>
      </c>
      <c r="Z31" s="236">
        <v>60</v>
      </c>
      <c r="AB31" s="255" t="s">
        <v>66</v>
      </c>
      <c r="AC31" s="255">
        <f>(VLOOKUP(AB36,X28:Z42,2,0))/AD31</f>
        <v>240</v>
      </c>
      <c r="AD31" s="184">
        <f>'Abacate formação (1)'!AD31</f>
        <v>1</v>
      </c>
      <c r="AE31" s="258">
        <v>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48"/>
      <c r="U32" s="236">
        <v>1</v>
      </c>
      <c r="V32" s="236">
        <v>40</v>
      </c>
      <c r="W32" s="236" t="s">
        <v>69</v>
      </c>
      <c r="X32" s="236" t="str">
        <f t="shared" si="8"/>
        <v>1 - medio</v>
      </c>
      <c r="Y32" s="236">
        <v>60</v>
      </c>
      <c r="Z32" s="236">
        <v>40</v>
      </c>
      <c r="AB32" s="255" t="s">
        <v>67</v>
      </c>
      <c r="AC32" s="255">
        <f>(VLOOKUP($AB$39,X28:Z42,3,0))/AD32</f>
        <v>50</v>
      </c>
      <c r="AD32" s="184">
        <f>'Abacate formação (1)'!AD32</f>
        <v>1</v>
      </c>
      <c r="AE32" s="258">
        <v>1</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1</v>
      </c>
      <c r="V33" s="236">
        <v>40</v>
      </c>
      <c r="W33" s="236" t="s">
        <v>70</v>
      </c>
      <c r="X33" s="236" t="str">
        <f t="shared" si="8"/>
        <v>1 - adequado</v>
      </c>
      <c r="Y33" s="236">
        <v>30</v>
      </c>
      <c r="Z33" s="236">
        <v>20</v>
      </c>
      <c r="AE33" s="258">
        <v>2</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2</v>
      </c>
      <c r="V34" s="236">
        <v>100</v>
      </c>
      <c r="W34" s="236" t="s">
        <v>68</v>
      </c>
      <c r="X34" s="236" t="str">
        <f t="shared" si="8"/>
        <v>2 - baixo</v>
      </c>
      <c r="Y34" s="236">
        <v>140</v>
      </c>
      <c r="Z34" s="236">
        <v>100</v>
      </c>
      <c r="AE34" s="258">
        <v>3</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125</v>
      </c>
      <c r="P35" s="17">
        <f>10000/($O$30*$Q$30)</f>
        <v>125</v>
      </c>
      <c r="Q35" s="17" t="e">
        <f>10000/((($O$32/2)+($P$32/2))*$Q$32)</f>
        <v>#DIV/0!</v>
      </c>
      <c r="R35" s="251"/>
      <c r="U35" s="236">
        <v>2</v>
      </c>
      <c r="V35" s="236">
        <v>100</v>
      </c>
      <c r="W35" s="236" t="s">
        <v>69</v>
      </c>
      <c r="X35" s="236" t="str">
        <f t="shared" si="8"/>
        <v>2 - medio</v>
      </c>
      <c r="Y35" s="236">
        <v>100</v>
      </c>
      <c r="Z35" s="236">
        <v>60</v>
      </c>
      <c r="AB35" s="301" t="s">
        <v>72</v>
      </c>
      <c r="AC35" s="301"/>
      <c r="AE35" s="258">
        <v>4</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2</v>
      </c>
      <c r="V36" s="236">
        <v>100</v>
      </c>
      <c r="W36" s="236" t="s">
        <v>70</v>
      </c>
      <c r="X36" s="236" t="str">
        <f t="shared" si="8"/>
        <v>2 - adequado</v>
      </c>
      <c r="Y36" s="236">
        <v>50</v>
      </c>
      <c r="Z36" s="236">
        <v>30</v>
      </c>
      <c r="AB36" s="301" t="str">
        <f>CONCATENATE($P$39," - ",$AD$8)</f>
        <v>4 -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U37" s="236">
        <v>3</v>
      </c>
      <c r="V37" s="236">
        <v>190</v>
      </c>
      <c r="W37" s="236" t="s">
        <v>68</v>
      </c>
      <c r="X37" s="236" t="str">
        <f t="shared" si="8"/>
        <v>3 - baixo</v>
      </c>
      <c r="Y37" s="236">
        <v>200</v>
      </c>
      <c r="Z37" s="236">
        <v>140</v>
      </c>
      <c r="AI37" s="15">
        <v>0.7</v>
      </c>
      <c r="AK37" s="73" t="str">
        <f>'Adubos e corretivos (1)'!E128</f>
        <v>Compostos orgânicos</v>
      </c>
      <c r="AL37" s="105">
        <f>'Adubos e corretivos (1)'!F128</f>
        <v>0.7</v>
      </c>
      <c r="AO37" s="29"/>
      <c r="AP37" s="29"/>
      <c r="AQ37" s="29"/>
      <c r="AR37" s="29"/>
      <c r="AS37" s="28">
        <f>IF(AS24&gt;0,AS24,0)</f>
        <v>16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U38" s="236">
        <v>3</v>
      </c>
      <c r="V38" s="236">
        <v>190</v>
      </c>
      <c r="W38" s="236" t="s">
        <v>69</v>
      </c>
      <c r="X38" s="236" t="str">
        <f t="shared" si="8"/>
        <v>3 - medio</v>
      </c>
      <c r="Y38" s="236">
        <v>140</v>
      </c>
      <c r="Z38" s="236">
        <v>90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236" t="s">
        <v>163</v>
      </c>
      <c r="P39" s="330">
        <v>4</v>
      </c>
      <c r="Q39" s="330"/>
      <c r="R39" s="248"/>
      <c r="U39" s="236">
        <v>3</v>
      </c>
      <c r="V39" s="236">
        <v>190</v>
      </c>
      <c r="W39" s="236" t="s">
        <v>70</v>
      </c>
      <c r="X39" s="236" t="str">
        <f t="shared" si="8"/>
        <v>3 - adequado</v>
      </c>
      <c r="Y39" s="236">
        <v>70</v>
      </c>
      <c r="Z39" s="236">
        <v>45</v>
      </c>
      <c r="AB39" s="301" t="str">
        <f>CONCATENATE($P$39," - ",$AD$22)</f>
        <v>4 -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U40" s="258">
        <v>4</v>
      </c>
      <c r="V40" s="236">
        <v>270</v>
      </c>
      <c r="W40" s="236" t="s">
        <v>68</v>
      </c>
      <c r="X40" s="236" t="str">
        <f t="shared" si="8"/>
        <v>4 - baixo</v>
      </c>
      <c r="Y40" s="236">
        <v>240</v>
      </c>
      <c r="Z40" s="236">
        <v>160</v>
      </c>
      <c r="AI40" s="15">
        <v>1</v>
      </c>
      <c r="AO40" s="7"/>
      <c r="AP40" s="295" t="str">
        <f>O102</f>
        <v>Ácido Bórico</v>
      </c>
      <c r="AQ40" s="295"/>
      <c r="AR40" s="9">
        <f>IFERROR($AS$37/((VLOOKUP(AP40,$V$100:$AO$179,11,0)*0.01)),0)</f>
        <v>91.428571428571416</v>
      </c>
      <c r="AS40" s="9">
        <f>IFERROR($AT$37/((VLOOKUP(AP40,$V$100:$AO$179,14,0)*0.01)),0)</f>
        <v>0</v>
      </c>
      <c r="AT40" s="9">
        <f>IFERROR($AU$37/((VLOOKUP(AP40,$V$100:$AO$179,12,0)*0.01)),0)</f>
        <v>0</v>
      </c>
      <c r="AU40" s="9">
        <f>IFERROR($AV$37/((VLOOKUP(AP40,$V$100:$AO$179,13,0)*0.01)),0)</f>
        <v>0</v>
      </c>
      <c r="AV40" s="9">
        <f>MAX(AR40:AU40)</f>
        <v>91.428571428571416</v>
      </c>
      <c r="AW40" s="9">
        <f>IFERROR(AV40*(VLOOKUP(AP40,$V$100:$AO$179,11,0)*0.01),0)</f>
        <v>16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U41" s="258">
        <v>4</v>
      </c>
      <c r="V41" s="236">
        <v>270</v>
      </c>
      <c r="W41" s="236" t="s">
        <v>69</v>
      </c>
      <c r="X41" s="236" t="str">
        <f t="shared" si="8"/>
        <v>4 - medio</v>
      </c>
      <c r="Y41" s="236">
        <v>160</v>
      </c>
      <c r="Z41" s="236">
        <v>110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U42" s="258">
        <v>4</v>
      </c>
      <c r="V42" s="236">
        <v>270</v>
      </c>
      <c r="W42" s="236" t="s">
        <v>70</v>
      </c>
      <c r="X42" s="236" t="str">
        <f t="shared" si="8"/>
        <v>4 - adequado</v>
      </c>
      <c r="Y42" s="236">
        <v>80</v>
      </c>
      <c r="Z42" s="236">
        <v>50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1371.4285714285716</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(1)'!C125</f>
        <v>60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238.0952380952381</v>
      </c>
      <c r="K47" s="35"/>
      <c r="M47" s="303"/>
      <c r="N47" s="332"/>
      <c r="O47" s="333" t="s">
        <v>442</v>
      </c>
      <c r="P47" s="335"/>
      <c r="Q47" s="18">
        <v>1</v>
      </c>
      <c r="R47" s="248"/>
      <c r="U47" s="236" t="s">
        <v>104</v>
      </c>
      <c r="V47" s="2">
        <f>IFERROR((((V46-P24)*P25)/V49),0)</f>
        <v>1.3746130030959745</v>
      </c>
      <c r="X47" s="336" t="s">
        <v>182</v>
      </c>
      <c r="Y47" s="336"/>
      <c r="Z47" s="2">
        <f>IFERROR((($V$50/$Z$46)*$V$47),0)</f>
        <v>6.7828322842950355</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1.3746130030959745</v>
      </c>
      <c r="X48" s="336" t="s">
        <v>180</v>
      </c>
      <c r="Y48" s="336"/>
      <c r="Z48" s="2">
        <f>IFERROR(IF(Z47&lt;0,(0),IF(Z47&gt;=0,(Z47))),0)</f>
        <v>6.7828322842950355</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4500</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171.42857142857144</v>
      </c>
      <c r="E51" s="332" t="str">
        <f>IF(J45&gt;0,"quilos para área total","-")</f>
        <v>quilos para área total</v>
      </c>
      <c r="F51" s="332"/>
      <c r="G51" s="332"/>
      <c r="H51" s="102" t="s">
        <v>447</v>
      </c>
      <c r="I51" s="102">
        <f>I52*$E$18*$I$18</f>
        <v>398.57142857142867</v>
      </c>
      <c r="J51" s="33">
        <f>AV19</f>
        <v>0</v>
      </c>
      <c r="K51" s="35"/>
      <c r="L51" s="240"/>
      <c r="M51" s="249"/>
      <c r="N51" s="250"/>
      <c r="O51" s="250"/>
      <c r="P51" s="250"/>
      <c r="Q51" s="250"/>
      <c r="R51" s="251"/>
      <c r="U51" s="236" t="s">
        <v>247</v>
      </c>
      <c r="V51" s="2">
        <f>V48*$Q$47</f>
        <v>1.3746130030959745</v>
      </c>
      <c r="AT51" s="237" t="s">
        <v>264</v>
      </c>
      <c r="AU51" s="96" t="str">
        <f>AK29</f>
        <v>Composto de lixo (COL)</v>
      </c>
      <c r="AV51" s="237">
        <v>12</v>
      </c>
    </row>
    <row r="52" spans="2:50" ht="19.5" customHeight="1" x14ac:dyDescent="0.25">
      <c r="B52" s="327"/>
      <c r="C52" s="327"/>
      <c r="D52" s="109">
        <f>IF(J45&gt;0,J45,"-")</f>
        <v>1371.4285714285716</v>
      </c>
      <c r="E52" s="332" t="str">
        <f>IF(J45&gt;0,"gramas por planta","-")</f>
        <v>gramas por planta</v>
      </c>
      <c r="F52" s="332"/>
      <c r="G52" s="332"/>
      <c r="H52" s="102" t="s">
        <v>446</v>
      </c>
      <c r="I52" s="102">
        <f>IFERROR((D52/1000)*VLOOKUP(B51,$V$100:$W$179,2,0),0)</f>
        <v>3.1885714285714295</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29.761904761904763</v>
      </c>
      <c r="E57" s="354" t="str">
        <f>IF(J47&gt;0,"quilos para área total","-")</f>
        <v>quilos para área total</v>
      </c>
      <c r="F57" s="354"/>
      <c r="G57" s="354"/>
      <c r="H57" s="102" t="s">
        <v>447</v>
      </c>
      <c r="I57" s="102">
        <f>I58*$E$18*$I$18</f>
        <v>86.30952380952381</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238.0952380952381</v>
      </c>
      <c r="E58" s="332" t="str">
        <f>IF(J47&gt;0,"gramas por planta","-")</f>
        <v>gramas por planta</v>
      </c>
      <c r="F58" s="332"/>
      <c r="G58" s="332"/>
      <c r="H58" s="102" t="s">
        <v>446</v>
      </c>
      <c r="I58" s="102">
        <f>IFERROR((D58/1000)*VLOOKUP(B57,$V$100:$W$179,2,0),0)</f>
        <v>0.69047619047619047</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562.5</v>
      </c>
      <c r="E66" s="354" t="str">
        <f>IF(J50&gt;0,"quilos para área total","-")</f>
        <v>quilos para área total</v>
      </c>
      <c r="F66" s="354"/>
      <c r="G66" s="354"/>
      <c r="H66" s="102" t="s">
        <v>447</v>
      </c>
      <c r="I66" s="102">
        <f>I67*$E$18*$I$18</f>
        <v>855</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4500</v>
      </c>
      <c r="E67" s="332" t="str">
        <f>IF(J50&gt;0,"gramas por planta","-")</f>
        <v>gramas por planta</v>
      </c>
      <c r="F67" s="332"/>
      <c r="G67" s="332"/>
      <c r="H67" s="102" t="s">
        <v>446</v>
      </c>
      <c r="I67" s="102">
        <f>IFERROR((D67/1000)*VLOOKUP(B66,$V$100:$W$179,2,0),0)</f>
        <v>6.84</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91.428571428571416</v>
      </c>
      <c r="E83" s="332" t="str">
        <f>IF(AV40&gt;0,"gramas por planta","-")</f>
        <v>gramas por planta</v>
      </c>
      <c r="F83" s="332"/>
      <c r="G83" s="332"/>
      <c r="H83" s="102" t="s">
        <v>446</v>
      </c>
      <c r="I83" s="102">
        <f>IFERROR((D83/1000)*VLOOKUP(B82,$V$100:$W$179,2,0),0)</f>
        <v>0.50468571428571418</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270</v>
      </c>
      <c r="P96" s="26">
        <f>$AC$31</f>
        <v>240</v>
      </c>
      <c r="Q96" s="26">
        <f>$AC$32</f>
        <v>50</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2443.4999484004124</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2443.4999484004124</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19.5479995872033</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19.5479995872033</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16</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$AE$31:$AE$35</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(1)'!$C$104:$C$113</xm:f>
          </x14:formula1>
          <xm:sqref>O56:Q56</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(1)'!$C$3:$C$62</xm:f>
          </x14:formula1>
          <xm:sqref>O71:P73 O79:P81 O87:P89 O117:P143</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154" customWidth="1"/>
    <col min="2" max="2" width="37.28515625" style="154" customWidth="1"/>
    <col min="3" max="3" width="29.5703125" style="154" customWidth="1"/>
    <col min="4" max="4" width="21.7109375" style="154" bestFit="1" customWidth="1"/>
    <col min="5" max="7" width="16.7109375" style="154" customWidth="1"/>
    <col min="8" max="8" width="29.42578125" style="154" bestFit="1" customWidth="1"/>
    <col min="9" max="9" width="21.7109375" style="154" bestFit="1" customWidth="1"/>
    <col min="10" max="12" width="13" style="154" customWidth="1"/>
    <col min="13" max="13" width="36.5703125" style="154" customWidth="1"/>
    <col min="14" max="14" width="13.140625" style="154" bestFit="1" customWidth="1"/>
    <col min="15" max="15" width="29.7109375" style="154" customWidth="1"/>
    <col min="16" max="16" width="18.42578125" style="154" customWidth="1"/>
    <col min="17" max="17" width="49.140625" style="154" customWidth="1"/>
    <col min="18" max="18" width="8" style="154" customWidth="1"/>
    <col min="19" max="19" width="11.42578125" style="154" bestFit="1" customWidth="1"/>
    <col min="20" max="20" width="30.140625" style="154" hidden="1" customWidth="1" outlineLevel="1"/>
    <col min="21" max="21" width="43.42578125" style="154" hidden="1" customWidth="1" outlineLevel="1"/>
    <col min="22" max="22" width="65" style="154" hidden="1" customWidth="1" outlineLevel="1"/>
    <col min="23" max="23" width="21.28515625" style="154" hidden="1" customWidth="1" outlineLevel="1"/>
    <col min="24" max="24" width="27.42578125" style="154" hidden="1" customWidth="1" outlineLevel="1"/>
    <col min="25" max="25" width="22.42578125" style="154" hidden="1" customWidth="1" outlineLevel="1"/>
    <col min="26" max="26" width="22" style="154" hidden="1" customWidth="1" outlineLevel="1"/>
    <col min="27" max="27" width="16.85546875" style="154" hidden="1" customWidth="1" outlineLevel="1"/>
    <col min="28" max="28" width="21.5703125" style="154" hidden="1" customWidth="1" outlineLevel="1"/>
    <col min="29" max="29" width="16.85546875" style="154" hidden="1" customWidth="1" outlineLevel="1"/>
    <col min="30" max="30" width="24.42578125" style="154" hidden="1" customWidth="1" outlineLevel="1"/>
    <col min="31" max="31" width="36.140625" style="154" hidden="1" customWidth="1" outlineLevel="1"/>
    <col min="32" max="32" width="25.5703125" style="154" hidden="1" customWidth="1" outlineLevel="1"/>
    <col min="33" max="33" width="22" style="154" hidden="1" customWidth="1" outlineLevel="1"/>
    <col min="34" max="34" width="21.5703125" style="154" hidden="1" customWidth="1" outlineLevel="1"/>
    <col min="35" max="35" width="24.7109375" style="154" hidden="1" customWidth="1" outlineLevel="1"/>
    <col min="36" max="36" width="14.28515625" style="154" hidden="1" customWidth="1" outlineLevel="1"/>
    <col min="37" max="37" width="32.42578125" style="154" hidden="1" customWidth="1" outlineLevel="1"/>
    <col min="38" max="38" width="14.7109375" style="154" hidden="1" customWidth="1" outlineLevel="1"/>
    <col min="39" max="39" width="34.28515625" style="154" hidden="1" customWidth="1" outlineLevel="1"/>
    <col min="40" max="40" width="20.85546875" style="154" hidden="1" customWidth="1" outlineLevel="1"/>
    <col min="41" max="41" width="21.28515625" style="154" hidden="1" customWidth="1" outlineLevel="1"/>
    <col min="42" max="42" width="65" style="154" hidden="1" customWidth="1" outlineLevel="1"/>
    <col min="43" max="43" width="16.7109375" style="154" hidden="1" customWidth="1" outlineLevel="1"/>
    <col min="44" max="44" width="45.85546875" style="154" hidden="1" customWidth="1" outlineLevel="1"/>
    <col min="45" max="45" width="16.7109375" style="154" hidden="1" customWidth="1" outlineLevel="1"/>
    <col min="46" max="46" width="13.7109375" style="154" hidden="1" customWidth="1" outlineLevel="1"/>
    <col min="47" max="47" width="31.42578125" style="154" hidden="1" customWidth="1" outlineLevel="1"/>
    <col min="48" max="48" width="11.85546875" style="154" hidden="1" customWidth="1" outlineLevel="1"/>
    <col min="49" max="49" width="23.5703125" style="154" hidden="1" customWidth="1" outlineLevel="1"/>
    <col min="50" max="50" width="22.42578125" style="154" hidden="1" customWidth="1" outlineLevel="1"/>
    <col min="51" max="51" width="28.5703125" style="154" hidden="1" customWidth="1" outlineLevel="1"/>
    <col min="52" max="52" width="23" style="154" hidden="1" customWidth="1" outlineLevel="1"/>
    <col min="53" max="54" width="16.7109375" style="154" hidden="1" customWidth="1" outlineLevel="1"/>
    <col min="55" max="55" width="9.140625" style="154" hidden="1" customWidth="1" outlineLevel="1"/>
    <col min="56" max="56" width="9.140625" style="154" collapsed="1"/>
    <col min="57" max="16384" width="9.140625" style="154"/>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155"/>
      <c r="N3" s="151"/>
      <c r="O3" s="151"/>
      <c r="P3" s="151"/>
      <c r="Q3" s="151"/>
      <c r="R3" s="156"/>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152" t="s">
        <v>0</v>
      </c>
      <c r="R4" s="157"/>
      <c r="U4" s="311"/>
      <c r="V4" s="311"/>
      <c r="W4" s="311"/>
      <c r="X4" s="311"/>
      <c r="Y4" s="301"/>
      <c r="Z4" s="301"/>
      <c r="AA4" s="301"/>
      <c r="AB4" s="301"/>
      <c r="AC4" s="301"/>
      <c r="AD4" s="301"/>
      <c r="AO4" s="7"/>
      <c r="AP4" s="295" t="s">
        <v>232</v>
      </c>
      <c r="AQ4" s="295" t="s">
        <v>233</v>
      </c>
      <c r="AR4" s="295"/>
      <c r="AS4" s="137" t="s">
        <v>33</v>
      </c>
      <c r="AT4" s="137" t="s">
        <v>198</v>
      </c>
      <c r="AU4" s="137" t="s">
        <v>199</v>
      </c>
      <c r="AV4" s="296" t="s">
        <v>234</v>
      </c>
      <c r="AW4" s="7"/>
      <c r="AX4" s="7"/>
      <c r="AY4" s="7"/>
      <c r="AZ4" s="7"/>
      <c r="BA4" s="7"/>
      <c r="BB4" s="7"/>
    </row>
    <row r="5" spans="1:54" ht="19.5" customHeight="1" x14ac:dyDescent="0.25">
      <c r="M5" s="303"/>
      <c r="N5" s="304"/>
      <c r="O5" s="142" t="s">
        <v>1</v>
      </c>
      <c r="P5" s="5">
        <v>5.7</v>
      </c>
      <c r="Q5" s="142" t="s">
        <v>2</v>
      </c>
      <c r="R5" s="157"/>
      <c r="U5" s="311"/>
      <c r="V5" s="311"/>
      <c r="W5" s="311"/>
      <c r="X5" s="311"/>
      <c r="Y5" s="301"/>
      <c r="Z5" s="301"/>
      <c r="AA5" s="301"/>
      <c r="AB5" s="301"/>
      <c r="AC5" s="301"/>
      <c r="AD5" s="301"/>
      <c r="AO5" s="7"/>
      <c r="AP5" s="295"/>
      <c r="AQ5" s="295"/>
      <c r="AR5" s="295"/>
      <c r="AS5" s="9">
        <f>$AC$30</f>
        <v>640</v>
      </c>
      <c r="AT5" s="9">
        <f>$AC$31</f>
        <v>960</v>
      </c>
      <c r="AU5" s="9">
        <f>$AC$32</f>
        <v>560</v>
      </c>
      <c r="AV5" s="297"/>
      <c r="AW5" s="7"/>
      <c r="AX5" s="7"/>
      <c r="AY5" s="7"/>
      <c r="AZ5" s="7"/>
      <c r="BA5" s="7"/>
      <c r="BB5" s="7"/>
    </row>
    <row r="6" spans="1:54" ht="19.5" customHeight="1" x14ac:dyDescent="0.25">
      <c r="M6" s="303"/>
      <c r="N6" s="304"/>
      <c r="O6" s="142" t="s">
        <v>3</v>
      </c>
      <c r="P6" s="6">
        <v>1.4</v>
      </c>
      <c r="Q6" s="142" t="s">
        <v>55</v>
      </c>
      <c r="R6" s="157"/>
      <c r="U6" s="142" t="s">
        <v>29</v>
      </c>
      <c r="V6" s="301" t="s">
        <v>51</v>
      </c>
      <c r="W6" s="301"/>
      <c r="X6" s="301"/>
      <c r="Y6" s="301"/>
      <c r="Z6" s="301"/>
      <c r="AA6" s="301"/>
      <c r="AB6" s="301"/>
      <c r="AC6" s="301"/>
      <c r="AD6" s="301"/>
      <c r="AO6" s="7"/>
      <c r="AP6" s="137">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42" t="s">
        <v>4</v>
      </c>
      <c r="P7" s="5">
        <v>0.6</v>
      </c>
      <c r="Q7" s="142" t="s">
        <v>55</v>
      </c>
      <c r="R7" s="157"/>
      <c r="U7" s="142" t="s">
        <v>23</v>
      </c>
      <c r="V7" s="142" t="s">
        <v>25</v>
      </c>
      <c r="W7" s="142" t="s">
        <v>26</v>
      </c>
      <c r="X7" s="142" t="s">
        <v>31</v>
      </c>
      <c r="Y7" s="142" t="s">
        <v>53</v>
      </c>
      <c r="Z7" s="301" t="s">
        <v>54</v>
      </c>
      <c r="AA7" s="301"/>
      <c r="AB7" s="301"/>
      <c r="AC7" s="142" t="s">
        <v>57</v>
      </c>
      <c r="AD7" s="142" t="s">
        <v>58</v>
      </c>
      <c r="AF7" s="307" t="s">
        <v>221</v>
      </c>
      <c r="AG7" s="307"/>
      <c r="AH7" s="307"/>
      <c r="AI7" s="307"/>
      <c r="AJ7" s="307"/>
      <c r="AK7" s="307"/>
      <c r="AL7" s="307"/>
      <c r="AM7" s="307"/>
      <c r="AO7" s="7"/>
      <c r="AP7" s="137">
        <v>2</v>
      </c>
      <c r="AQ7" s="305" t="str">
        <f>O72</f>
        <v>Termofosfato YOORIN</v>
      </c>
      <c r="AR7" s="306"/>
      <c r="AS7" s="9">
        <f>IFERROR((VLOOKUP(AQ7,$V$100:$AB$179,3,0)*0.01)*AV7,0)</f>
        <v>0</v>
      </c>
      <c r="AT7" s="9">
        <f>IFERROR((VLOOKUP(AQ7,$V$100:$AB$179,5,0)*0.01)*AV7,0)</f>
        <v>960.00000000000023</v>
      </c>
      <c r="AU7" s="9">
        <f>IFERROR((VLOOKUP(AQ7,$V$100:$AB$179,7,0)*0.01)*AV7,0)</f>
        <v>0</v>
      </c>
      <c r="AV7" s="9">
        <f>IFERROR($AT$5*Q72/(VLOOKUP(AQ7,$V$100:$AB$179,5,0)/100),0)</f>
        <v>5485.7142857142862</v>
      </c>
      <c r="AW7" s="7"/>
      <c r="AX7" s="7"/>
      <c r="AY7" s="7"/>
      <c r="AZ7" s="7"/>
      <c r="BA7" s="7"/>
      <c r="BB7" s="7"/>
    </row>
    <row r="8" spans="1:54" ht="19.5" customHeight="1" thickBot="1" x14ac:dyDescent="0.3">
      <c r="M8" s="303"/>
      <c r="N8" s="304"/>
      <c r="O8" s="142" t="s">
        <v>5</v>
      </c>
      <c r="P8" s="6">
        <v>0.09</v>
      </c>
      <c r="Q8" s="142" t="s">
        <v>55</v>
      </c>
      <c r="R8" s="157"/>
      <c r="U8" s="142" t="s">
        <v>37</v>
      </c>
      <c r="V8" s="142" t="s">
        <v>39</v>
      </c>
      <c r="W8" s="142" t="s">
        <v>30</v>
      </c>
      <c r="X8" s="142" t="s">
        <v>43</v>
      </c>
      <c r="Y8" s="142" t="str">
        <f>IF($P$21&lt;=15.99,"correto","erro")</f>
        <v>erro</v>
      </c>
      <c r="Z8" s="142" t="str">
        <f>IF($P$13&lt;=12,"baixo","erro")</f>
        <v>baixo</v>
      </c>
      <c r="AA8" s="142" t="str">
        <f>IF(AND($P$13&gt;=12.01,$P$13&lt;=18),"medio","erro")</f>
        <v>erro</v>
      </c>
      <c r="AB8" s="142" t="str">
        <f>IF($P$13&gt;18,"adequado","erro")</f>
        <v>erro</v>
      </c>
      <c r="AC8" s="142" t="str">
        <f>IF(Z8="baixo","baixo",IF(AA8="medio","medio",IF(AB8="adequado","adequado",0)))</f>
        <v>baixo</v>
      </c>
      <c r="AD8" s="301" t="str">
        <f>VLOOKUP("correto",Y8:AC11,5,0)</f>
        <v>baixo</v>
      </c>
      <c r="AF8" s="142" t="s">
        <v>224</v>
      </c>
      <c r="AG8" s="307" t="s">
        <v>222</v>
      </c>
      <c r="AH8" s="307"/>
      <c r="AI8" s="301" t="s">
        <v>223</v>
      </c>
      <c r="AJ8" s="301"/>
      <c r="AK8" s="142" t="s">
        <v>58</v>
      </c>
      <c r="AL8" s="142" t="s">
        <v>237</v>
      </c>
      <c r="AM8" s="142" t="s">
        <v>240</v>
      </c>
      <c r="AO8" s="7"/>
      <c r="AP8" s="137">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42" t="s">
        <v>6</v>
      </c>
      <c r="P9" s="5">
        <v>0.01</v>
      </c>
      <c r="Q9" s="142" t="s">
        <v>55</v>
      </c>
      <c r="R9" s="157"/>
      <c r="U9" s="142" t="s">
        <v>27</v>
      </c>
      <c r="V9" s="142" t="s">
        <v>40</v>
      </c>
      <c r="W9" s="142" t="s">
        <v>44</v>
      </c>
      <c r="X9" s="142" t="s">
        <v>47</v>
      </c>
      <c r="Y9" s="142" t="str">
        <f>IF(AND($P$21&gt;15.99,P21&lt;34.99),"correto","erro")</f>
        <v>erro</v>
      </c>
      <c r="Z9" s="142" t="str">
        <f>IF($P$13&lt;=10,"baixo","erro")</f>
        <v>baixo</v>
      </c>
      <c r="AA9" s="142" t="str">
        <f>IF(AND($P$13&gt;=10.01,$P$13&lt;=15),"medio","erro")</f>
        <v>erro</v>
      </c>
      <c r="AB9" s="142" t="str">
        <f>IF($P$13&gt;15,"adequado","erro")</f>
        <v>erro</v>
      </c>
      <c r="AC9" s="142" t="str">
        <f>IF(Z9="baixo","baixo",IF(AA9="medio","medio",IF(AB9="adequado","adequado",0)))</f>
        <v>baixo</v>
      </c>
      <c r="AD9" s="301"/>
      <c r="AF9" s="307" t="s">
        <v>220</v>
      </c>
      <c r="AG9" s="153" t="s">
        <v>25</v>
      </c>
      <c r="AH9" s="153" t="s">
        <v>216</v>
      </c>
      <c r="AI9" s="142" t="str">
        <f>IF($P$14&lt;=0.2,"baixo","erro")</f>
        <v>baixo</v>
      </c>
      <c r="AJ9" s="301" t="str">
        <f>IF($AI$9="baixo","baixo",IF($AI$10="medio","medio",IF($AI$11="adequado","adequado",0)))</f>
        <v>baixo</v>
      </c>
      <c r="AK9" s="301">
        <f>IF(AJ9="Baixo",AL9,0)</f>
        <v>8</v>
      </c>
      <c r="AL9" s="301">
        <f>(AM9*1000)/$E$18</f>
        <v>8</v>
      </c>
      <c r="AM9" s="301">
        <v>1</v>
      </c>
      <c r="AO9" s="7"/>
      <c r="AP9" s="7"/>
      <c r="AQ9" s="7"/>
      <c r="AR9" s="7"/>
      <c r="AS9" s="28">
        <f>AS5-(SUM(AS6:AS8))</f>
        <v>640</v>
      </c>
      <c r="AT9" s="28">
        <f>AT5-(SUM(AT6:AT8))</f>
        <v>0</v>
      </c>
      <c r="AU9" s="28">
        <f>AU5-(SUM(AU6:AU8))</f>
        <v>560</v>
      </c>
      <c r="AV9" s="28"/>
      <c r="AW9" s="7"/>
      <c r="AX9" s="7"/>
      <c r="AY9" s="7"/>
      <c r="AZ9" s="7"/>
      <c r="BA9" s="7"/>
      <c r="BB9" s="7"/>
    </row>
    <row r="10" spans="1:54" ht="19.5" customHeight="1" x14ac:dyDescent="0.25">
      <c r="M10" s="303"/>
      <c r="N10" s="304"/>
      <c r="O10" s="142" t="s">
        <v>7</v>
      </c>
      <c r="P10" s="6">
        <v>0.3</v>
      </c>
      <c r="Q10" s="142" t="s">
        <v>55</v>
      </c>
      <c r="R10" s="157"/>
      <c r="U10" s="142" t="s">
        <v>28</v>
      </c>
      <c r="V10" s="142" t="s">
        <v>41</v>
      </c>
      <c r="W10" s="142" t="s">
        <v>45</v>
      </c>
      <c r="X10" s="142" t="s">
        <v>48</v>
      </c>
      <c r="Y10" s="142" t="str">
        <f>IF(AND($P$21&gt;34.99,P21&lt;59.99),"correto","erro")</f>
        <v>correto</v>
      </c>
      <c r="Z10" s="142" t="str">
        <f>IF($P$13&lt;=5,"baixo","erro")</f>
        <v>baixo</v>
      </c>
      <c r="AA10" s="142" t="str">
        <f>IF(AND($P$13&gt;=5.01,$P$13&lt;=8),"medio","erro")</f>
        <v>erro</v>
      </c>
      <c r="AB10" s="142" t="str">
        <f>IF($P$13&gt;8,"adequado","erro")</f>
        <v>erro</v>
      </c>
      <c r="AC10" s="142" t="str">
        <f>IF(Z10="baixo","baixo",IF(AA10="medio","medio",IF(AB10="adequado","adequado",0)))</f>
        <v>baixo</v>
      </c>
      <c r="AD10" s="301"/>
      <c r="AF10" s="307"/>
      <c r="AG10" s="153" t="s">
        <v>26</v>
      </c>
      <c r="AH10" s="153" t="s">
        <v>212</v>
      </c>
      <c r="AI10" s="142" t="str">
        <f>IF(AND($P$14&gt;=0.201,$P$14&lt;=0.5),"medio","erro")</f>
        <v>erro</v>
      </c>
      <c r="AJ10" s="301"/>
      <c r="AK10" s="301"/>
      <c r="AL10" s="301"/>
      <c r="AM10" s="301"/>
      <c r="AO10" s="7"/>
      <c r="AP10" s="295" t="s">
        <v>232</v>
      </c>
      <c r="AQ10" s="295" t="s">
        <v>233</v>
      </c>
      <c r="AR10" s="295"/>
      <c r="AS10" s="137" t="s">
        <v>33</v>
      </c>
      <c r="AT10" s="137" t="s">
        <v>198</v>
      </c>
      <c r="AU10" s="137" t="s">
        <v>199</v>
      </c>
      <c r="AV10" s="296" t="s">
        <v>234</v>
      </c>
      <c r="AW10" s="7"/>
      <c r="AX10" s="7"/>
      <c r="AY10" s="7"/>
      <c r="AZ10" s="7"/>
      <c r="BA10" s="7"/>
      <c r="BB10" s="7"/>
    </row>
    <row r="11" spans="1:54" ht="19.5" customHeight="1" x14ac:dyDescent="0.25">
      <c r="B11" s="142" t="s">
        <v>108</v>
      </c>
      <c r="C11" s="298"/>
      <c r="D11" s="298"/>
      <c r="E11" s="298"/>
      <c r="F11" s="298"/>
      <c r="G11" s="298"/>
      <c r="H11" s="298"/>
      <c r="I11" s="299"/>
      <c r="M11" s="303"/>
      <c r="N11" s="304"/>
      <c r="O11" s="142" t="s">
        <v>8</v>
      </c>
      <c r="P11" s="5">
        <v>4.3</v>
      </c>
      <c r="Q11" s="142" t="s">
        <v>55</v>
      </c>
      <c r="R11" s="157"/>
      <c r="U11" s="142" t="s">
        <v>38</v>
      </c>
      <c r="V11" s="142" t="s">
        <v>42</v>
      </c>
      <c r="W11" s="142" t="s">
        <v>46</v>
      </c>
      <c r="X11" s="142" t="s">
        <v>49</v>
      </c>
      <c r="Y11" s="142" t="str">
        <f>IF($P$21&gt;59.99,"correto","erro")</f>
        <v>erro</v>
      </c>
      <c r="Z11" s="142" t="str">
        <f>IF($P$13&lt;=3,"baixo","erro")</f>
        <v>erro</v>
      </c>
      <c r="AA11" s="142" t="str">
        <f>IF(AND($P$13&gt;=3.01,$P$13&lt;=6),"medio","erro")</f>
        <v>medio</v>
      </c>
      <c r="AB11" s="142" t="str">
        <f>IF($P$13&gt;6,"adequado","erro")</f>
        <v>erro</v>
      </c>
      <c r="AC11" s="142" t="str">
        <f>IF(Z11="baixo","baixo",IF(AA11="medio","medio",IF(AB11="adequado","adequado",0)))</f>
        <v>medio</v>
      </c>
      <c r="AD11" s="301"/>
      <c r="AF11" s="307"/>
      <c r="AG11" s="153" t="s">
        <v>208</v>
      </c>
      <c r="AH11" s="153" t="s">
        <v>207</v>
      </c>
      <c r="AI11" s="142" t="str">
        <f>IF($P$14&gt;0.5,"adequado","erro")</f>
        <v>erro</v>
      </c>
      <c r="AJ11" s="301"/>
      <c r="AK11" s="301"/>
      <c r="AL11" s="301"/>
      <c r="AM11" s="301"/>
      <c r="AO11" s="7"/>
      <c r="AP11" s="295"/>
      <c r="AQ11" s="295"/>
      <c r="AR11" s="295"/>
      <c r="AS11" s="9">
        <f>AS9</f>
        <v>640</v>
      </c>
      <c r="AT11" s="9">
        <f t="shared" ref="AT11:AU11" si="0">AT9</f>
        <v>0</v>
      </c>
      <c r="AU11" s="9">
        <f t="shared" si="0"/>
        <v>560</v>
      </c>
      <c r="AV11" s="297"/>
      <c r="AW11" s="7"/>
      <c r="AX11" s="7"/>
      <c r="AY11" s="7"/>
      <c r="AZ11" s="7"/>
      <c r="BA11" s="7"/>
      <c r="BB11" s="7"/>
    </row>
    <row r="12" spans="1:54" ht="19.5" customHeight="1" x14ac:dyDescent="0.25">
      <c r="B12" s="143" t="s">
        <v>109</v>
      </c>
      <c r="C12" s="300"/>
      <c r="D12" s="298"/>
      <c r="E12" s="298"/>
      <c r="F12" s="298"/>
      <c r="G12" s="298"/>
      <c r="H12" s="298"/>
      <c r="I12" s="299"/>
      <c r="M12" s="303"/>
      <c r="N12" s="304"/>
      <c r="O12" s="142" t="s">
        <v>9</v>
      </c>
      <c r="P12" s="6">
        <v>19.399999999999999</v>
      </c>
      <c r="Q12" s="142" t="s">
        <v>10</v>
      </c>
      <c r="R12" s="157"/>
      <c r="AF12" s="307" t="s">
        <v>219</v>
      </c>
      <c r="AG12" s="153" t="s">
        <v>25</v>
      </c>
      <c r="AH12" s="153" t="s">
        <v>215</v>
      </c>
      <c r="AI12" s="142" t="str">
        <f>IF($P$16&lt;=0.4,"baixo","erro")</f>
        <v>baixo</v>
      </c>
      <c r="AJ12" s="301" t="str">
        <f>IF($AI$12="baixo","baixo",IF($AI$13="medio","medio",IF($AI$14="adequado","adequado",0)))</f>
        <v>baixo</v>
      </c>
      <c r="AK12" s="301">
        <f>IF(AJ12="Baixo",AL12,0)</f>
        <v>4</v>
      </c>
      <c r="AL12" s="301">
        <f>(AM12*1000)/$E$18</f>
        <v>4</v>
      </c>
      <c r="AM12" s="301">
        <v>0.5</v>
      </c>
      <c r="AO12" s="7"/>
      <c r="AP12" s="137">
        <v>7</v>
      </c>
      <c r="AQ12" s="295" t="str">
        <f>O79</f>
        <v>Kmag</v>
      </c>
      <c r="AR12" s="295"/>
      <c r="AS12" s="9">
        <f>IFERROR((VLOOKUP(AQ12,$V$100:$AB$179,3,0)*0.01)*AV12,0)</f>
        <v>0</v>
      </c>
      <c r="AT12" s="9">
        <f>IFERROR((VLOOKUP(AQ12,$V$100:$AB$179,5,0)*0.01)*AV12,0)</f>
        <v>0</v>
      </c>
      <c r="AU12" s="9">
        <f>IFERROR((VLOOKUP(AQ12,$V$100:$AB$179,7,0)*0.01)*AV12,0)</f>
        <v>560</v>
      </c>
      <c r="AV12" s="9">
        <f>IFERROR($AU$11*Q79/(VLOOKUP(AQ12,$V$100:$AB$179,7,0)/100),0)</f>
        <v>2666.666666666667</v>
      </c>
      <c r="AW12" s="7"/>
      <c r="AX12" s="7"/>
      <c r="AY12" s="7"/>
      <c r="AZ12" s="7"/>
      <c r="BA12" s="7"/>
      <c r="BB12" s="7"/>
    </row>
    <row r="13" spans="1:54" ht="19.5" customHeight="1" x14ac:dyDescent="0.25">
      <c r="B13" s="143" t="s">
        <v>110</v>
      </c>
      <c r="C13" s="300"/>
      <c r="D13" s="298"/>
      <c r="E13" s="298"/>
      <c r="F13" s="298"/>
      <c r="G13" s="298"/>
      <c r="H13" s="298"/>
      <c r="I13" s="299"/>
      <c r="M13" s="303"/>
      <c r="N13" s="304"/>
      <c r="O13" s="142" t="s">
        <v>11</v>
      </c>
      <c r="P13" s="5">
        <v>4</v>
      </c>
      <c r="Q13" s="142" t="s">
        <v>12</v>
      </c>
      <c r="R13" s="157"/>
      <c r="AF13" s="307"/>
      <c r="AG13" s="153" t="s">
        <v>26</v>
      </c>
      <c r="AH13" s="153" t="s">
        <v>211</v>
      </c>
      <c r="AI13" s="142" t="str">
        <f>IF(AND($P$16&gt;=0.401,$P$16&lt;=0.8),"medio","erro")</f>
        <v>erro</v>
      </c>
      <c r="AJ13" s="301"/>
      <c r="AK13" s="301"/>
      <c r="AL13" s="301"/>
      <c r="AM13" s="301"/>
      <c r="AO13" s="7"/>
      <c r="AP13" s="137">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43" t="s">
        <v>111</v>
      </c>
      <c r="C14" s="300"/>
      <c r="D14" s="298"/>
      <c r="E14" s="298"/>
      <c r="F14" s="298"/>
      <c r="G14" s="299"/>
      <c r="H14" s="142" t="s">
        <v>112</v>
      </c>
      <c r="I14" s="90">
        <f ca="1">TODAY()</f>
        <v>44010</v>
      </c>
      <c r="M14" s="303"/>
      <c r="N14" s="304"/>
      <c r="O14" s="142" t="s">
        <v>13</v>
      </c>
      <c r="P14" s="6">
        <v>0.1</v>
      </c>
      <c r="Q14" s="142" t="s">
        <v>12</v>
      </c>
      <c r="R14" s="157"/>
      <c r="AF14" s="307"/>
      <c r="AG14" s="153" t="s">
        <v>208</v>
      </c>
      <c r="AH14" s="153" t="s">
        <v>206</v>
      </c>
      <c r="AI14" s="142" t="str">
        <f>IF($P$16&gt;0.8,"adequado","erro")</f>
        <v>erro</v>
      </c>
      <c r="AJ14" s="301"/>
      <c r="AK14" s="301"/>
      <c r="AL14" s="301"/>
      <c r="AM14" s="301"/>
      <c r="AO14" s="7"/>
      <c r="AP14" s="137">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42" t="s">
        <v>14</v>
      </c>
      <c r="P15" s="5">
        <v>5.2</v>
      </c>
      <c r="Q15" s="142" t="s">
        <v>12</v>
      </c>
      <c r="R15" s="157"/>
      <c r="AF15" s="307" t="s">
        <v>218</v>
      </c>
      <c r="AG15" s="153" t="s">
        <v>25</v>
      </c>
      <c r="AH15" s="153" t="s">
        <v>214</v>
      </c>
      <c r="AI15" s="142" t="str">
        <f>IF($P$18&lt;=1.9,"baixo","erro")</f>
        <v>baixo</v>
      </c>
      <c r="AJ15" s="301" t="str">
        <f>IF($AI$15="baixo","baixo",IF($AI$16="medio","medio",IF($AI$17="adequado","adequado",0)))</f>
        <v>baixo</v>
      </c>
      <c r="AK15" s="301">
        <f>IF(AJ15="Baixo",AL15,0)</f>
        <v>8</v>
      </c>
      <c r="AL15" s="301">
        <f>(AM15*1000)/$E$18</f>
        <v>8</v>
      </c>
      <c r="AM15" s="301">
        <v>1</v>
      </c>
      <c r="AO15" s="7"/>
      <c r="AP15" s="7"/>
      <c r="AQ15" s="7"/>
      <c r="AR15" s="7"/>
      <c r="AS15" s="28">
        <f>AS11-(SUM(AS12:AS14))</f>
        <v>640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42" t="s">
        <v>15</v>
      </c>
      <c r="P16" s="6">
        <v>0.2</v>
      </c>
      <c r="Q16" s="142" t="s">
        <v>12</v>
      </c>
      <c r="R16" s="157"/>
      <c r="AF16" s="307"/>
      <c r="AG16" s="153" t="s">
        <v>26</v>
      </c>
      <c r="AH16" s="153" t="s">
        <v>210</v>
      </c>
      <c r="AI16" s="142" t="str">
        <f>IF(AND($P$18&gt;=1.901,$P$18&lt;=5),"medio","erro")</f>
        <v>erro</v>
      </c>
      <c r="AJ16" s="301"/>
      <c r="AK16" s="301"/>
      <c r="AL16" s="301"/>
      <c r="AM16" s="301"/>
      <c r="AO16" s="7"/>
      <c r="AP16" s="295" t="s">
        <v>232</v>
      </c>
      <c r="AQ16" s="295" t="s">
        <v>233</v>
      </c>
      <c r="AR16" s="295"/>
      <c r="AS16" s="137" t="s">
        <v>33</v>
      </c>
      <c r="AT16" s="137" t="s">
        <v>198</v>
      </c>
      <c r="AU16" s="137" t="s">
        <v>199</v>
      </c>
      <c r="AV16" s="296" t="s">
        <v>234</v>
      </c>
      <c r="AW16" s="7"/>
      <c r="AX16" s="7"/>
      <c r="AY16" s="7"/>
      <c r="AZ16" s="7"/>
      <c r="BA16" s="7"/>
      <c r="BB16" s="7"/>
    </row>
    <row r="17" spans="2:54" ht="19.5" customHeight="1" x14ac:dyDescent="0.25">
      <c r="M17" s="303"/>
      <c r="N17" s="304"/>
      <c r="O17" s="142" t="s">
        <v>16</v>
      </c>
      <c r="P17" s="5">
        <v>45.3</v>
      </c>
      <c r="Q17" s="142" t="s">
        <v>12</v>
      </c>
      <c r="R17" s="157"/>
      <c r="U17" s="311" t="s">
        <v>60</v>
      </c>
      <c r="V17" s="311"/>
      <c r="W17" s="311"/>
      <c r="X17" s="311"/>
      <c r="Y17" s="301" t="s">
        <v>59</v>
      </c>
      <c r="Z17" s="301"/>
      <c r="AA17" s="301"/>
      <c r="AB17" s="301"/>
      <c r="AC17" s="301"/>
      <c r="AD17" s="301"/>
      <c r="AF17" s="307"/>
      <c r="AG17" s="153" t="s">
        <v>208</v>
      </c>
      <c r="AH17" s="153" t="s">
        <v>205</v>
      </c>
      <c r="AI17" s="142" t="str">
        <f>IF($P$18&gt;5,"adequado","erro")</f>
        <v>erro</v>
      </c>
      <c r="AJ17" s="301"/>
      <c r="AK17" s="301"/>
      <c r="AL17" s="301"/>
      <c r="AM17" s="301"/>
      <c r="AO17" s="7"/>
      <c r="AP17" s="295"/>
      <c r="AQ17" s="295"/>
      <c r="AR17" s="295"/>
      <c r="AS17" s="9">
        <f>AS15</f>
        <v>640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142">
        <f>O34</f>
        <v>1</v>
      </c>
      <c r="M18" s="303"/>
      <c r="N18" s="304"/>
      <c r="O18" s="142" t="s">
        <v>17</v>
      </c>
      <c r="P18" s="6">
        <v>0.9</v>
      </c>
      <c r="Q18" s="142" t="s">
        <v>12</v>
      </c>
      <c r="R18" s="157"/>
      <c r="U18" s="311"/>
      <c r="V18" s="311"/>
      <c r="W18" s="311"/>
      <c r="X18" s="311"/>
      <c r="Y18" s="301"/>
      <c r="Z18" s="301"/>
      <c r="AA18" s="301"/>
      <c r="AB18" s="301"/>
      <c r="AC18" s="301"/>
      <c r="AD18" s="301"/>
      <c r="AF18" s="307" t="s">
        <v>217</v>
      </c>
      <c r="AG18" s="153" t="s">
        <v>25</v>
      </c>
      <c r="AH18" s="153" t="s">
        <v>213</v>
      </c>
      <c r="AI18" s="142" t="str">
        <f>IF($P$19&lt;=1,"baixo","erro")</f>
        <v>baixo</v>
      </c>
      <c r="AJ18" s="301" t="str">
        <f>IF($AI$18="baixo","baixo",IF($AI$19="medio","medio",IF($AI$20="adequado","adequado",0)))</f>
        <v>baixo</v>
      </c>
      <c r="AK18" s="301">
        <f>IF(AJ18="Baixo",AL18,0)</f>
        <v>40</v>
      </c>
      <c r="AL18" s="301">
        <f>(AM18*1000)/$E$18</f>
        <v>40</v>
      </c>
      <c r="AM18" s="301">
        <v>5</v>
      </c>
      <c r="AO18" s="7"/>
      <c r="AP18" s="137">
        <v>13</v>
      </c>
      <c r="AQ18" s="295" t="str">
        <f>O87</f>
        <v>Torta de mamona Hortibraz</v>
      </c>
      <c r="AR18" s="295"/>
      <c r="AS18" s="9">
        <f>IFERROR((VLOOKUP(AQ18,$V$100:$AB$179,3,0)*0.01)*AV18,0)</f>
        <v>640</v>
      </c>
      <c r="AT18" s="9">
        <f>IFERROR((VLOOKUP(AQ18,$V$100:$AB$179,5,0)*0.01)*AV18,0)</f>
        <v>0</v>
      </c>
      <c r="AU18" s="9">
        <f>IFERROR((VLOOKUP(AQ18,$V$100:$AB$179,7,0)*0.01)*AV18,0)</f>
        <v>0</v>
      </c>
      <c r="AV18" s="9">
        <f>IFERROR($AS$17*Q87/(VLOOKUP(AQ18,$V$100:$AB$179,3,0)/100),0)</f>
        <v>10666.666666666668</v>
      </c>
      <c r="AW18" s="7"/>
      <c r="AX18" s="7"/>
      <c r="AY18" s="7"/>
      <c r="AZ18" s="7"/>
      <c r="BA18" s="7"/>
      <c r="BB18" s="7"/>
    </row>
    <row r="19" spans="2:54" ht="19.5" customHeight="1" x14ac:dyDescent="0.25">
      <c r="M19" s="303"/>
      <c r="N19" s="304"/>
      <c r="O19" s="142" t="s">
        <v>18</v>
      </c>
      <c r="P19" s="5">
        <v>0.9</v>
      </c>
      <c r="Q19" s="142" t="s">
        <v>12</v>
      </c>
      <c r="R19" s="157"/>
      <c r="S19" s="11"/>
      <c r="U19" s="311"/>
      <c r="V19" s="311"/>
      <c r="W19" s="311"/>
      <c r="X19" s="311"/>
      <c r="Y19" s="301"/>
      <c r="Z19" s="301"/>
      <c r="AA19" s="301"/>
      <c r="AB19" s="301"/>
      <c r="AC19" s="301"/>
      <c r="AD19" s="301"/>
      <c r="AF19" s="307"/>
      <c r="AG19" s="153" t="s">
        <v>26</v>
      </c>
      <c r="AH19" s="153" t="s">
        <v>209</v>
      </c>
      <c r="AI19" s="142" t="str">
        <f>IF(AND($P$19&gt;=1.01,$P$19&lt;=1.6),"medio","erro")</f>
        <v>erro</v>
      </c>
      <c r="AJ19" s="301"/>
      <c r="AK19" s="301"/>
      <c r="AL19" s="301"/>
      <c r="AM19" s="301"/>
      <c r="AO19" s="7"/>
      <c r="AP19" s="137">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32.8125</v>
      </c>
      <c r="H20" s="2" t="s">
        <v>52</v>
      </c>
      <c r="I20" s="91">
        <f>P21</f>
        <v>47.5</v>
      </c>
      <c r="M20" s="303"/>
      <c r="N20" s="304"/>
      <c r="O20" s="142" t="s">
        <v>19</v>
      </c>
      <c r="P20" s="6">
        <v>35</v>
      </c>
      <c r="Q20" s="142" t="s">
        <v>23</v>
      </c>
      <c r="R20" s="157"/>
      <c r="U20" s="142" t="s">
        <v>29</v>
      </c>
      <c r="V20" s="301" t="s">
        <v>74</v>
      </c>
      <c r="W20" s="301"/>
      <c r="X20" s="301"/>
      <c r="Y20" s="301"/>
      <c r="Z20" s="301"/>
      <c r="AA20" s="301"/>
      <c r="AB20" s="301"/>
      <c r="AC20" s="301"/>
      <c r="AD20" s="301"/>
      <c r="AF20" s="307"/>
      <c r="AG20" s="153" t="s">
        <v>208</v>
      </c>
      <c r="AH20" s="153" t="s">
        <v>204</v>
      </c>
      <c r="AI20" s="142" t="str">
        <f>IF($P$19&gt;1.6,"adequado","erro")</f>
        <v>erro</v>
      </c>
      <c r="AJ20" s="301"/>
      <c r="AK20" s="301"/>
      <c r="AL20" s="301"/>
      <c r="AM20" s="301"/>
      <c r="AO20" s="7"/>
      <c r="AP20" s="137">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5.7</v>
      </c>
      <c r="D21" s="2" t="s">
        <v>115</v>
      </c>
      <c r="E21" s="2">
        <f>P9</f>
        <v>0.01</v>
      </c>
      <c r="F21" s="2" t="s">
        <v>116</v>
      </c>
      <c r="G21" s="2">
        <f>P23</f>
        <v>10</v>
      </c>
      <c r="H21" s="2" t="s">
        <v>85</v>
      </c>
      <c r="I21" s="2">
        <f>P18</f>
        <v>0.9</v>
      </c>
      <c r="M21" s="303"/>
      <c r="N21" s="304"/>
      <c r="O21" s="142" t="s">
        <v>52</v>
      </c>
      <c r="P21" s="5">
        <v>47.5</v>
      </c>
      <c r="Q21" s="142" t="s">
        <v>23</v>
      </c>
      <c r="R21" s="157"/>
      <c r="S21" s="11"/>
      <c r="U21" s="142" t="s">
        <v>23</v>
      </c>
      <c r="V21" s="142" t="s">
        <v>25</v>
      </c>
      <c r="W21" s="142" t="s">
        <v>26</v>
      </c>
      <c r="X21" s="142" t="s">
        <v>31</v>
      </c>
      <c r="Y21" s="142" t="s">
        <v>53</v>
      </c>
      <c r="Z21" s="301" t="s">
        <v>62</v>
      </c>
      <c r="AA21" s="301"/>
      <c r="AB21" s="301"/>
      <c r="AC21" s="142" t="s">
        <v>57</v>
      </c>
      <c r="AD21" s="142"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1.4</v>
      </c>
      <c r="D22" s="2" t="s">
        <v>79</v>
      </c>
      <c r="E22" s="2">
        <f>P13</f>
        <v>4</v>
      </c>
      <c r="F22" s="2" t="s">
        <v>84</v>
      </c>
      <c r="G22" s="2">
        <f>P14</f>
        <v>0.1</v>
      </c>
      <c r="H22" s="2" t="s">
        <v>86</v>
      </c>
      <c r="I22" s="2">
        <f>P19</f>
        <v>0.9</v>
      </c>
      <c r="M22" s="303"/>
      <c r="N22" s="304"/>
      <c r="O22" s="142" t="s">
        <v>20</v>
      </c>
      <c r="P22" s="5">
        <v>17.5</v>
      </c>
      <c r="Q22" s="142" t="s">
        <v>23</v>
      </c>
      <c r="R22" s="157"/>
      <c r="U22" s="142" t="s">
        <v>50</v>
      </c>
      <c r="V22" s="142" t="s">
        <v>248</v>
      </c>
      <c r="W22" s="142" t="s">
        <v>250</v>
      </c>
      <c r="X22" s="142" t="s">
        <v>251</v>
      </c>
      <c r="Y22" s="142" t="str">
        <f>IF($P$21&lt;=20,"correto","erro")</f>
        <v>erro</v>
      </c>
      <c r="Z22" s="142" t="str">
        <f>IF($P$8&lt;=0.04,"baixo","erro")</f>
        <v>erro</v>
      </c>
      <c r="AA22" s="142" t="str">
        <f>IF(AND($P$8&gt;=0.041,$P$8&lt;=0.1),"medio","erro")</f>
        <v>medio</v>
      </c>
      <c r="AB22" s="142" t="str">
        <f>IF($P$8&gt;0.101,"adequado","erro")</f>
        <v>erro</v>
      </c>
      <c r="AC22" s="142" t="str">
        <f>IF(Z22="baixo","baixo",IF(AA22="medio","medio",IF(AB22="adequado","adequado",0)))</f>
        <v>medio</v>
      </c>
      <c r="AD22" s="324" t="str">
        <f>VLOOKUP("correto",Y22:AC23,5,0)</f>
        <v>medio</v>
      </c>
      <c r="AO22" s="7"/>
      <c r="AP22" s="7"/>
      <c r="AQ22" s="7"/>
      <c r="AR22" s="7"/>
      <c r="AS22" s="7"/>
      <c r="AT22" s="7"/>
      <c r="AU22" s="7"/>
      <c r="AV22" s="7"/>
      <c r="AW22" s="7"/>
      <c r="AX22" s="7"/>
      <c r="AY22" s="7"/>
      <c r="AZ22" s="7"/>
      <c r="BA22" s="7"/>
      <c r="BB22" s="7"/>
    </row>
    <row r="23" spans="2:54" ht="19.5" customHeight="1" x14ac:dyDescent="0.25">
      <c r="B23" s="92" t="s">
        <v>82</v>
      </c>
      <c r="C23" s="93">
        <f>P7</f>
        <v>0.6</v>
      </c>
      <c r="D23" s="2" t="s">
        <v>117</v>
      </c>
      <c r="E23" s="2">
        <f>P11</f>
        <v>4.3</v>
      </c>
      <c r="F23" s="2" t="s">
        <v>87</v>
      </c>
      <c r="G23" s="2">
        <f>P16</f>
        <v>0.2</v>
      </c>
      <c r="H23" s="2" t="s">
        <v>83</v>
      </c>
      <c r="I23" s="2">
        <f>P15</f>
        <v>5.2</v>
      </c>
      <c r="M23" s="303"/>
      <c r="N23" s="304"/>
      <c r="O23" s="142" t="s">
        <v>21</v>
      </c>
      <c r="P23" s="5">
        <v>10</v>
      </c>
      <c r="Q23" s="142" t="s">
        <v>10</v>
      </c>
      <c r="R23" s="157"/>
      <c r="U23" s="142" t="s">
        <v>61</v>
      </c>
      <c r="V23" s="142" t="s">
        <v>249</v>
      </c>
      <c r="W23" s="142" t="s">
        <v>252</v>
      </c>
      <c r="X23" s="142" t="s">
        <v>253</v>
      </c>
      <c r="Y23" s="142" t="str">
        <f>IF($P$21&gt;20,"correto","erro")</f>
        <v>correto</v>
      </c>
      <c r="Z23" s="142" t="str">
        <f>IF($P$8&lt;=0.06,"baixo","erro")</f>
        <v>erro</v>
      </c>
      <c r="AA23" s="142" t="str">
        <f>IF(AND($P$8&gt;=0.061,$P$8&lt;=0.2),"medio","erro")</f>
        <v>medio</v>
      </c>
      <c r="AB23" s="142" t="str">
        <f>IF($P$8&gt;0.201,"adequado","erro")</f>
        <v>erro</v>
      </c>
      <c r="AC23" s="142" t="str">
        <f>IF(Z23="baixo","baixo",IF(AA23="medio","medio",IF(AB23="adequado","adequado",0)))</f>
        <v>medio</v>
      </c>
      <c r="AD23" s="325"/>
      <c r="AO23" s="7"/>
      <c r="AP23" s="7"/>
      <c r="AQ23" s="7"/>
      <c r="AR23" s="7"/>
      <c r="AS23" s="7"/>
      <c r="AT23" s="7"/>
      <c r="AU23" s="7"/>
      <c r="AV23" s="7"/>
      <c r="AW23" s="7"/>
      <c r="AX23" s="7"/>
      <c r="AY23" s="7"/>
      <c r="AZ23" s="7"/>
      <c r="BA23" s="7"/>
      <c r="BB23" s="7"/>
    </row>
    <row r="24" spans="2:54" ht="19.5" customHeight="1" x14ac:dyDescent="0.25">
      <c r="B24" s="92" t="s">
        <v>80</v>
      </c>
      <c r="C24" s="93">
        <f>P8</f>
        <v>0.09</v>
      </c>
      <c r="D24" s="2" t="s">
        <v>118</v>
      </c>
      <c r="E24" s="2">
        <f>P10</f>
        <v>0.3</v>
      </c>
      <c r="F24" s="2" t="s">
        <v>89</v>
      </c>
      <c r="G24" s="2">
        <f>P17</f>
        <v>45.3</v>
      </c>
      <c r="H24" s="2" t="s">
        <v>119</v>
      </c>
      <c r="I24" s="2">
        <f>P25</f>
        <v>6.3999999999999995</v>
      </c>
      <c r="M24" s="303"/>
      <c r="N24" s="304"/>
      <c r="O24" s="142" t="s">
        <v>22</v>
      </c>
      <c r="P24" s="2">
        <f>100*(P6+P7+P8+P9)/P25</f>
        <v>32.8125</v>
      </c>
      <c r="Q24" s="142" t="s">
        <v>23</v>
      </c>
      <c r="R24" s="157"/>
      <c r="AO24" s="7"/>
      <c r="AP24" s="7"/>
      <c r="AQ24" s="7"/>
      <c r="AR24" s="7"/>
      <c r="AS24" s="28">
        <f>AS26-(SUM(AS27:AS36))</f>
        <v>8</v>
      </c>
      <c r="AT24" s="28">
        <f t="shared" ref="AT24:AV24" si="3">AT26-(SUM(AT27:AT36))</f>
        <v>4</v>
      </c>
      <c r="AU24" s="28">
        <f t="shared" si="3"/>
        <v>8</v>
      </c>
      <c r="AV24" s="28">
        <f t="shared" si="3"/>
        <v>40</v>
      </c>
      <c r="AW24" s="7"/>
      <c r="AX24" s="7"/>
      <c r="AY24" s="7"/>
      <c r="AZ24" s="7"/>
      <c r="BA24" s="7"/>
      <c r="BB24" s="7"/>
    </row>
    <row r="25" spans="2:54" ht="19.5" customHeight="1" thickBot="1" x14ac:dyDescent="0.3">
      <c r="M25" s="303"/>
      <c r="N25" s="304"/>
      <c r="O25" s="142" t="s">
        <v>24</v>
      </c>
      <c r="P25" s="1">
        <f>(P6+P7+P8+P9+P11)</f>
        <v>6.3999999999999995</v>
      </c>
      <c r="Q25" s="142" t="s">
        <v>55</v>
      </c>
      <c r="R25" s="157"/>
      <c r="AO25" s="7"/>
      <c r="AP25" s="326" t="s">
        <v>232</v>
      </c>
      <c r="AQ25" s="326" t="s">
        <v>233</v>
      </c>
      <c r="AR25" s="326"/>
      <c r="AS25" s="144" t="s">
        <v>84</v>
      </c>
      <c r="AT25" s="144" t="s">
        <v>87</v>
      </c>
      <c r="AU25" s="144" t="s">
        <v>85</v>
      </c>
      <c r="AV25" s="144" t="s">
        <v>86</v>
      </c>
      <c r="AW25" s="7"/>
      <c r="AX25" s="7"/>
      <c r="AY25" s="7"/>
      <c r="AZ25" s="7"/>
      <c r="BA25" s="7"/>
      <c r="BB25" s="7"/>
    </row>
    <row r="26" spans="2:54" ht="19.5" customHeight="1" thickBot="1" x14ac:dyDescent="0.3">
      <c r="B26" s="321" t="s">
        <v>246</v>
      </c>
      <c r="C26" s="322"/>
      <c r="D26" s="322"/>
      <c r="E26" s="322"/>
      <c r="F26" s="322"/>
      <c r="G26" s="322"/>
      <c r="H26" s="322"/>
      <c r="I26" s="323"/>
      <c r="J26" s="12"/>
      <c r="M26" s="158"/>
      <c r="N26" s="150"/>
      <c r="O26" s="150"/>
      <c r="P26" s="150"/>
      <c r="Q26" s="150"/>
      <c r="R26" s="159"/>
      <c r="U26" s="300" t="s">
        <v>281</v>
      </c>
      <c r="V26" s="298"/>
      <c r="W26" s="298"/>
      <c r="X26" s="298"/>
      <c r="Y26" s="298"/>
      <c r="Z26" s="299"/>
      <c r="AO26" s="7"/>
      <c r="AP26" s="326"/>
      <c r="AQ26" s="326"/>
      <c r="AR26" s="326"/>
      <c r="AS26" s="3">
        <f>AK9</f>
        <v>8</v>
      </c>
      <c r="AT26" s="3">
        <f>AK12</f>
        <v>4</v>
      </c>
      <c r="AU26" s="3">
        <f>AK15</f>
        <v>8</v>
      </c>
      <c r="AV26" s="3">
        <f>AK18</f>
        <v>40</v>
      </c>
      <c r="AW26" s="7"/>
      <c r="AX26" s="7"/>
      <c r="AY26" s="7"/>
      <c r="AZ26" s="7"/>
      <c r="BA26" s="7"/>
      <c r="BB26" s="7"/>
    </row>
    <row r="27" spans="2:54" ht="19.5" customHeight="1" thickBot="1" x14ac:dyDescent="0.3">
      <c r="B27" s="327" t="str">
        <f>IF($O$47&gt;0,$O$47,"-")</f>
        <v>BRICCAL Calcítico</v>
      </c>
      <c r="C27" s="327"/>
      <c r="D27" s="94">
        <f>IF(J27&gt;0,J27,"-")</f>
        <v>1.084247258225324</v>
      </c>
      <c r="E27" s="329" t="str">
        <f>IF(J27&gt;0,"toneladas por hectare ou,","-")</f>
        <v>toneladas por hectare ou,</v>
      </c>
      <c r="F27" s="329"/>
      <c r="G27" s="329"/>
      <c r="H27" s="101" t="s">
        <v>447</v>
      </c>
      <c r="I27" s="101">
        <f>IFERROR((D27*1000*VLOOKUP(B27,$V$56:$W$68,2,0)*$O$34),0)</f>
        <v>0</v>
      </c>
      <c r="J27" s="32">
        <f>V51</f>
        <v>1.084247258225324</v>
      </c>
      <c r="U27" s="142" t="s">
        <v>271</v>
      </c>
      <c r="V27" s="142" t="s">
        <v>282</v>
      </c>
      <c r="W27" s="142" t="s">
        <v>75</v>
      </c>
      <c r="X27" s="142" t="s">
        <v>71</v>
      </c>
      <c r="Y27" s="142" t="s">
        <v>283</v>
      </c>
      <c r="Z27" s="142"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0.1084247258225324</v>
      </c>
      <c r="E28" s="332" t="str">
        <f>IF(J28&gt;0,"gramas por metro quadrado","-")</f>
        <v>gramas por metro quadrado</v>
      </c>
      <c r="F28" s="332"/>
      <c r="G28" s="332"/>
      <c r="H28" s="102" t="s">
        <v>419</v>
      </c>
      <c r="I28" s="102">
        <f>I27/$E$18</f>
        <v>0</v>
      </c>
      <c r="J28" s="32">
        <f>J27/10</f>
        <v>0.1084247258225324</v>
      </c>
      <c r="M28" s="155"/>
      <c r="N28" s="151"/>
      <c r="O28" s="151"/>
      <c r="P28" s="151"/>
      <c r="Q28" s="151"/>
      <c r="R28" s="156"/>
      <c r="U28" s="142" t="s">
        <v>41</v>
      </c>
      <c r="V28" s="142">
        <v>3000</v>
      </c>
      <c r="W28" s="142" t="s">
        <v>68</v>
      </c>
      <c r="X28" s="142" t="str">
        <f>CONCATENATE(U28," - ",W28)</f>
        <v>&lt; 5 - baixo</v>
      </c>
      <c r="Y28" s="142">
        <v>50000</v>
      </c>
      <c r="Z28" s="142">
        <v>40000</v>
      </c>
      <c r="AE28" s="163" t="s">
        <v>63</v>
      </c>
      <c r="AG28" s="142" t="s">
        <v>63</v>
      </c>
      <c r="AI28" s="15" t="s">
        <v>63</v>
      </c>
      <c r="AK28" s="15" t="s">
        <v>63</v>
      </c>
      <c r="AL28" s="142"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157"/>
      <c r="U29" s="142" t="s">
        <v>41</v>
      </c>
      <c r="V29" s="142">
        <v>3000</v>
      </c>
      <c r="W29" s="142" t="s">
        <v>69</v>
      </c>
      <c r="X29" s="142" t="str">
        <f t="shared" ref="X29:X36" si="8">CONCATENATE(U29," - ",W29)</f>
        <v>&lt; 5 - medio</v>
      </c>
      <c r="Y29" s="142">
        <v>30000</v>
      </c>
      <c r="Z29" s="142">
        <v>30000</v>
      </c>
      <c r="AB29" s="312" t="s">
        <v>65</v>
      </c>
      <c r="AC29" s="312"/>
      <c r="AD29" s="12"/>
      <c r="AE29" s="163" t="s">
        <v>271</v>
      </c>
      <c r="AG29" s="142"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f>IF(J30&gt;0,J30,"-")</f>
        <v>5.23117352205327</v>
      </c>
      <c r="E30" s="332" t="str">
        <f>IF(J30&gt;0,"toneladas por hectare ou,","-")</f>
        <v>toneladas por hectare ou,</v>
      </c>
      <c r="F30" s="332"/>
      <c r="G30" s="332"/>
      <c r="H30" s="102" t="s">
        <v>447</v>
      </c>
      <c r="I30" s="102">
        <f>IFERROR((D30*1000*VLOOKUP(B30,$V$87:$W$95,2,0)*$O$34),0)</f>
        <v>0</v>
      </c>
      <c r="J30" s="32">
        <f>Z49</f>
        <v>5.23117352205327</v>
      </c>
      <c r="M30" s="303"/>
      <c r="N30" s="304"/>
      <c r="O30" s="5">
        <v>10</v>
      </c>
      <c r="P30" s="4" t="s">
        <v>179</v>
      </c>
      <c r="Q30" s="5">
        <v>8</v>
      </c>
      <c r="R30" s="157"/>
      <c r="U30" s="142" t="s">
        <v>41</v>
      </c>
      <c r="V30" s="142">
        <v>3000</v>
      </c>
      <c r="W30" s="142" t="s">
        <v>70</v>
      </c>
      <c r="X30" s="142" t="str">
        <f t="shared" si="8"/>
        <v>&lt; 5 - adequado</v>
      </c>
      <c r="Y30" s="142">
        <v>10000</v>
      </c>
      <c r="Z30" s="142">
        <v>20000</v>
      </c>
      <c r="AB30" s="165" t="s">
        <v>33</v>
      </c>
      <c r="AC30" s="4">
        <f>(VLOOKUP($P$39,$U$28:$V$36,2,0)/$E$18)/AD30</f>
        <v>640</v>
      </c>
      <c r="AD30" s="12">
        <f>'Abacate produção (1)'!$AD$30</f>
        <v>1</v>
      </c>
      <c r="AE30" s="163" t="s">
        <v>34</v>
      </c>
      <c r="AG30" s="142"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f>IF(J31&gt;0,J31,"-")</f>
        <v>0.52311735220532696</v>
      </c>
      <c r="E31" s="332" t="str">
        <f>IF(J31&gt;0,"gramas por metro quadrado","-")</f>
        <v>gramas por metro quadrado</v>
      </c>
      <c r="F31" s="332"/>
      <c r="G31" s="332"/>
      <c r="H31" s="102" t="s">
        <v>419</v>
      </c>
      <c r="I31" s="102">
        <f>I30/E18</f>
        <v>0</v>
      </c>
      <c r="J31" s="32">
        <f>J30/10</f>
        <v>0.52311735220532696</v>
      </c>
      <c r="M31" s="303"/>
      <c r="N31" s="304"/>
      <c r="O31" s="318" t="s">
        <v>397</v>
      </c>
      <c r="P31" s="319"/>
      <c r="Q31" s="320"/>
      <c r="R31" s="157"/>
      <c r="U31" s="142" t="s">
        <v>292</v>
      </c>
      <c r="V31" s="142">
        <v>50000</v>
      </c>
      <c r="W31" s="142" t="s">
        <v>68</v>
      </c>
      <c r="X31" s="142" t="str">
        <f t="shared" si="8"/>
        <v>5,1 - 10 - baixo</v>
      </c>
      <c r="Y31" s="142">
        <v>70000</v>
      </c>
      <c r="Z31" s="142">
        <v>60000</v>
      </c>
      <c r="AB31" s="165" t="s">
        <v>66</v>
      </c>
      <c r="AC31" s="165">
        <f>(VLOOKUP(AB36,X28:Z36,2,0)/$E$18)/AD31</f>
        <v>960</v>
      </c>
      <c r="AD31" s="12">
        <f>'Abacate produção (1)'!$AD$31</f>
        <v>1</v>
      </c>
      <c r="AE31" s="163" t="s">
        <v>41</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157"/>
      <c r="U32" s="142" t="s">
        <v>292</v>
      </c>
      <c r="V32" s="142">
        <v>50000</v>
      </c>
      <c r="W32" s="142" t="s">
        <v>69</v>
      </c>
      <c r="X32" s="142" t="str">
        <f t="shared" si="8"/>
        <v>5,1 - 10 - medio</v>
      </c>
      <c r="Y32" s="142">
        <v>50000</v>
      </c>
      <c r="Z32" s="142">
        <v>40000</v>
      </c>
      <c r="AB32" s="165" t="s">
        <v>67</v>
      </c>
      <c r="AC32" s="165">
        <f>(VLOOKUP($AB$39,X28:Z36,3,0)/$E$18)/AD32</f>
        <v>560</v>
      </c>
      <c r="AD32" s="12">
        <f>'Abacate produção (1)'!$AD$32</f>
        <v>1</v>
      </c>
      <c r="AE32" s="163" t="s">
        <v>292</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157"/>
      <c r="U33" s="142" t="s">
        <v>292</v>
      </c>
      <c r="V33" s="142">
        <v>50000</v>
      </c>
      <c r="W33" s="142" t="s">
        <v>70</v>
      </c>
      <c r="X33" s="142" t="str">
        <f t="shared" si="8"/>
        <v>5,1 - 10 - adequado</v>
      </c>
      <c r="Y33" s="142">
        <v>15000</v>
      </c>
      <c r="Z33" s="142">
        <v>30000</v>
      </c>
      <c r="AD33" s="12"/>
      <c r="AE33" s="163" t="s">
        <v>286</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157"/>
      <c r="U34" s="142" t="s">
        <v>286</v>
      </c>
      <c r="V34" s="142">
        <v>80000</v>
      </c>
      <c r="W34" s="142" t="s">
        <v>68</v>
      </c>
      <c r="X34" s="142" t="str">
        <f t="shared" si="8"/>
        <v>10,1 - 20 - baixo</v>
      </c>
      <c r="Y34" s="142">
        <v>120000</v>
      </c>
      <c r="Z34" s="142">
        <v>105000</v>
      </c>
      <c r="AD34" s="12"/>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158"/>
      <c r="N35" s="150"/>
      <c r="O35" s="103">
        <f>IFERROR(IF(ISERR(P35),Q35,IF(ISERR(Q35),P35)),"-")</f>
        <v>125</v>
      </c>
      <c r="P35" s="17">
        <f>10000/($O$30*$Q$30)</f>
        <v>125</v>
      </c>
      <c r="Q35" s="17" t="e">
        <f>10000/((($O$32/2)+($P$32/2))*$Q$32)</f>
        <v>#DIV/0!</v>
      </c>
      <c r="R35" s="159"/>
      <c r="U35" s="142" t="s">
        <v>286</v>
      </c>
      <c r="V35" s="142">
        <v>80000</v>
      </c>
      <c r="W35" s="142" t="s">
        <v>69</v>
      </c>
      <c r="X35" s="142" t="str">
        <f t="shared" si="8"/>
        <v>10,1 - 20 - medio</v>
      </c>
      <c r="Y35" s="142">
        <v>80000</v>
      </c>
      <c r="Z35" s="142">
        <v>70000</v>
      </c>
      <c r="AB35" s="301" t="s">
        <v>72</v>
      </c>
      <c r="AC35" s="301"/>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42" t="s">
        <v>286</v>
      </c>
      <c r="V36" s="142">
        <v>80000</v>
      </c>
      <c r="W36" s="142" t="s">
        <v>70</v>
      </c>
      <c r="X36" s="142" t="str">
        <f t="shared" si="8"/>
        <v>10,1 - 20 - adequado</v>
      </c>
      <c r="Y36" s="142">
        <v>20000</v>
      </c>
      <c r="Z36" s="142">
        <v>50000</v>
      </c>
      <c r="AB36" s="301" t="str">
        <f>CONCATENATE($P$39," - ",$AD$8)</f>
        <v>10,1 - 20 -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155"/>
      <c r="N37" s="151"/>
      <c r="O37" s="151"/>
      <c r="P37" s="151"/>
      <c r="Q37" s="151"/>
      <c r="R37" s="156"/>
      <c r="U37" s="139"/>
      <c r="V37" s="139"/>
      <c r="W37" s="139"/>
      <c r="X37" s="139"/>
      <c r="Y37" s="139"/>
      <c r="Z37" s="139"/>
      <c r="AI37" s="15">
        <v>0.7</v>
      </c>
      <c r="AK37" s="73" t="str">
        <f>'Adubos e corretivos (1)'!E128</f>
        <v>Compostos orgânicos</v>
      </c>
      <c r="AL37" s="105">
        <f>'Adubos e corretivos (1)'!F128</f>
        <v>0.7</v>
      </c>
      <c r="AO37" s="29"/>
      <c r="AP37" s="29"/>
      <c r="AQ37" s="29"/>
      <c r="AR37" s="29"/>
      <c r="AS37" s="28">
        <f>IF(AS24&gt;0,AS24,0)</f>
        <v>8</v>
      </c>
      <c r="AT37" s="28">
        <f>IF(AT24&gt;0,AT24,0)</f>
        <v>4</v>
      </c>
      <c r="AU37" s="28">
        <f>IF(AU24&gt;0,AU24,0)</f>
        <v>8</v>
      </c>
      <c r="AV37" s="28">
        <f>IF(AV24&gt;0,AV24,0)</f>
        <v>40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157"/>
      <c r="U38" s="139"/>
      <c r="V38" s="139"/>
      <c r="W38" s="139"/>
      <c r="X38" s="139"/>
      <c r="Y38" s="139"/>
      <c r="Z38" s="139"/>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142" t="s">
        <v>274</v>
      </c>
      <c r="P39" s="330" t="s">
        <v>286</v>
      </c>
      <c r="Q39" s="330"/>
      <c r="R39" s="157"/>
      <c r="U39" s="139"/>
      <c r="V39" s="139"/>
      <c r="W39" s="139"/>
      <c r="X39" s="139"/>
      <c r="Y39" s="139"/>
      <c r="Z39" s="139"/>
      <c r="AB39" s="301" t="str">
        <f>CONCATENATE($P$39," - ",$AD$22)</f>
        <v>10,1 - 20 - medio</v>
      </c>
      <c r="AC39" s="301"/>
      <c r="AI39" s="15">
        <v>0.9</v>
      </c>
      <c r="AO39" s="7"/>
      <c r="AP39" s="295" t="s">
        <v>235</v>
      </c>
      <c r="AQ39" s="295"/>
      <c r="AR39" s="137" t="s">
        <v>84</v>
      </c>
      <c r="AS39" s="137" t="s">
        <v>87</v>
      </c>
      <c r="AT39" s="137" t="s">
        <v>85</v>
      </c>
      <c r="AU39" s="137" t="s">
        <v>86</v>
      </c>
      <c r="AV39" s="137" t="s">
        <v>200</v>
      </c>
      <c r="AW39" s="137" t="s">
        <v>84</v>
      </c>
      <c r="AX39" s="137" t="s">
        <v>87</v>
      </c>
      <c r="AY39" s="137" t="s">
        <v>85</v>
      </c>
      <c r="AZ39" s="137" t="s">
        <v>86</v>
      </c>
      <c r="BA39" s="7"/>
      <c r="BB39" s="7"/>
    </row>
    <row r="40" spans="2:57" ht="19.5" customHeight="1" x14ac:dyDescent="0.25">
      <c r="J40" s="12"/>
      <c r="K40" s="35"/>
      <c r="M40" s="303"/>
      <c r="N40" s="332"/>
      <c r="O40" s="139"/>
      <c r="P40" s="139"/>
      <c r="Q40" s="139"/>
      <c r="R40" s="157"/>
      <c r="U40" s="139"/>
      <c r="V40" s="139"/>
      <c r="W40" s="139"/>
      <c r="X40" s="139"/>
      <c r="Y40" s="139"/>
      <c r="Z40" s="139"/>
      <c r="AI40" s="15">
        <v>1</v>
      </c>
      <c r="AO40" s="7"/>
      <c r="AP40" s="295" t="str">
        <f>O102</f>
        <v>Ácido Bórico</v>
      </c>
      <c r="AQ40" s="295"/>
      <c r="AR40" s="9">
        <f>IFERROR($AS$37/((VLOOKUP(AP40,$V$100:$AO$179,11,0)*0.01)),0)</f>
        <v>45.714285714285708</v>
      </c>
      <c r="AS40" s="9">
        <f>IFERROR($AT$37/((VLOOKUP(AP40,$V$100:$AO$179,14,0)*0.01)),0)</f>
        <v>0</v>
      </c>
      <c r="AT40" s="9">
        <f>IFERROR($AU$37/((VLOOKUP(AP40,$V$100:$AO$179,12,0)*0.01)),0)</f>
        <v>0</v>
      </c>
      <c r="AU40" s="9">
        <f>IFERROR($AV$37/((VLOOKUP(AP40,$V$100:$AO$179,13,0)*0.01)),0)</f>
        <v>0</v>
      </c>
      <c r="AV40" s="9">
        <f>MAX(AR40:AU40)</f>
        <v>45.714285714285708</v>
      </c>
      <c r="AW40" s="9">
        <f>IFERROR(AV40*(VLOOKUP(AP40,$V$100:$AO$179,11,0)*0.01),0)</f>
        <v>8</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157"/>
      <c r="U41" s="139"/>
      <c r="V41" s="139"/>
      <c r="W41" s="139"/>
      <c r="X41" s="139"/>
      <c r="Y41" s="139"/>
      <c r="Z41" s="139"/>
      <c r="AO41" s="7"/>
      <c r="AP41" s="295" t="str">
        <f>O103</f>
        <v>Sulfato de cobre</v>
      </c>
      <c r="AQ41" s="295"/>
      <c r="AR41" s="9">
        <f>IFERROR($AS$37/((VLOOKUP(AP41,$V$100:$AO$179,11,0)*0.01)),0)</f>
        <v>0</v>
      </c>
      <c r="AS41" s="9">
        <f>IFERROR($AT$37/((VLOOKUP(AP41,$V$100:$AO$179,14,0)*0.01)),0)</f>
        <v>16</v>
      </c>
      <c r="AT41" s="9">
        <f>IFERROR($AU$37/((VLOOKUP(AP41,$V$100:$AO$179,12,0)*0.01)),0)</f>
        <v>0</v>
      </c>
      <c r="AU41" s="9">
        <f>IFERROR($AV$37/((VLOOKUP(AP41,$V$100:$AO$179,13,0)*0.01)),0)</f>
        <v>0</v>
      </c>
      <c r="AV41" s="9">
        <f t="shared" ref="AV41:AV43" si="9">MAX(AR41:AU41)</f>
        <v>16</v>
      </c>
      <c r="AW41" s="9">
        <f>IFERROR(AV41*(VLOOKUP(AP41,$V$100:$AO$179,11,0)*0.01),0)</f>
        <v>0</v>
      </c>
      <c r="AX41" s="9">
        <f>IFERROR(AV41*(VLOOKUP(AP41,$V$100:$AO$179,14,0)*0.01),0)</f>
        <v>4</v>
      </c>
      <c r="AY41" s="9">
        <f>IFERROR(AV41*(VLOOKUP(AP41,$V$100:$AO$179,12,0)*0.01),0)</f>
        <v>0</v>
      </c>
      <c r="AZ41" s="9">
        <f>IFERROR(AV41*(VLOOKUP(AP41,$V$100:$AO$179,13,0)*0.01),0)</f>
        <v>0</v>
      </c>
      <c r="BA41" s="7"/>
      <c r="BB41" s="8"/>
      <c r="BC41" s="139"/>
      <c r="BD41" s="139"/>
      <c r="BE41" s="139"/>
    </row>
    <row r="42" spans="2:57" ht="19.5" customHeight="1" x14ac:dyDescent="0.25">
      <c r="B42" s="328"/>
      <c r="C42" s="328"/>
      <c r="D42" s="328"/>
      <c r="E42" s="328"/>
      <c r="F42" s="328"/>
      <c r="G42" s="328"/>
      <c r="H42" s="328"/>
      <c r="I42" s="328"/>
      <c r="J42" s="12"/>
      <c r="K42" s="35"/>
      <c r="M42" s="303"/>
      <c r="N42" s="332"/>
      <c r="O42" s="333" t="s">
        <v>145</v>
      </c>
      <c r="P42" s="334"/>
      <c r="Q42" s="335"/>
      <c r="R42" s="157"/>
      <c r="U42" s="139"/>
      <c r="V42" s="139"/>
      <c r="W42" s="139"/>
      <c r="X42" s="139"/>
      <c r="Y42" s="139"/>
      <c r="Z42" s="139"/>
      <c r="AO42" s="7"/>
      <c r="AP42" s="295" t="str">
        <f>O104</f>
        <v>Sulfato de manganês</v>
      </c>
      <c r="AQ42" s="295"/>
      <c r="AR42" s="9">
        <f>IFERROR($AS$37/((VLOOKUP(AP42,$V$100:$AO$179,11,0)*0.01)),0)</f>
        <v>0</v>
      </c>
      <c r="AS42" s="9">
        <f>IFERROR($AT$37/((VLOOKUP(AP42,$V$100:$AO$179,14,0)*0.01)),0)</f>
        <v>0</v>
      </c>
      <c r="AT42" s="9">
        <f>IFERROR($AU$37/((VLOOKUP(AP42,$V$100:$AO$179,12,0)*0.01)),0)</f>
        <v>30.769230769230766</v>
      </c>
      <c r="AU42" s="9">
        <f>IFERROR($AV$37/((VLOOKUP(AP42,$V$100:$AO$179,13,0)*0.01)),0)</f>
        <v>0</v>
      </c>
      <c r="AV42" s="9">
        <f t="shared" si="9"/>
        <v>30.769230769230766</v>
      </c>
      <c r="AW42" s="9">
        <f>IFERROR(AV42*(VLOOKUP(AP42,$V$100:$AO$179,11,0)*0.01),0)</f>
        <v>0</v>
      </c>
      <c r="AX42" s="9">
        <f>IFERROR(AV42*(VLOOKUP(AP42,$V$100:$AO$179,14,0)*0.01),0)</f>
        <v>0</v>
      </c>
      <c r="AY42" s="9">
        <f>IFERROR(AV42*(VLOOKUP(AP42,$V$100:$AO$179,12,0)*0.01),0)</f>
        <v>8</v>
      </c>
      <c r="AZ42" s="9">
        <f>IFERROR(AV42*(VLOOKUP(AP42,$V$100:$AO$179,13,0)*0.01),0)</f>
        <v>0</v>
      </c>
      <c r="BA42" s="7"/>
      <c r="BB42" s="7"/>
    </row>
    <row r="43" spans="2:57" ht="19.5" customHeight="1" thickBot="1" x14ac:dyDescent="0.3">
      <c r="J43" s="12"/>
      <c r="K43" s="35"/>
      <c r="M43" s="158"/>
      <c r="N43" s="150"/>
      <c r="O43" s="150"/>
      <c r="P43" s="150"/>
      <c r="Q43" s="150"/>
      <c r="R43" s="159"/>
      <c r="U43" s="139"/>
      <c r="V43" s="139"/>
      <c r="W43" s="139"/>
      <c r="X43" s="139"/>
      <c r="Y43" s="139"/>
      <c r="Z43" s="139"/>
      <c r="AO43" s="7"/>
      <c r="AP43" s="295" t="str">
        <f>O105</f>
        <v>Sulfato de zinco</v>
      </c>
      <c r="AQ43" s="295"/>
      <c r="AR43" s="9">
        <f>IFERROR($AS$37/((VLOOKUP(AP43,$V$100:$AO$179,11,0)*0.01)),0)</f>
        <v>0</v>
      </c>
      <c r="AS43" s="9">
        <f>IFERROR($AT$37/((VLOOKUP(AP43,$V$100:$AO$179,14,0)*0.01)),0)</f>
        <v>0</v>
      </c>
      <c r="AT43" s="9">
        <f>IFERROR($AU$37/((VLOOKUP(AP43,$V$100:$AO$179,12,0)*0.01)),0)</f>
        <v>0</v>
      </c>
      <c r="AU43" s="9">
        <f>IFERROR($AV$37/((VLOOKUP(AP43,$V$100:$AO$179,13,0)*0.01)),0)</f>
        <v>114.28571428571428</v>
      </c>
      <c r="AV43" s="9">
        <f t="shared" si="9"/>
        <v>114.28571428571428</v>
      </c>
      <c r="AW43" s="9">
        <f>IFERROR(AV43*(VLOOKUP(AP43,$V$100:$AO$179,11,0)*0.01),0)</f>
        <v>0</v>
      </c>
      <c r="AX43" s="9">
        <f>IFERROR(AV43*(VLOOKUP(AP43,$V$100:$AO$179,14,0)*0.01),0)</f>
        <v>0</v>
      </c>
      <c r="AY43" s="9">
        <f>IFERROR(AV43*(VLOOKUP(AP43,$V$100:$AO$179,12,0)*0.01),0)</f>
        <v>0</v>
      </c>
      <c r="AZ43" s="9">
        <f>IFERROR(AV43*(VLOOKUP(AP43,$V$100:$AO$179,13,0)*0.01),0)</f>
        <v>40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Esterco de galinha</v>
      </c>
      <c r="C45" s="365"/>
      <c r="D45" s="108">
        <f>IFERROR((D46*$E$18),0)</f>
        <v>500</v>
      </c>
      <c r="E45" s="329" t="str">
        <f>IF(AQ58&gt;0,"quilos para área total","-")</f>
        <v>quilos para área total</v>
      </c>
      <c r="F45" s="329"/>
      <c r="G45" s="329"/>
      <c r="H45" s="101" t="s">
        <v>447</v>
      </c>
      <c r="I45" s="102">
        <f>I46*$E$18*$I$18</f>
        <v>125</v>
      </c>
      <c r="J45" s="33">
        <f>AV7</f>
        <v>5485.7142857142862</v>
      </c>
      <c r="K45" s="35"/>
      <c r="M45" s="155"/>
      <c r="N45" s="151"/>
      <c r="O45" s="337" t="s">
        <v>275</v>
      </c>
      <c r="P45" s="337"/>
      <c r="Q45" s="337"/>
      <c r="R45" s="156"/>
      <c r="U45" s="300" t="s">
        <v>101</v>
      </c>
      <c r="V45" s="299"/>
      <c r="X45" s="301" t="s">
        <v>181</v>
      </c>
      <c r="Y45" s="301"/>
      <c r="Z45" s="301"/>
      <c r="AB45" s="142" t="s">
        <v>399</v>
      </c>
      <c r="AC45" s="142" t="str">
        <f>IF($P$63&lt;=0.5,"Sim","Não")</f>
        <v>Não</v>
      </c>
      <c r="AD45" s="142" t="s">
        <v>171</v>
      </c>
      <c r="AE45" s="142">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f>IF(AQ58&gt;0,AQ58,"-")</f>
        <v>4</v>
      </c>
      <c r="E46" s="332" t="str">
        <f>IF(AQ58&gt;0,"quilos por cova ou planta","-")</f>
        <v>quilos por cova ou planta</v>
      </c>
      <c r="F46" s="332"/>
      <c r="G46" s="332"/>
      <c r="H46" s="102" t="s">
        <v>446</v>
      </c>
      <c r="I46" s="102">
        <f>IFERROR(D46*VLOOKUP(B45,$AK$29:$AL$38,2,0),0)</f>
        <v>1</v>
      </c>
      <c r="J46" s="33">
        <f>AV8</f>
        <v>0</v>
      </c>
      <c r="K46" s="35"/>
      <c r="M46" s="303" t="s">
        <v>189</v>
      </c>
      <c r="N46" s="332"/>
      <c r="O46" s="338"/>
      <c r="P46" s="338"/>
      <c r="Q46" s="338"/>
      <c r="R46" s="157"/>
      <c r="U46" s="142" t="s">
        <v>102</v>
      </c>
      <c r="V46" s="2">
        <f>'Adubos e corretivos (1)'!C125</f>
        <v>60</v>
      </c>
      <c r="X46" s="336" t="s">
        <v>242</v>
      </c>
      <c r="Y46" s="336"/>
      <c r="Z46" s="2">
        <f>IFERROR(VLOOKUP(O50,$V$87:$AE$95,10,0),0)</f>
        <v>9.1197279464721319</v>
      </c>
      <c r="AB46" s="142" t="s">
        <v>400</v>
      </c>
      <c r="AC46" s="142" t="str">
        <f>IF($P$64&gt;=0.5,"Sim","Não")</f>
        <v>Não</v>
      </c>
      <c r="AD46" s="142" t="s">
        <v>170</v>
      </c>
      <c r="AE46" s="142">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2666.666666666667</v>
      </c>
      <c r="K47" s="35"/>
      <c r="M47" s="303"/>
      <c r="N47" s="332"/>
      <c r="O47" s="333" t="s">
        <v>127</v>
      </c>
      <c r="P47" s="335"/>
      <c r="Q47" s="18">
        <v>0.5</v>
      </c>
      <c r="R47" s="157"/>
      <c r="U47" s="142" t="s">
        <v>104</v>
      </c>
      <c r="V47" s="2">
        <f>IFERROR((((V46-P24)*P25)/V49),0)</f>
        <v>2.1684945164506479</v>
      </c>
      <c r="X47" s="336" t="s">
        <v>182</v>
      </c>
      <c r="Y47" s="336"/>
      <c r="Z47" s="2">
        <f>IFERROR((($V$50/$Z$46)*$V$47),0)</f>
        <v>10.46234704410654</v>
      </c>
      <c r="AB47" s="142" t="s">
        <v>401</v>
      </c>
      <c r="AC47" s="142" t="str">
        <f>IF($P$65&gt;=20,"Sim","Não")</f>
        <v>Sim</v>
      </c>
      <c r="AD47" s="142"/>
      <c r="AE47" s="142"/>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157"/>
      <c r="U48" s="142" t="s">
        <v>180</v>
      </c>
      <c r="V48" s="2">
        <f>IF(V47&lt;0,(0),IF(V47&gt;=0,(V47)))</f>
        <v>2.1684945164506479</v>
      </c>
      <c r="X48" s="336" t="s">
        <v>180</v>
      </c>
      <c r="Y48" s="336"/>
      <c r="Z48" s="2">
        <f>IFERROR(IF(Z47&lt;0,(0),IF(Z47&gt;=0,(Z47))),0)</f>
        <v>10.46234704410654</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157"/>
      <c r="U49" s="142" t="s">
        <v>103</v>
      </c>
      <c r="V49" s="2">
        <f>IFERROR(VLOOKUP($O$47,$V$56:$AA$68,5,0),0)</f>
        <v>80.239999999999995</v>
      </c>
      <c r="X49" s="336" t="s">
        <v>247</v>
      </c>
      <c r="Y49" s="336"/>
      <c r="Z49" s="2">
        <f>Z48*$Q$50</f>
        <v>5.23117352205327</v>
      </c>
    </row>
    <row r="50" spans="2:50" ht="19.5" customHeight="1" x14ac:dyDescent="0.25">
      <c r="J50" s="33">
        <f>AV18</f>
        <v>10666.666666666668</v>
      </c>
      <c r="K50" s="35"/>
      <c r="L50" s="139"/>
      <c r="M50" s="303"/>
      <c r="N50" s="332"/>
      <c r="O50" s="333" t="s">
        <v>144</v>
      </c>
      <c r="P50" s="335"/>
      <c r="Q50" s="18">
        <v>0.5</v>
      </c>
      <c r="R50" s="157"/>
      <c r="U50" s="142" t="s">
        <v>174</v>
      </c>
      <c r="V50" s="2">
        <f>IFERROR(VLOOKUP($O$47,$V$56:$AA$68,6,0),0)</f>
        <v>44</v>
      </c>
      <c r="AT50" s="301" t="s">
        <v>254</v>
      </c>
      <c r="AU50" s="301"/>
      <c r="AV50" s="301"/>
    </row>
    <row r="51" spans="2:50" ht="19.5" customHeight="1" thickBot="1" x14ac:dyDescent="0.3">
      <c r="B51" s="327" t="str">
        <f>IF(AQ7&gt;0,AQ7,"-")</f>
        <v>Termofosfato YOORIN</v>
      </c>
      <c r="C51" s="327"/>
      <c r="D51" s="108">
        <f>IFERROR(((D52/1000)*$E$18),0)</f>
        <v>685.71428571428578</v>
      </c>
      <c r="E51" s="332" t="str">
        <f>IF(J45&gt;0,"quilos para área total","-")</f>
        <v>quilos para área total</v>
      </c>
      <c r="F51" s="332"/>
      <c r="G51" s="332"/>
      <c r="H51" s="102" t="s">
        <v>447</v>
      </c>
      <c r="I51" s="102">
        <f>I52*$E$18*$I$18</f>
        <v>1594.2857142857147</v>
      </c>
      <c r="J51" s="33">
        <f>AV19</f>
        <v>0</v>
      </c>
      <c r="K51" s="35"/>
      <c r="L51" s="139"/>
      <c r="M51" s="158"/>
      <c r="N51" s="150"/>
      <c r="O51" s="150"/>
      <c r="P51" s="150"/>
      <c r="Q51" s="150"/>
      <c r="R51" s="159"/>
      <c r="U51" s="142" t="s">
        <v>247</v>
      </c>
      <c r="V51" s="2">
        <f>V48*$Q$47</f>
        <v>1.084247258225324</v>
      </c>
      <c r="AT51" s="138" t="s">
        <v>264</v>
      </c>
      <c r="AU51" s="96" t="str">
        <f>AK29</f>
        <v>Composto de lixo (COL)</v>
      </c>
      <c r="AV51" s="138">
        <v>12</v>
      </c>
    </row>
    <row r="52" spans="2:50" ht="19.5" customHeight="1" x14ac:dyDescent="0.25">
      <c r="B52" s="327"/>
      <c r="C52" s="327"/>
      <c r="D52" s="109">
        <f>IF(J45&gt;0,J45,"-")</f>
        <v>5485.7142857142862</v>
      </c>
      <c r="E52" s="332" t="str">
        <f>IF(J45&gt;0,"gramas por planta","-")</f>
        <v>gramas por planta</v>
      </c>
      <c r="F52" s="332"/>
      <c r="G52" s="332"/>
      <c r="H52" s="102" t="s">
        <v>446</v>
      </c>
      <c r="I52" s="102">
        <f>IFERROR((D52/1000)*VLOOKUP(B51,$V$100:$W$179,2,0),0)</f>
        <v>12.754285714285718</v>
      </c>
      <c r="J52" s="33">
        <f>AV20</f>
        <v>0</v>
      </c>
      <c r="K52" s="35"/>
      <c r="L52" s="139"/>
      <c r="AT52" s="138" t="s">
        <v>264</v>
      </c>
      <c r="AU52" s="96" t="str">
        <f t="shared" ref="AU52:AU59" si="10">AK30</f>
        <v>Cama de frango corte</v>
      </c>
      <c r="AV52" s="138">
        <v>4</v>
      </c>
    </row>
    <row r="53" spans="2:50" ht="19.5" customHeight="1" thickBot="1" x14ac:dyDescent="0.3">
      <c r="J53" s="34"/>
      <c r="K53" s="35"/>
      <c r="L53" s="139"/>
      <c r="AP53" s="139"/>
      <c r="AQ53" s="139"/>
      <c r="AS53" s="139"/>
      <c r="AT53" s="138" t="s">
        <v>264</v>
      </c>
      <c r="AU53" s="96" t="str">
        <f t="shared" si="10"/>
        <v>Esterco de galinha</v>
      </c>
      <c r="AV53" s="138">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155"/>
      <c r="N54" s="151"/>
      <c r="O54" s="151"/>
      <c r="P54" s="151"/>
      <c r="Q54" s="151"/>
      <c r="R54" s="156"/>
      <c r="U54" s="340" t="s">
        <v>124</v>
      </c>
      <c r="V54" s="340" t="s">
        <v>76</v>
      </c>
      <c r="W54" s="340" t="s">
        <v>77</v>
      </c>
      <c r="X54" s="340" t="s">
        <v>78</v>
      </c>
      <c r="Y54" s="340"/>
      <c r="Z54" s="340"/>
      <c r="AA54" s="340"/>
      <c r="AP54" s="341"/>
      <c r="AQ54" s="341"/>
      <c r="AS54" s="341"/>
      <c r="AT54" s="138" t="s">
        <v>264</v>
      </c>
      <c r="AU54" s="96" t="str">
        <f t="shared" si="10"/>
        <v>Esterco Bovino curtido</v>
      </c>
      <c r="AV54" s="138">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157"/>
      <c r="U55" s="340"/>
      <c r="V55" s="340"/>
      <c r="W55" s="340"/>
      <c r="X55" s="146" t="s">
        <v>98</v>
      </c>
      <c r="Y55" s="146" t="s">
        <v>99</v>
      </c>
      <c r="Z55" s="146" t="s">
        <v>100</v>
      </c>
      <c r="AA55" s="146" t="s">
        <v>176</v>
      </c>
      <c r="AP55" s="341"/>
      <c r="AQ55" s="341"/>
      <c r="AS55" s="341"/>
      <c r="AT55" s="138" t="s">
        <v>264</v>
      </c>
      <c r="AU55" s="96" t="str">
        <f t="shared" si="10"/>
        <v>Esterco de equino</v>
      </c>
      <c r="AV55" s="138">
        <v>12</v>
      </c>
    </row>
    <row r="56" spans="2:50" ht="19.5" customHeight="1" x14ac:dyDescent="0.25">
      <c r="J56" s="35"/>
      <c r="K56" s="35"/>
      <c r="M56" s="303"/>
      <c r="N56" s="332"/>
      <c r="O56" s="330" t="s">
        <v>169</v>
      </c>
      <c r="P56" s="330"/>
      <c r="Q56" s="330"/>
      <c r="R56" s="157"/>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39"/>
      <c r="AQ56" s="139"/>
      <c r="AS56" s="139"/>
      <c r="AT56" s="138" t="s">
        <v>264</v>
      </c>
      <c r="AU56" s="96" t="str">
        <f t="shared" si="10"/>
        <v>Esterco de suínos</v>
      </c>
      <c r="AV56" s="138">
        <v>4</v>
      </c>
    </row>
    <row r="57" spans="2:50" ht="19.5" customHeight="1" x14ac:dyDescent="0.25">
      <c r="B57" s="327" t="str">
        <f>IF(AQ12&gt;0,AQ12,"-")</f>
        <v>Kmag</v>
      </c>
      <c r="C57" s="327"/>
      <c r="D57" s="108">
        <f>IFERROR(((D58/1000)*$E$18),0)</f>
        <v>333.33333333333337</v>
      </c>
      <c r="E57" s="354" t="str">
        <f>IF(J47&gt;0,"quilos para área total","-")</f>
        <v>quilos para área total</v>
      </c>
      <c r="F57" s="354"/>
      <c r="G57" s="354"/>
      <c r="H57" s="102" t="s">
        <v>447</v>
      </c>
      <c r="I57" s="102">
        <f>I58*$E$18*$I$18</f>
        <v>966.66666666666674</v>
      </c>
      <c r="J57" s="35"/>
      <c r="K57" s="35"/>
      <c r="M57" s="303"/>
      <c r="N57" s="332"/>
      <c r="R57" s="157"/>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39"/>
      <c r="AQ57" s="330" t="s">
        <v>273</v>
      </c>
      <c r="AR57" s="330"/>
      <c r="AS57" s="139"/>
      <c r="AT57" s="138" t="s">
        <v>264</v>
      </c>
      <c r="AU57" s="96" t="str">
        <f t="shared" si="10"/>
        <v>Esterco de ovinos</v>
      </c>
      <c r="AV57" s="138">
        <v>4</v>
      </c>
    </row>
    <row r="58" spans="2:50" ht="19.5" customHeight="1" x14ac:dyDescent="0.25">
      <c r="B58" s="327"/>
      <c r="C58" s="327"/>
      <c r="D58" s="108">
        <f>IF(J47&gt;0,J47,"-")</f>
        <v>2666.666666666667</v>
      </c>
      <c r="E58" s="332" t="str">
        <f>IF(J47&gt;0,"gramas por planta","-")</f>
        <v>gramas por planta</v>
      </c>
      <c r="F58" s="332"/>
      <c r="G58" s="332"/>
      <c r="H58" s="102" t="s">
        <v>446</v>
      </c>
      <c r="I58" s="102">
        <f>IFERROR((D58/1000)*VLOOKUP(B57,$V$100:$W$179,2,0),0)</f>
        <v>7.7333333333333343</v>
      </c>
      <c r="J58" s="35"/>
      <c r="K58" s="35"/>
      <c r="M58" s="303"/>
      <c r="N58" s="332"/>
      <c r="O58" s="355" t="s">
        <v>398</v>
      </c>
      <c r="P58" s="356"/>
      <c r="Q58" s="357"/>
      <c r="R58" s="157"/>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39"/>
      <c r="AQ58" s="330">
        <f>IFERROR(VLOOKUP($O$42,AU51:AV59,2,0),0)</f>
        <v>4</v>
      </c>
      <c r="AR58" s="330"/>
      <c r="AS58" s="139"/>
      <c r="AT58" s="138" t="s">
        <v>264</v>
      </c>
      <c r="AU58" s="96" t="str">
        <f t="shared" si="10"/>
        <v>Lodo de esgosto</v>
      </c>
      <c r="AV58" s="138">
        <v>4</v>
      </c>
    </row>
    <row r="59" spans="2:50" ht="19.5" customHeight="1" x14ac:dyDescent="0.25">
      <c r="J59" s="35"/>
      <c r="K59" s="35"/>
      <c r="M59" s="303"/>
      <c r="N59" s="332"/>
      <c r="O59" s="358"/>
      <c r="P59" s="359"/>
      <c r="Q59" s="360"/>
      <c r="R59" s="157"/>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39"/>
      <c r="AS59" s="139"/>
      <c r="AT59" s="138" t="s">
        <v>264</v>
      </c>
      <c r="AU59" s="96" t="str">
        <f t="shared" si="10"/>
        <v>Compostos orgânicos</v>
      </c>
      <c r="AV59" s="138">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157"/>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39"/>
      <c r="AQ60" s="139"/>
      <c r="AS60" s="139"/>
      <c r="AT60" s="139"/>
      <c r="AU60" s="139"/>
      <c r="AV60" s="139"/>
      <c r="AW60" s="139"/>
      <c r="AX60" s="139"/>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157"/>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39"/>
      <c r="AQ61" s="139"/>
      <c r="AS61" s="139"/>
      <c r="AT61" s="139"/>
      <c r="AU61" s="139"/>
      <c r="AV61" s="139"/>
      <c r="AW61" s="139"/>
      <c r="AX61" s="139"/>
    </row>
    <row r="62" spans="2:50" ht="19.5" customHeight="1" x14ac:dyDescent="0.25">
      <c r="J62" s="35"/>
      <c r="K62" s="35"/>
      <c r="M62" s="303"/>
      <c r="N62" s="332"/>
      <c r="O62" s="318" t="s">
        <v>407</v>
      </c>
      <c r="P62" s="319"/>
      <c r="Q62" s="320"/>
      <c r="R62" s="157"/>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39"/>
      <c r="AT62" s="139"/>
      <c r="AU62" s="139"/>
      <c r="AV62" s="139"/>
      <c r="AW62" s="139"/>
      <c r="AX62" s="139"/>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42" t="s">
        <v>3</v>
      </c>
      <c r="P63" s="6">
        <v>2</v>
      </c>
      <c r="Q63" s="142" t="s">
        <v>55</v>
      </c>
      <c r="R63" s="157"/>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39"/>
      <c r="AT63" s="139"/>
      <c r="AU63" s="139"/>
      <c r="AV63" s="139"/>
      <c r="AW63" s="139"/>
      <c r="AX63" s="139"/>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42" t="s">
        <v>7</v>
      </c>
      <c r="P64" s="6">
        <v>0.4</v>
      </c>
      <c r="Q64" s="142" t="s">
        <v>55</v>
      </c>
      <c r="R64" s="157"/>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39"/>
      <c r="AT64" s="139"/>
      <c r="AU64" s="139"/>
      <c r="AV64" s="139"/>
      <c r="AW64" s="139"/>
      <c r="AX64" s="139"/>
    </row>
    <row r="65" spans="2:50" ht="19.5" customHeight="1" x14ac:dyDescent="0.25">
      <c r="H65" s="102"/>
      <c r="I65" s="21"/>
      <c r="J65" s="35"/>
      <c r="K65" s="35"/>
      <c r="M65" s="303"/>
      <c r="N65" s="332"/>
      <c r="O65" s="142" t="s">
        <v>402</v>
      </c>
      <c r="P65" s="5">
        <v>25</v>
      </c>
      <c r="Q65" s="142" t="s">
        <v>23</v>
      </c>
      <c r="R65" s="157"/>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39"/>
      <c r="AT65" s="139"/>
      <c r="AU65" s="139"/>
      <c r="AV65" s="139"/>
      <c r="AW65" s="139"/>
      <c r="AX65" s="139"/>
    </row>
    <row r="66" spans="2:50" ht="19.5" customHeight="1" thickBot="1" x14ac:dyDescent="0.3">
      <c r="B66" s="327" t="str">
        <f>IF(AQ18&gt;0,AQ18,"-")</f>
        <v>Torta de mamona Hortibraz</v>
      </c>
      <c r="C66" s="327"/>
      <c r="D66" s="108">
        <f>IFERROR(((D67/1000)*$E$18),0)</f>
        <v>1333.3333333333335</v>
      </c>
      <c r="E66" s="354" t="str">
        <f>IF(J50&gt;0,"quilos para área total","-")</f>
        <v>quilos para área total</v>
      </c>
      <c r="F66" s="354"/>
      <c r="G66" s="354"/>
      <c r="H66" s="102" t="s">
        <v>447</v>
      </c>
      <c r="I66" s="102">
        <f>I67*$E$18*$I$18</f>
        <v>2026.6666666666667</v>
      </c>
      <c r="M66" s="158"/>
      <c r="N66" s="150"/>
      <c r="O66" s="150"/>
      <c r="P66" s="150"/>
      <c r="Q66" s="150"/>
      <c r="R66" s="159"/>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39"/>
      <c r="AT66" s="139"/>
      <c r="AU66" s="139"/>
      <c r="AV66" s="139"/>
      <c r="AW66" s="139"/>
      <c r="AX66" s="139"/>
    </row>
    <row r="67" spans="2:50" ht="19.5" customHeight="1" thickBot="1" x14ac:dyDescent="0.3">
      <c r="B67" s="327"/>
      <c r="C67" s="327"/>
      <c r="D67" s="108">
        <f>IF(J50&gt;0,J50,"-")</f>
        <v>10666.666666666668</v>
      </c>
      <c r="E67" s="332" t="str">
        <f>IF(J50&gt;0,"gramas por planta","-")</f>
        <v>gramas por planta</v>
      </c>
      <c r="F67" s="332"/>
      <c r="G67" s="332"/>
      <c r="H67" s="102" t="s">
        <v>446</v>
      </c>
      <c r="I67" s="102">
        <f>IFERROR((D67/1000)*VLOOKUP(B66,$V$100:$W$179,2,0),0)</f>
        <v>16.213333333333335</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39"/>
      <c r="AT67" s="139"/>
      <c r="AU67" s="139"/>
      <c r="AV67" s="139"/>
      <c r="AW67" s="139"/>
      <c r="AX67" s="139"/>
    </row>
    <row r="68" spans="2:50" ht="19.5" customHeight="1" x14ac:dyDescent="0.25">
      <c r="H68" s="102"/>
      <c r="I68" s="21"/>
      <c r="M68" s="155"/>
      <c r="N68" s="151"/>
      <c r="O68" s="151"/>
      <c r="P68" s="151"/>
      <c r="Q68" s="151"/>
      <c r="R68" s="156"/>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39"/>
      <c r="AT68" s="139"/>
      <c r="AU68" s="139"/>
      <c r="AV68" s="139"/>
      <c r="AW68" s="139"/>
      <c r="AX68" s="139"/>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157"/>
      <c r="AS69" s="139"/>
      <c r="AT69" s="139"/>
      <c r="AU69" s="139"/>
      <c r="AV69" s="139"/>
      <c r="AW69" s="139"/>
      <c r="AX69" s="139"/>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157"/>
      <c r="AS70" s="139"/>
      <c r="AT70" s="139"/>
      <c r="AU70" s="139"/>
      <c r="AV70" s="139"/>
      <c r="AW70" s="139"/>
      <c r="AX70" s="139"/>
    </row>
    <row r="71" spans="2:50" ht="19.5" customHeight="1" x14ac:dyDescent="0.25">
      <c r="M71" s="303"/>
      <c r="N71" s="332"/>
      <c r="O71" s="330"/>
      <c r="P71" s="330"/>
      <c r="Q71" s="18"/>
      <c r="R71" s="157"/>
      <c r="U71" s="349" t="s">
        <v>124</v>
      </c>
      <c r="V71" s="349" t="s">
        <v>76</v>
      </c>
      <c r="W71" s="349" t="s">
        <v>77</v>
      </c>
      <c r="X71" s="349" t="s">
        <v>257</v>
      </c>
      <c r="Y71" s="349"/>
      <c r="Z71" s="349"/>
      <c r="AS71" s="139"/>
      <c r="AT71" s="139"/>
      <c r="AU71" s="139"/>
      <c r="AV71" s="139"/>
      <c r="AW71" s="139"/>
      <c r="AX71" s="139"/>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157"/>
      <c r="U72" s="349"/>
      <c r="V72" s="349"/>
      <c r="W72" s="349"/>
      <c r="X72" s="147" t="s">
        <v>81</v>
      </c>
      <c r="Y72" s="147" t="s">
        <v>82</v>
      </c>
      <c r="Z72" s="147" t="s">
        <v>83</v>
      </c>
      <c r="AS72" s="139"/>
      <c r="AT72" s="139"/>
      <c r="AU72" s="139"/>
      <c r="AV72" s="139"/>
      <c r="AW72" s="139"/>
      <c r="AX72" s="139"/>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157"/>
      <c r="U73" s="361" t="s">
        <v>138</v>
      </c>
      <c r="V73" s="20" t="str">
        <f>'Adubos e corretivos (1)'!C104</f>
        <v>Gesso Nutrion</v>
      </c>
      <c r="W73" s="20">
        <f>'Adubos e corretivos (1)'!D104</f>
        <v>0</v>
      </c>
      <c r="X73" s="20">
        <f>'Adubos e corretivos (1)'!E104</f>
        <v>15</v>
      </c>
      <c r="Y73" s="20">
        <f>'Adubos e corretivos (1)'!F104</f>
        <v>0</v>
      </c>
      <c r="Z73" s="20">
        <f>'Adubos e corretivos (1)'!G104</f>
        <v>20</v>
      </c>
      <c r="AS73" s="139"/>
      <c r="AT73" s="139"/>
      <c r="AU73" s="139"/>
      <c r="AV73" s="139"/>
      <c r="AW73" s="139"/>
      <c r="AX73" s="139"/>
    </row>
    <row r="74" spans="2:50" ht="19.5" customHeight="1" x14ac:dyDescent="0.25">
      <c r="M74" s="303"/>
      <c r="N74" s="332"/>
      <c r="O74" s="139"/>
      <c r="P74" s="139"/>
      <c r="Q74" s="139"/>
      <c r="R74" s="157"/>
      <c r="U74" s="361"/>
      <c r="V74" s="20" t="str">
        <f>'Adubos e corretivos (1)'!C105</f>
        <v>Gesso Votorantim</v>
      </c>
      <c r="W74" s="20">
        <f>'Adubos e corretivos (1)'!D105</f>
        <v>0</v>
      </c>
      <c r="X74" s="20">
        <f>'Adubos e corretivos (1)'!E105</f>
        <v>16</v>
      </c>
      <c r="Y74" s="20">
        <f>'Adubos e corretivos (1)'!F105</f>
        <v>0</v>
      </c>
      <c r="Z74" s="20">
        <f>'Adubos e corretivos (1)'!G105</f>
        <v>20</v>
      </c>
      <c r="AS74" s="139"/>
      <c r="AT74" s="139"/>
      <c r="AU74" s="139"/>
      <c r="AV74" s="139"/>
      <c r="AW74" s="139"/>
      <c r="AX74" s="139"/>
    </row>
    <row r="75" spans="2:50" ht="19.5" customHeight="1" x14ac:dyDescent="0.25">
      <c r="B75" s="328" t="s">
        <v>405</v>
      </c>
      <c r="C75" s="328"/>
      <c r="D75" s="328"/>
      <c r="E75" s="328"/>
      <c r="F75" s="328"/>
      <c r="G75" s="328"/>
      <c r="H75" s="328"/>
      <c r="I75" s="328"/>
      <c r="M75" s="303"/>
      <c r="N75" s="332"/>
      <c r="O75" s="332" t="s">
        <v>238</v>
      </c>
      <c r="P75" s="332"/>
      <c r="Q75" s="332"/>
      <c r="R75" s="157"/>
      <c r="U75" s="361"/>
      <c r="V75" s="20" t="str">
        <f>'Adubos e corretivos (1)'!C106</f>
        <v>Gesso Agronelli</v>
      </c>
      <c r="W75" s="20">
        <f>'Adubos e corretivos (1)'!D106</f>
        <v>0.76</v>
      </c>
      <c r="X75" s="20">
        <f>'Adubos e corretivos (1)'!E106</f>
        <v>14</v>
      </c>
      <c r="Y75" s="20">
        <f>'Adubos e corretivos (1)'!F106</f>
        <v>0</v>
      </c>
      <c r="Z75" s="20">
        <f>'Adubos e corretivos (1)'!G106</f>
        <v>17</v>
      </c>
      <c r="AS75" s="139"/>
      <c r="AT75" s="139"/>
      <c r="AU75" s="139"/>
      <c r="AV75" s="139"/>
      <c r="AW75" s="139"/>
      <c r="AX75" s="139"/>
    </row>
    <row r="76" spans="2:50" ht="19.5" customHeight="1" x14ac:dyDescent="0.25">
      <c r="B76" s="328"/>
      <c r="C76" s="328"/>
      <c r="D76" s="328"/>
      <c r="E76" s="328"/>
      <c r="F76" s="328"/>
      <c r="G76" s="328"/>
      <c r="H76" s="328"/>
      <c r="I76" s="328"/>
      <c r="M76" s="303"/>
      <c r="N76" s="332"/>
      <c r="O76" s="139"/>
      <c r="P76" s="139"/>
      <c r="Q76" s="139"/>
      <c r="R76" s="157"/>
      <c r="U76" s="361"/>
      <c r="V76" s="20" t="str">
        <f>'Adubos e corretivos (1)'!C107</f>
        <v>Siligesso Agronelli</v>
      </c>
      <c r="W76" s="20">
        <f>'Adubos e corretivos (1)'!D107</f>
        <v>0</v>
      </c>
      <c r="X76" s="20">
        <f>'Adubos e corretivos (1)'!E107</f>
        <v>9.9</v>
      </c>
      <c r="Y76" s="20">
        <f>'Adubos e corretivos (1)'!F107</f>
        <v>0</v>
      </c>
      <c r="Z76" s="20">
        <f>'Adubos e corretivos (1)'!G107</f>
        <v>20.3</v>
      </c>
      <c r="AS76" s="139"/>
      <c r="AT76" s="139"/>
      <c r="AU76" s="139"/>
      <c r="AV76" s="139"/>
      <c r="AW76" s="139"/>
      <c r="AX76" s="139"/>
    </row>
    <row r="77" spans="2:50" ht="19.5" customHeight="1" x14ac:dyDescent="0.25">
      <c r="B77" s="328"/>
      <c r="C77" s="328"/>
      <c r="D77" s="328"/>
      <c r="E77" s="328"/>
      <c r="F77" s="328"/>
      <c r="G77" s="328"/>
      <c r="H77" s="328"/>
      <c r="I77" s="328"/>
      <c r="M77" s="303"/>
      <c r="N77" s="332"/>
      <c r="O77" s="351" t="s">
        <v>227</v>
      </c>
      <c r="P77" s="352"/>
      <c r="Q77" s="353"/>
      <c r="R77" s="157"/>
      <c r="U77" s="361"/>
      <c r="V77" s="20" t="str">
        <f>'Adubos e corretivos (1)'!C108</f>
        <v>Nutrigesso Nutrion</v>
      </c>
      <c r="W77" s="20">
        <f>'Adubos e corretivos (1)'!D108</f>
        <v>0</v>
      </c>
      <c r="X77" s="20">
        <f>'Adubos e corretivos (1)'!E108</f>
        <v>13</v>
      </c>
      <c r="Y77" s="20">
        <f>'Adubos e corretivos (1)'!F108</f>
        <v>0</v>
      </c>
      <c r="Z77" s="20">
        <f>'Adubos e corretivos (1)'!G108</f>
        <v>16</v>
      </c>
      <c r="AS77" s="139"/>
      <c r="AT77" s="139"/>
      <c r="AU77" s="139"/>
      <c r="AV77" s="139"/>
      <c r="AW77" s="139"/>
      <c r="AX77" s="139"/>
    </row>
    <row r="78" spans="2:50" ht="19.5" customHeight="1" x14ac:dyDescent="0.25">
      <c r="B78" s="328"/>
      <c r="C78" s="328"/>
      <c r="D78" s="328"/>
      <c r="E78" s="328"/>
      <c r="F78" s="328"/>
      <c r="G78" s="328"/>
      <c r="H78" s="328"/>
      <c r="I78" s="328"/>
      <c r="M78" s="303"/>
      <c r="N78" s="332"/>
      <c r="O78" s="351" t="s">
        <v>225</v>
      </c>
      <c r="P78" s="352"/>
      <c r="Q78" s="353"/>
      <c r="R78" s="157"/>
      <c r="U78" s="361"/>
      <c r="V78" s="20">
        <f>'Adubos e corretivos (1)'!C109</f>
        <v>0</v>
      </c>
      <c r="W78" s="20">
        <f>'Adubos e corretivos (1)'!D109</f>
        <v>0</v>
      </c>
      <c r="X78" s="20">
        <f>'Adubos e corretivos (1)'!E109</f>
        <v>0</v>
      </c>
      <c r="Y78" s="20">
        <f>'Adubos e corretivos (1)'!F109</f>
        <v>0</v>
      </c>
      <c r="Z78" s="20">
        <f>'Adubos e corretivos (1)'!G109</f>
        <v>0</v>
      </c>
      <c r="AS78" s="139"/>
      <c r="AT78" s="139"/>
      <c r="AU78" s="139"/>
      <c r="AV78" s="139"/>
      <c r="AW78" s="139"/>
      <c r="AX78" s="139"/>
    </row>
    <row r="79" spans="2:50" ht="19.5" customHeight="1" thickBot="1" x14ac:dyDescent="0.3">
      <c r="M79" s="303"/>
      <c r="N79" s="332"/>
      <c r="O79" s="330" t="s">
        <v>148</v>
      </c>
      <c r="P79" s="330"/>
      <c r="Q79" s="18">
        <v>1</v>
      </c>
      <c r="R79" s="157"/>
      <c r="U79" s="361"/>
      <c r="V79" s="20">
        <f>'Adubos e corretivos (1)'!C110</f>
        <v>0</v>
      </c>
      <c r="W79" s="20">
        <f>'Adubos e corretivos (1)'!D110</f>
        <v>0</v>
      </c>
      <c r="X79" s="20">
        <f>'Adubos e corretivos (1)'!E110</f>
        <v>0</v>
      </c>
      <c r="Y79" s="20">
        <f>'Adubos e corretivos (1)'!F110</f>
        <v>0</v>
      </c>
      <c r="Z79" s="20">
        <f>'Adubos e corretivos (1)'!G110</f>
        <v>0</v>
      </c>
      <c r="AS79" s="139"/>
      <c r="AT79" s="139"/>
      <c r="AU79" s="139"/>
      <c r="AV79" s="139"/>
      <c r="AW79" s="139"/>
      <c r="AX79" s="139"/>
    </row>
    <row r="80" spans="2:50" ht="19.5" customHeight="1" thickBot="1" x14ac:dyDescent="0.3">
      <c r="B80" s="321" t="s">
        <v>230</v>
      </c>
      <c r="C80" s="322"/>
      <c r="D80" s="322"/>
      <c r="E80" s="322"/>
      <c r="F80" s="322"/>
      <c r="G80" s="322"/>
      <c r="H80" s="322"/>
      <c r="I80" s="323"/>
      <c r="M80" s="303"/>
      <c r="N80" s="332"/>
      <c r="O80" s="330"/>
      <c r="P80" s="330"/>
      <c r="Q80" s="18"/>
      <c r="R80" s="157"/>
      <c r="U80" s="361"/>
      <c r="V80" s="20">
        <f>'Adubos e corretivos (1)'!C111</f>
        <v>0</v>
      </c>
      <c r="W80" s="20">
        <f>'Adubos e corretivos (1)'!D111</f>
        <v>0</v>
      </c>
      <c r="X80" s="20">
        <f>'Adubos e corretivos (1)'!E111</f>
        <v>0</v>
      </c>
      <c r="Y80" s="20">
        <f>'Adubos e corretivos (1)'!F111</f>
        <v>0</v>
      </c>
      <c r="Z80" s="20">
        <f>'Adubos e corretivos (1)'!G111</f>
        <v>0</v>
      </c>
      <c r="AS80" s="139"/>
      <c r="AT80" s="139"/>
      <c r="AU80" s="139"/>
      <c r="AV80" s="139"/>
      <c r="AW80" s="139"/>
      <c r="AX80" s="139"/>
    </row>
    <row r="81" spans="2:50" ht="19.5" customHeight="1" x14ac:dyDescent="0.25">
      <c r="M81" s="303"/>
      <c r="N81" s="332"/>
      <c r="O81" s="330"/>
      <c r="P81" s="330"/>
      <c r="Q81" s="18"/>
      <c r="R81" s="157"/>
      <c r="U81" s="361"/>
      <c r="V81" s="20">
        <f>'Adubos e corretivos (1)'!C112</f>
        <v>0</v>
      </c>
      <c r="W81" s="20">
        <f>'Adubos e corretivos (1)'!D112</f>
        <v>0</v>
      </c>
      <c r="X81" s="20">
        <f>'Adubos e corretivos (1)'!E112</f>
        <v>0</v>
      </c>
      <c r="Y81" s="20">
        <f>'Adubos e corretivos (1)'!F112</f>
        <v>0</v>
      </c>
      <c r="Z81" s="20">
        <f>'Adubos e corretivos (1)'!G112</f>
        <v>0</v>
      </c>
      <c r="AS81" s="139"/>
      <c r="AT81" s="139"/>
      <c r="AU81" s="139"/>
      <c r="AV81" s="139"/>
      <c r="AW81" s="139"/>
      <c r="AX81" s="139"/>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139"/>
      <c r="P82" s="139"/>
      <c r="Q82" s="139"/>
      <c r="R82" s="157"/>
      <c r="U82" s="361"/>
      <c r="V82" s="20">
        <f>'Adubos e corretivos (1)'!C113</f>
        <v>0</v>
      </c>
      <c r="W82" s="20">
        <f>'Adubos e corretivos (1)'!D113</f>
        <v>0</v>
      </c>
      <c r="X82" s="20">
        <f>'Adubos e corretivos (1)'!E113</f>
        <v>0</v>
      </c>
      <c r="Y82" s="20">
        <f>'Adubos e corretivos (1)'!F113</f>
        <v>0</v>
      </c>
      <c r="Z82" s="20">
        <f>'Adubos e corretivos (1)'!G113</f>
        <v>0</v>
      </c>
      <c r="AS82" s="139"/>
      <c r="AT82" s="139"/>
      <c r="AU82" s="139"/>
      <c r="AV82" s="139"/>
      <c r="AW82" s="139"/>
      <c r="AX82" s="139"/>
    </row>
    <row r="83" spans="2:50" ht="19.5" customHeight="1" x14ac:dyDescent="0.25">
      <c r="B83" s="327"/>
      <c r="C83" s="327"/>
      <c r="D83" s="108">
        <f>IF(AV40&gt;0,AV40,"-")</f>
        <v>45.714285714285708</v>
      </c>
      <c r="E83" s="332" t="str">
        <f>IF(AV40&gt;0,"gramas por planta","-")</f>
        <v>gramas por planta</v>
      </c>
      <c r="F83" s="332"/>
      <c r="G83" s="332"/>
      <c r="H83" s="102" t="s">
        <v>446</v>
      </c>
      <c r="I83" s="102">
        <f>IFERROR((D83/1000)*VLOOKUP(B82,$V$100:$W$179,2,0),0)</f>
        <v>0.25234285714285709</v>
      </c>
      <c r="M83" s="303"/>
      <c r="N83" s="332"/>
      <c r="O83" s="332" t="s">
        <v>238</v>
      </c>
      <c r="P83" s="332"/>
      <c r="Q83" s="332"/>
      <c r="R83" s="157"/>
      <c r="AS83" s="139"/>
      <c r="AT83" s="139"/>
      <c r="AU83" s="139"/>
      <c r="AV83" s="139"/>
      <c r="AW83" s="139"/>
      <c r="AX83" s="139"/>
    </row>
    <row r="84" spans="2:50" ht="19.5" customHeight="1" x14ac:dyDescent="0.25">
      <c r="M84" s="303"/>
      <c r="N84" s="332"/>
      <c r="O84" s="139"/>
      <c r="P84" s="139"/>
      <c r="Q84" s="139"/>
      <c r="R84" s="157"/>
      <c r="AS84" s="139"/>
      <c r="AT84" s="139"/>
      <c r="AU84" s="139"/>
      <c r="AV84" s="139"/>
      <c r="AW84" s="139"/>
      <c r="AX84" s="139"/>
    </row>
    <row r="85" spans="2:50" ht="19.5" customHeight="1" x14ac:dyDescent="0.25">
      <c r="B85" s="327" t="str">
        <f>IF(AP41&gt;0,AP41,"-")</f>
        <v>Sulfato de cobre</v>
      </c>
      <c r="C85" s="327"/>
      <c r="D85" s="108">
        <f>IFERROR(((D86/1000)*$E$18),0)</f>
        <v>2</v>
      </c>
      <c r="E85" s="354" t="str">
        <f>IF(AV41&gt;0,"quilos para área total","-")</f>
        <v>quilos para área total</v>
      </c>
      <c r="F85" s="354"/>
      <c r="G85" s="354"/>
      <c r="H85" s="102" t="s">
        <v>447</v>
      </c>
      <c r="I85" s="102">
        <f>I86*$E$18*$I$18</f>
        <v>22.08</v>
      </c>
      <c r="M85" s="303"/>
      <c r="N85" s="332"/>
      <c r="O85" s="351" t="s">
        <v>228</v>
      </c>
      <c r="P85" s="352"/>
      <c r="Q85" s="353"/>
      <c r="R85" s="157"/>
      <c r="U85" s="350" t="s">
        <v>124</v>
      </c>
      <c r="V85" s="350" t="s">
        <v>76</v>
      </c>
      <c r="W85" s="350" t="s">
        <v>77</v>
      </c>
      <c r="X85" s="350" t="s">
        <v>78</v>
      </c>
      <c r="Y85" s="350"/>
      <c r="Z85" s="350"/>
      <c r="AA85" s="350"/>
      <c r="AB85" s="350"/>
      <c r="AC85" s="350"/>
      <c r="AD85" s="350"/>
      <c r="AE85" s="350"/>
      <c r="AS85" s="139"/>
      <c r="AT85" s="139"/>
      <c r="AU85" s="139"/>
      <c r="AV85" s="139"/>
      <c r="AW85" s="139"/>
      <c r="AX85" s="139"/>
    </row>
    <row r="86" spans="2:50" ht="19.5" customHeight="1" x14ac:dyDescent="0.25">
      <c r="B86" s="327"/>
      <c r="C86" s="327"/>
      <c r="D86" s="108">
        <f>IF(AV41&gt;0,AV41,"-")</f>
        <v>16</v>
      </c>
      <c r="E86" s="332" t="str">
        <f>IF(AV41&gt;0,"gramas por planta","-")</f>
        <v>gramas por planta</v>
      </c>
      <c r="F86" s="332"/>
      <c r="G86" s="332"/>
      <c r="H86" s="102" t="s">
        <v>446</v>
      </c>
      <c r="I86" s="102">
        <f>IFERROR(((D86/1000)*VLOOKUP(B85,$V$100:$W$179,2,0)),0)</f>
        <v>0.17663999999999999</v>
      </c>
      <c r="M86" s="303"/>
      <c r="N86" s="332"/>
      <c r="O86" s="351" t="s">
        <v>225</v>
      </c>
      <c r="P86" s="352"/>
      <c r="Q86" s="353"/>
      <c r="R86" s="157"/>
      <c r="U86" s="350"/>
      <c r="V86" s="350"/>
      <c r="W86" s="350"/>
      <c r="X86" s="145" t="s">
        <v>106</v>
      </c>
      <c r="Y86" s="145" t="s">
        <v>79</v>
      </c>
      <c r="Z86" s="145" t="s">
        <v>66</v>
      </c>
      <c r="AA86" s="145" t="s">
        <v>80</v>
      </c>
      <c r="AB86" s="145" t="s">
        <v>67</v>
      </c>
      <c r="AC86" s="145" t="s">
        <v>172</v>
      </c>
      <c r="AD86" s="145" t="s">
        <v>173</v>
      </c>
      <c r="AE86" s="145" t="s">
        <v>183</v>
      </c>
      <c r="AS86" s="139"/>
      <c r="AT86" s="139"/>
      <c r="AU86" s="139"/>
      <c r="AV86" s="139"/>
      <c r="AW86" s="139"/>
      <c r="AX86" s="139"/>
    </row>
    <row r="87" spans="2:50" ht="19.5" customHeight="1" x14ac:dyDescent="0.25">
      <c r="J87" s="97"/>
      <c r="M87" s="303"/>
      <c r="N87" s="332"/>
      <c r="O87" s="330" t="s">
        <v>441</v>
      </c>
      <c r="P87" s="330"/>
      <c r="Q87" s="18">
        <v>1</v>
      </c>
      <c r="R87" s="157"/>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39"/>
      <c r="AT87" s="139"/>
      <c r="AU87" s="139"/>
      <c r="AV87" s="139"/>
      <c r="AW87" s="139"/>
      <c r="AX87" s="139"/>
    </row>
    <row r="88" spans="2:50" ht="19.5" customHeight="1" x14ac:dyDescent="0.25">
      <c r="B88" s="327" t="str">
        <f>IF(AP42&gt;0,AP42,"-")</f>
        <v>Sulfato de manganês</v>
      </c>
      <c r="C88" s="327"/>
      <c r="D88" s="108">
        <f>IFERROR(((D89/1000)*$E$18),0)</f>
        <v>3.8461538461538458</v>
      </c>
      <c r="E88" s="354" t="str">
        <f>IF(AV42&gt;0,"quilos para área total","-")</f>
        <v>quilos para área total</v>
      </c>
      <c r="F88" s="354"/>
      <c r="G88" s="354"/>
      <c r="H88" s="102" t="s">
        <v>447</v>
      </c>
      <c r="I88" s="102">
        <f>I89*$E$18*$I$18</f>
        <v>25.846153846153847</v>
      </c>
      <c r="J88" s="97"/>
      <c r="M88" s="303"/>
      <c r="N88" s="332"/>
      <c r="O88" s="330"/>
      <c r="P88" s="330"/>
      <c r="Q88" s="18"/>
      <c r="R88" s="157"/>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39"/>
      <c r="AT88" s="139"/>
      <c r="AU88" s="139"/>
      <c r="AV88" s="139"/>
      <c r="AW88" s="139"/>
      <c r="AX88" s="139"/>
    </row>
    <row r="89" spans="2:50" ht="19.5" customHeight="1" x14ac:dyDescent="0.25">
      <c r="B89" s="327"/>
      <c r="C89" s="327"/>
      <c r="D89" s="108">
        <f>IF(AV42&gt;0,AV42,"-")</f>
        <v>30.769230769230766</v>
      </c>
      <c r="E89" s="332" t="str">
        <f>IF(AV42&gt;0,"gramas por planta","-")</f>
        <v>gramas por planta</v>
      </c>
      <c r="F89" s="332"/>
      <c r="G89" s="332"/>
      <c r="H89" s="102" t="s">
        <v>446</v>
      </c>
      <c r="I89" s="102">
        <f>IFERROR((D89/1000)*VLOOKUP(B88,$V$100:$W$179,2,0),0)</f>
        <v>0.20676923076923076</v>
      </c>
      <c r="J89" s="97"/>
      <c r="M89" s="303"/>
      <c r="N89" s="332"/>
      <c r="O89" s="330"/>
      <c r="P89" s="330"/>
      <c r="Q89" s="18"/>
      <c r="R89" s="157"/>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39"/>
      <c r="AT89" s="139"/>
      <c r="AU89" s="139"/>
      <c r="AV89" s="139"/>
      <c r="AW89" s="139"/>
      <c r="AX89" s="139"/>
    </row>
    <row r="90" spans="2:50" ht="19.5" customHeight="1" x14ac:dyDescent="0.25">
      <c r="M90" s="140"/>
      <c r="N90" s="139"/>
      <c r="O90" s="139"/>
      <c r="P90" s="139"/>
      <c r="Q90" s="139"/>
      <c r="R90" s="157"/>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39"/>
      <c r="AT90" s="139"/>
      <c r="AU90" s="139"/>
      <c r="AV90" s="139"/>
      <c r="AW90" s="139"/>
      <c r="AX90" s="139"/>
    </row>
    <row r="91" spans="2:50" ht="19.5" customHeight="1" x14ac:dyDescent="0.25">
      <c r="B91" s="327" t="str">
        <f>IF(AP43&gt;0,AP43,"-")</f>
        <v>Sulfato de zinco</v>
      </c>
      <c r="C91" s="327"/>
      <c r="D91" s="108">
        <f>IFERROR(((D92/1000)*$E$18),0)</f>
        <v>14.285714285714285</v>
      </c>
      <c r="E91" s="354" t="str">
        <f>IF(AV43&gt;0,"quilos para área total","-")</f>
        <v>quilos para área total</v>
      </c>
      <c r="F91" s="354"/>
      <c r="G91" s="354"/>
      <c r="H91" s="102" t="s">
        <v>447</v>
      </c>
      <c r="I91" s="102">
        <f>I92*$E$18*$I$18</f>
        <v>88</v>
      </c>
      <c r="M91" s="140"/>
      <c r="N91" s="139"/>
      <c r="O91" s="332" t="s">
        <v>238</v>
      </c>
      <c r="P91" s="332"/>
      <c r="Q91" s="332"/>
      <c r="R91" s="157"/>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39"/>
      <c r="AT91" s="139"/>
      <c r="AU91" s="139"/>
      <c r="AV91" s="139"/>
      <c r="AW91" s="139"/>
      <c r="AX91" s="139"/>
    </row>
    <row r="92" spans="2:50" ht="19.5" customHeight="1" thickBot="1" x14ac:dyDescent="0.3">
      <c r="B92" s="327"/>
      <c r="C92" s="327"/>
      <c r="D92" s="108">
        <f>IF(AV43&gt;0,AV43,"-")</f>
        <v>114.28571428571428</v>
      </c>
      <c r="E92" s="332" t="str">
        <f>IF(AV43&gt;0,"gramas por planta","-")</f>
        <v>gramas por planta</v>
      </c>
      <c r="F92" s="332"/>
      <c r="G92" s="332"/>
      <c r="H92" s="102" t="s">
        <v>446</v>
      </c>
      <c r="I92" s="102">
        <f>IFERROR((D92/1000)*VLOOKUP(B91,$V$100:$W$179,2,0),0)</f>
        <v>0.70399999999999996</v>
      </c>
      <c r="M92" s="158"/>
      <c r="N92" s="150"/>
      <c r="O92" s="150"/>
      <c r="P92" s="150"/>
      <c r="Q92" s="150"/>
      <c r="R92" s="159"/>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39"/>
      <c r="AT92" s="139"/>
      <c r="AU92" s="139"/>
      <c r="AV92" s="139"/>
      <c r="AW92" s="139"/>
      <c r="AX92" s="139"/>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39"/>
      <c r="AT93" s="139"/>
      <c r="AU93" s="139"/>
      <c r="AV93" s="139"/>
      <c r="AW93" s="139"/>
      <c r="AX93" s="139"/>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155"/>
      <c r="N94" s="151"/>
      <c r="O94" s="151"/>
      <c r="P94" s="151"/>
      <c r="Q94" s="151"/>
      <c r="R94" s="156"/>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39"/>
      <c r="AT94" s="139"/>
      <c r="AU94" s="139"/>
      <c r="AV94" s="139"/>
      <c r="AW94" s="139"/>
      <c r="AX94" s="139"/>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157"/>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39"/>
      <c r="AT95" s="139"/>
      <c r="AU95" s="139"/>
      <c r="AV95" s="139"/>
      <c r="AW95" s="139"/>
      <c r="AX95" s="139"/>
    </row>
    <row r="96" spans="2:50" ht="19.5" customHeight="1" x14ac:dyDescent="0.25">
      <c r="G96" s="21"/>
      <c r="H96" s="21"/>
      <c r="I96" s="21"/>
      <c r="M96" s="303" t="s">
        <v>236</v>
      </c>
      <c r="N96" s="304"/>
      <c r="O96" s="26">
        <f>$AC$30</f>
        <v>640</v>
      </c>
      <c r="P96" s="26">
        <f>$AC$31</f>
        <v>960</v>
      </c>
      <c r="Q96" s="26">
        <f>$AC$32</f>
        <v>560</v>
      </c>
      <c r="R96" s="157"/>
      <c r="AS96" s="139"/>
      <c r="AT96" s="139"/>
      <c r="AU96" s="139"/>
      <c r="AV96" s="139"/>
      <c r="AW96" s="139"/>
      <c r="AX96" s="139"/>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157"/>
      <c r="AS97" s="139"/>
      <c r="AT97" s="139"/>
      <c r="AU97" s="139"/>
      <c r="AV97" s="139"/>
      <c r="AW97" s="139"/>
      <c r="AX97" s="139"/>
    </row>
    <row r="98" spans="1:50" ht="19.5" customHeight="1" thickBot="1" x14ac:dyDescent="0.3">
      <c r="A98" s="149"/>
      <c r="B98" s="328"/>
      <c r="C98" s="328"/>
      <c r="D98" s="328"/>
      <c r="E98" s="328"/>
      <c r="F98" s="328"/>
      <c r="G98" s="328"/>
      <c r="H98" s="328"/>
      <c r="I98" s="328"/>
      <c r="M98" s="158"/>
      <c r="N98" s="150"/>
      <c r="O98" s="150"/>
      <c r="P98" s="150"/>
      <c r="Q98" s="150"/>
      <c r="R98" s="159"/>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39"/>
      <c r="AT98" s="139"/>
      <c r="AU98" s="139"/>
      <c r="AV98" s="139"/>
      <c r="AW98" s="139"/>
      <c r="AX98" s="139"/>
    </row>
    <row r="99" spans="1:50" ht="19.5" customHeight="1" thickBot="1" x14ac:dyDescent="0.3">
      <c r="A99" s="149"/>
      <c r="B99" s="328"/>
      <c r="C99" s="328"/>
      <c r="D99" s="328"/>
      <c r="E99" s="328"/>
      <c r="F99" s="328"/>
      <c r="G99" s="328"/>
      <c r="H99" s="328"/>
      <c r="I99" s="328"/>
      <c r="U99" s="363"/>
      <c r="V99" s="363"/>
      <c r="W99" s="363"/>
      <c r="X99" s="148" t="s">
        <v>33</v>
      </c>
      <c r="Y99" s="148" t="s">
        <v>79</v>
      </c>
      <c r="Z99" s="148" t="s">
        <v>66</v>
      </c>
      <c r="AA99" s="148" t="s">
        <v>80</v>
      </c>
      <c r="AB99" s="148" t="s">
        <v>67</v>
      </c>
      <c r="AC99" s="148" t="s">
        <v>81</v>
      </c>
      <c r="AD99" s="148" t="s">
        <v>82</v>
      </c>
      <c r="AE99" s="148" t="s">
        <v>83</v>
      </c>
      <c r="AF99" s="148" t="s">
        <v>84</v>
      </c>
      <c r="AG99" s="148" t="s">
        <v>85</v>
      </c>
      <c r="AH99" s="148" t="s">
        <v>86</v>
      </c>
      <c r="AI99" s="148" t="s">
        <v>87</v>
      </c>
      <c r="AJ99" s="148" t="s">
        <v>88</v>
      </c>
      <c r="AK99" s="148" t="s">
        <v>89</v>
      </c>
      <c r="AL99" s="148" t="s">
        <v>106</v>
      </c>
      <c r="AM99" s="148" t="s">
        <v>90</v>
      </c>
      <c r="AN99" s="148" t="s">
        <v>91</v>
      </c>
      <c r="AO99" s="148" t="s">
        <v>92</v>
      </c>
      <c r="AS99" s="139"/>
      <c r="AT99" s="139"/>
      <c r="AU99" s="139"/>
      <c r="AV99" s="139"/>
      <c r="AW99" s="139"/>
      <c r="AX99" s="139"/>
    </row>
    <row r="100" spans="1:50" ht="19.5" customHeight="1" x14ac:dyDescent="0.25">
      <c r="A100" s="139"/>
      <c r="B100" s="328"/>
      <c r="C100" s="328"/>
      <c r="D100" s="328"/>
      <c r="E100" s="328"/>
      <c r="F100" s="328"/>
      <c r="G100" s="328"/>
      <c r="H100" s="328"/>
      <c r="I100" s="328"/>
      <c r="M100" s="155"/>
      <c r="N100" s="151"/>
      <c r="O100" s="151"/>
      <c r="P100" s="151"/>
      <c r="Q100" s="151"/>
      <c r="R100" s="156"/>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39"/>
      <c r="AT100" s="139"/>
      <c r="AU100" s="139"/>
      <c r="AV100" s="139"/>
      <c r="AW100" s="139"/>
      <c r="AX100" s="139"/>
    </row>
    <row r="101" spans="1:50" ht="19.5" customHeight="1" thickBot="1" x14ac:dyDescent="0.3">
      <c r="A101" s="139"/>
      <c r="B101" s="111"/>
      <c r="C101" s="111"/>
      <c r="D101" s="108"/>
      <c r="H101" s="102"/>
      <c r="I101" s="102"/>
      <c r="M101" s="303" t="s">
        <v>239</v>
      </c>
      <c r="N101" s="304"/>
      <c r="O101" s="364" t="s">
        <v>229</v>
      </c>
      <c r="P101" s="364"/>
      <c r="Q101" s="364"/>
      <c r="R101" s="157"/>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39"/>
      <c r="AT101" s="139"/>
      <c r="AU101" s="139"/>
      <c r="AV101" s="139"/>
      <c r="AW101" s="139"/>
      <c r="AX101" s="139"/>
    </row>
    <row r="102" spans="1:50" ht="19.5" customHeight="1" thickBot="1" x14ac:dyDescent="0.3">
      <c r="A102" s="139"/>
      <c r="B102" s="321" t="s">
        <v>417</v>
      </c>
      <c r="C102" s="322"/>
      <c r="D102" s="322"/>
      <c r="E102" s="322"/>
      <c r="F102" s="322"/>
      <c r="G102" s="322"/>
      <c r="H102" s="322"/>
      <c r="I102" s="323"/>
      <c r="M102" s="303"/>
      <c r="N102" s="304"/>
      <c r="O102" s="330" t="s">
        <v>285</v>
      </c>
      <c r="P102" s="330"/>
      <c r="Q102" s="330"/>
      <c r="R102" s="157"/>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39"/>
      <c r="AT102" s="139"/>
      <c r="AU102" s="139"/>
      <c r="AV102" s="139"/>
      <c r="AW102" s="139"/>
      <c r="AX102" s="139"/>
    </row>
    <row r="103" spans="1:50" ht="19.5" customHeight="1" x14ac:dyDescent="0.25">
      <c r="M103" s="303"/>
      <c r="N103" s="304"/>
      <c r="O103" s="330" t="s">
        <v>231</v>
      </c>
      <c r="P103" s="330"/>
      <c r="Q103" s="330"/>
      <c r="R103" s="157"/>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39"/>
      <c r="AT103" s="139"/>
      <c r="AU103" s="139"/>
      <c r="AV103" s="139"/>
      <c r="AW103" s="139"/>
      <c r="AX103" s="139"/>
    </row>
    <row r="104" spans="1:50" ht="19.5" customHeight="1" x14ac:dyDescent="0.25">
      <c r="C104" s="102" t="s">
        <v>457</v>
      </c>
      <c r="D104" s="102"/>
      <c r="G104" s="369">
        <f>IFERROR((I27+I30+I38+I45+I48+I51+I54+I57+I60+I63+I66+I69+I72+I82+I85+I88+I91+I94),0)</f>
        <v>5150.8380586080602</v>
      </c>
      <c r="H104" s="369"/>
      <c r="I104" s="112"/>
      <c r="M104" s="303"/>
      <c r="N104" s="304"/>
      <c r="O104" s="330" t="s">
        <v>96</v>
      </c>
      <c r="P104" s="330"/>
      <c r="Q104" s="330"/>
      <c r="R104" s="157"/>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39"/>
      <c r="AT104" s="139"/>
      <c r="AU104" s="139"/>
      <c r="AV104" s="139"/>
      <c r="AW104" s="139"/>
      <c r="AX104" s="139"/>
    </row>
    <row r="105" spans="1:50" ht="19.5" customHeight="1" x14ac:dyDescent="0.25">
      <c r="M105" s="303"/>
      <c r="N105" s="304"/>
      <c r="O105" s="330" t="s">
        <v>97</v>
      </c>
      <c r="P105" s="330"/>
      <c r="Q105" s="330"/>
      <c r="R105" s="157"/>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39"/>
      <c r="AT105" s="139"/>
      <c r="AU105" s="139"/>
      <c r="AV105" s="139"/>
      <c r="AW105" s="139"/>
      <c r="AX105" s="139"/>
    </row>
    <row r="106" spans="1:50" ht="19.5" customHeight="1" x14ac:dyDescent="0.25">
      <c r="C106" s="102" t="s">
        <v>458</v>
      </c>
      <c r="D106" s="102"/>
      <c r="G106" s="369">
        <f>IFERROR((I27+I30+I38+I48+I51+I54+I57+I60+I63+I66+I69+I72+I82+I85+I88+I91+I94),0)</f>
        <v>5025.8380586080602</v>
      </c>
      <c r="H106" s="369"/>
      <c r="M106" s="303"/>
      <c r="N106" s="304"/>
      <c r="O106" s="330"/>
      <c r="P106" s="330"/>
      <c r="Q106" s="330"/>
      <c r="R106" s="157"/>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158"/>
      <c r="N107" s="150"/>
      <c r="O107" s="150"/>
      <c r="P107" s="150"/>
      <c r="Q107" s="150"/>
      <c r="R107" s="159"/>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41.206704468864473</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155"/>
      <c r="N109" s="151"/>
      <c r="O109" s="151"/>
      <c r="P109" s="151"/>
      <c r="Q109" s="151"/>
      <c r="R109" s="156"/>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40.206704468864473</v>
      </c>
      <c r="H110" s="369"/>
      <c r="M110" s="140" t="s">
        <v>243</v>
      </c>
      <c r="N110" s="25" t="s">
        <v>84</v>
      </c>
      <c r="O110" s="25" t="s">
        <v>87</v>
      </c>
      <c r="P110" s="25" t="s">
        <v>85</v>
      </c>
      <c r="Q110" s="25" t="s">
        <v>86</v>
      </c>
      <c r="R110" s="157"/>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40" t="s">
        <v>236</v>
      </c>
      <c r="N111" s="26">
        <f>AS26</f>
        <v>8</v>
      </c>
      <c r="O111" s="26">
        <f>AT26</f>
        <v>4</v>
      </c>
      <c r="P111" s="26">
        <f>AU26</f>
        <v>8</v>
      </c>
      <c r="Q111" s="26">
        <f>AV26</f>
        <v>40</v>
      </c>
      <c r="R111" s="157"/>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40" t="s">
        <v>244</v>
      </c>
      <c r="N112" s="6">
        <f>AW45</f>
        <v>0</v>
      </c>
      <c r="O112" s="6">
        <f>AX45</f>
        <v>0</v>
      </c>
      <c r="P112" s="6">
        <f>AY45</f>
        <v>0</v>
      </c>
      <c r="Q112" s="6">
        <f>AZ45</f>
        <v>0</v>
      </c>
      <c r="R112" s="157"/>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158"/>
      <c r="N113" s="150"/>
      <c r="O113" s="150"/>
      <c r="P113" s="150"/>
      <c r="Q113" s="150"/>
      <c r="R113" s="159"/>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155"/>
      <c r="N115" s="151"/>
      <c r="O115" s="151"/>
      <c r="P115" s="151"/>
      <c r="Q115" s="151"/>
      <c r="R115" s="156"/>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157"/>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157"/>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157"/>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157"/>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157"/>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157"/>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157"/>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157"/>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157"/>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157"/>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157"/>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157"/>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157"/>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157"/>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157"/>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157"/>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157"/>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157"/>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157"/>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157"/>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157"/>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157"/>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157"/>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157"/>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157"/>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157"/>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157"/>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157"/>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39"/>
      <c r="P144" s="139"/>
      <c r="Q144" s="139"/>
      <c r="R144" s="157"/>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39"/>
      <c r="P146" s="139"/>
      <c r="Q146" s="139"/>
      <c r="R146" s="157"/>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158"/>
      <c r="N148" s="150"/>
      <c r="O148" s="150"/>
      <c r="P148" s="150"/>
      <c r="Q148" s="150"/>
      <c r="R148" s="159"/>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39"/>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39"/>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39"/>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39"/>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39"/>
      <c r="L158" s="139"/>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39"/>
      <c r="L159" s="139"/>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39"/>
      <c r="L160" s="139"/>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39"/>
      <c r="L161" s="139"/>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39"/>
      <c r="L162" s="139"/>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39"/>
      <c r="L163" s="139"/>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39"/>
      <c r="L164" s="139"/>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39"/>
      <c r="L165" s="139"/>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39"/>
      <c r="L166" s="139"/>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39"/>
      <c r="L167" s="139"/>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39"/>
      <c r="L168" s="139"/>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39"/>
      <c r="L169" s="139"/>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39"/>
      <c r="AQ169" s="139"/>
      <c r="AR169" s="139"/>
    </row>
    <row r="170" spans="11:44" ht="19.5" customHeight="1" x14ac:dyDescent="0.25">
      <c r="K170" s="139"/>
      <c r="L170" s="139"/>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39"/>
      <c r="L171" s="139"/>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39"/>
      <c r="L172" s="139"/>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39"/>
      <c r="L173" s="139"/>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39"/>
      <c r="L174" s="139"/>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39"/>
      <c r="L175" s="139"/>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39"/>
      <c r="L176" s="139"/>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39"/>
      <c r="L177" s="139"/>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39"/>
      <c r="L178" s="139"/>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39"/>
      <c r="L179" s="139"/>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136" t="s">
        <v>33</v>
      </c>
      <c r="Y187" s="136" t="s">
        <v>66</v>
      </c>
      <c r="Z187" s="136" t="s">
        <v>67</v>
      </c>
      <c r="AA187" s="136" t="s">
        <v>451</v>
      </c>
      <c r="AB187" s="136" t="s">
        <v>452</v>
      </c>
      <c r="AC187" s="136" t="s">
        <v>33</v>
      </c>
      <c r="AD187" s="136" t="s">
        <v>66</v>
      </c>
      <c r="AE187" s="136" t="s">
        <v>199</v>
      </c>
      <c r="AH187" s="132"/>
      <c r="AI187" s="132"/>
      <c r="AJ187" s="132"/>
      <c r="AK187" s="132"/>
      <c r="AL187" s="132"/>
      <c r="AM187" s="132"/>
      <c r="AN187" s="132"/>
      <c r="AO187" s="132"/>
      <c r="AP187" s="139"/>
      <c r="AQ187" s="139"/>
      <c r="AR187" s="139"/>
      <c r="AS187" s="139"/>
      <c r="AT187" s="139"/>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39"/>
      <c r="AQ188" s="139"/>
      <c r="AR188" s="139"/>
      <c r="AS188" s="139"/>
      <c r="AT188" s="139"/>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39"/>
      <c r="AQ189" s="139"/>
      <c r="AR189" s="139"/>
      <c r="AS189" s="139"/>
      <c r="AT189" s="139"/>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39"/>
      <c r="AQ190" s="139"/>
      <c r="AR190" s="139"/>
      <c r="AS190" s="139"/>
      <c r="AT190" s="139"/>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39"/>
      <c r="AQ191" s="139"/>
      <c r="AR191" s="139"/>
      <c r="AS191" s="139"/>
      <c r="AT191" s="139"/>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39"/>
      <c r="AQ192" s="139"/>
      <c r="AR192" s="139"/>
      <c r="AS192" s="139"/>
      <c r="AT192" s="139"/>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39"/>
      <c r="AQ193" s="139"/>
      <c r="AR193" s="139"/>
      <c r="AS193" s="139"/>
      <c r="AT193" s="139"/>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39"/>
      <c r="AQ194" s="139"/>
      <c r="AR194" s="139"/>
      <c r="AS194" s="139"/>
      <c r="AT194" s="139"/>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39"/>
      <c r="AQ195" s="139"/>
      <c r="AR195" s="139"/>
      <c r="AS195" s="139"/>
      <c r="AT195" s="139"/>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39"/>
      <c r="AQ196" s="139"/>
      <c r="AR196" s="139"/>
      <c r="AS196" s="139"/>
      <c r="AT196" s="139"/>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39"/>
      <c r="AQ197" s="139"/>
      <c r="AR197" s="139"/>
      <c r="AS197" s="139"/>
      <c r="AT197" s="139"/>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39"/>
      <c r="AQ198" s="139"/>
      <c r="AR198" s="139"/>
      <c r="AS198" s="139"/>
      <c r="AT198" s="139"/>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39"/>
      <c r="AQ199" s="139"/>
      <c r="AR199" s="139"/>
      <c r="AS199" s="139"/>
      <c r="AT199" s="139"/>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39"/>
      <c r="AQ200" s="139"/>
      <c r="AR200" s="139"/>
      <c r="AS200" s="139"/>
      <c r="AT200" s="139"/>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39"/>
      <c r="AQ201" s="139"/>
      <c r="AR201" s="139"/>
      <c r="AS201" s="139"/>
      <c r="AT201" s="139"/>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154" t="s">
        <v>33</v>
      </c>
      <c r="AE220" s="154">
        <v>126</v>
      </c>
    </row>
    <row r="221" spans="21:31" ht="19.5" customHeight="1" x14ac:dyDescent="0.25">
      <c r="AD221" s="154" t="s">
        <v>66</v>
      </c>
      <c r="AE221" s="154">
        <v>108</v>
      </c>
    </row>
    <row r="222" spans="21:31" ht="19.5" customHeight="1" x14ac:dyDescent="0.25">
      <c r="AD222" s="154" t="s">
        <v>67</v>
      </c>
      <c r="AE222" s="154">
        <v>144</v>
      </c>
    </row>
  </sheetData>
  <mergeCells count="290">
    <mergeCell ref="U188:U214"/>
    <mergeCell ref="K4:L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5:AR35"/>
    <mergeCell ref="M36:R36"/>
    <mergeCell ref="AB36:AC36"/>
    <mergeCell ref="AQ36:AR36"/>
    <mergeCell ref="B30:C31"/>
    <mergeCell ref="E30:G30"/>
    <mergeCell ref="AQ30:AR30"/>
    <mergeCell ref="E31:G31"/>
    <mergeCell ref="O31:Q31"/>
    <mergeCell ref="AQ31:AR31"/>
    <mergeCell ref="AD22:AD23"/>
    <mergeCell ref="AP25:AP26"/>
    <mergeCell ref="AQ25:AR26"/>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B16:I16"/>
    <mergeCell ref="AP16:AP17"/>
    <mergeCell ref="AQ18:AR18"/>
    <mergeCell ref="AQ19:AR19"/>
    <mergeCell ref="B20:E20"/>
    <mergeCell ref="V20:X20"/>
    <mergeCell ref="AQ20:AR20"/>
    <mergeCell ref="Z21:AB21"/>
    <mergeCell ref="AQ16:AR17"/>
    <mergeCell ref="U17:X19"/>
    <mergeCell ref="Y17:AD20"/>
    <mergeCell ref="B18:D18"/>
    <mergeCell ref="F18:H18"/>
    <mergeCell ref="AF18:AF20"/>
    <mergeCell ref="AJ18:AJ20"/>
    <mergeCell ref="AK18:AK20"/>
    <mergeCell ref="AL18:AL20"/>
    <mergeCell ref="C12:I12"/>
    <mergeCell ref="AF12:AF14"/>
    <mergeCell ref="AJ12:AJ14"/>
    <mergeCell ref="AK12:AK14"/>
    <mergeCell ref="AL12:AL14"/>
    <mergeCell ref="AM12:AM14"/>
    <mergeCell ref="AQ12:AR12"/>
    <mergeCell ref="C13:I13"/>
    <mergeCell ref="AQ13:AR13"/>
    <mergeCell ref="C14:G14"/>
    <mergeCell ref="AQ14:AR14"/>
    <mergeCell ref="B9:I9"/>
    <mergeCell ref="AF9:AF11"/>
    <mergeCell ref="AJ9:AJ11"/>
    <mergeCell ref="AK9:AK11"/>
    <mergeCell ref="AL9:AL11"/>
    <mergeCell ref="AM9:AM11"/>
    <mergeCell ref="AP10:AP11"/>
    <mergeCell ref="AQ10:AR11"/>
    <mergeCell ref="AV10:AV11"/>
    <mergeCell ref="C11:I11"/>
    <mergeCell ref="AQ4:AR5"/>
    <mergeCell ref="AV4:AV5"/>
    <mergeCell ref="V6:X6"/>
    <mergeCell ref="AQ6:AR6"/>
    <mergeCell ref="Z7:AB7"/>
    <mergeCell ref="AF7:AM7"/>
    <mergeCell ref="AQ7:AR7"/>
    <mergeCell ref="M2:R2"/>
    <mergeCell ref="U3:X5"/>
    <mergeCell ref="Y3:AD6"/>
    <mergeCell ref="M4:N25"/>
    <mergeCell ref="O4:P4"/>
    <mergeCell ref="AP4:AP5"/>
    <mergeCell ref="AD8:AD11"/>
    <mergeCell ref="AG8:AH8"/>
    <mergeCell ref="AI8:AJ8"/>
    <mergeCell ref="AM18:AM20"/>
    <mergeCell ref="AQ8:AR8"/>
    <mergeCell ref="AF15:AF17"/>
    <mergeCell ref="AJ15:AJ17"/>
    <mergeCell ref="AK15:AK17"/>
    <mergeCell ref="AL15:AL17"/>
    <mergeCell ref="AM15:AM17"/>
    <mergeCell ref="AV16:AV17"/>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$AE$31:$AE$33</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1320</v>
      </c>
      <c r="AT5" s="9">
        <f>$AC$31</f>
        <v>1520</v>
      </c>
      <c r="AU5" s="9">
        <f>$AC$32</f>
        <v>1120</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1520.0000000000002</v>
      </c>
      <c r="AU7" s="9">
        <f>IFERROR((VLOOKUP(AQ7,$V$100:$AB$179,7,0)*0.01)*AV7,0)</f>
        <v>0</v>
      </c>
      <c r="AV7" s="9">
        <f>IFERROR($AT$5*Q72/(VLOOKUP(AQ7,$V$100:$AB$179,5,0)/100),0)</f>
        <v>8685.7142857142862</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8</v>
      </c>
      <c r="AL9" s="301">
        <f>(AM9*1000)/$E$18</f>
        <v>8</v>
      </c>
      <c r="AM9" s="302">
        <v>1</v>
      </c>
      <c r="AO9" s="7"/>
      <c r="AP9" s="7"/>
      <c r="AQ9" s="7"/>
      <c r="AR9" s="7"/>
      <c r="AS9" s="28">
        <f>AS5-(SUM(AS6:AS8))</f>
        <v>1320</v>
      </c>
      <c r="AT9" s="28">
        <f>AT5-(SUM(AT6:AT8))</f>
        <v>0</v>
      </c>
      <c r="AU9" s="28">
        <f>AU5-(SUM(AU6:AU8))</f>
        <v>1120</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1320</v>
      </c>
      <c r="AT11" s="9">
        <f t="shared" ref="AT11:AU11" si="0">AT9</f>
        <v>0</v>
      </c>
      <c r="AU11" s="9">
        <f t="shared" si="0"/>
        <v>1120</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4</v>
      </c>
      <c r="AM12" s="302">
        <v>0.5</v>
      </c>
      <c r="AO12" s="7"/>
      <c r="AP12" s="186">
        <v>7</v>
      </c>
      <c r="AQ12" s="295" t="str">
        <f>O79</f>
        <v>Kmag</v>
      </c>
      <c r="AR12" s="295"/>
      <c r="AS12" s="9">
        <f>IFERROR((VLOOKUP(AQ12,$V$100:$AB$179,3,0)*0.01)*AV12,0)</f>
        <v>0</v>
      </c>
      <c r="AT12" s="9">
        <f>IFERROR((VLOOKUP(AQ12,$V$100:$AB$179,5,0)*0.01)*AV12,0)</f>
        <v>0</v>
      </c>
      <c r="AU12" s="9">
        <f>IFERROR((VLOOKUP(AQ12,$V$100:$AB$179,7,0)*0.01)*AV12,0)</f>
        <v>1120</v>
      </c>
      <c r="AV12" s="9">
        <f>IFERROR($AU$11*Q79/(VLOOKUP(AQ12,$V$100:$AB$179,7,0)/100),0)</f>
        <v>5333.3333333333339</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8</v>
      </c>
      <c r="AM15" s="302">
        <v>1</v>
      </c>
      <c r="AO15" s="7"/>
      <c r="AP15" s="7"/>
      <c r="AQ15" s="7"/>
      <c r="AR15" s="7"/>
      <c r="AS15" s="28">
        <f>AS11-(SUM(AS12:AS14))</f>
        <v>1320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1320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40</v>
      </c>
      <c r="AM18" s="302">
        <v>5</v>
      </c>
      <c r="AO18" s="7"/>
      <c r="AP18" s="186">
        <v>13</v>
      </c>
      <c r="AQ18" s="295" t="str">
        <f>O87</f>
        <v>Torta de mamona Hortibraz</v>
      </c>
      <c r="AR18" s="295"/>
      <c r="AS18" s="9">
        <f>IFERROR((VLOOKUP(AQ18,$V$100:$AB$179,3,0)*0.01)*AV18,0)</f>
        <v>1320</v>
      </c>
      <c r="AT18" s="9">
        <f>IFERROR((VLOOKUP(AQ18,$V$100:$AB$179,5,0)*0.01)*AV18,0)</f>
        <v>0</v>
      </c>
      <c r="AU18" s="9">
        <f>IFERROR((VLOOKUP(AQ18,$V$100:$AB$179,7,0)*0.01)*AV18,0)</f>
        <v>0</v>
      </c>
      <c r="AV18" s="9">
        <f>IFERROR($AS$17*Q87/(VLOOKUP(AQ18,$V$100:$AB$179,3,0)/100),0)</f>
        <v>22000</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8</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300" t="s">
        <v>281</v>
      </c>
      <c r="V26" s="298"/>
      <c r="W26" s="298"/>
      <c r="X26" s="298"/>
      <c r="Y26" s="298"/>
      <c r="Z26" s="299"/>
      <c r="AO26" s="7"/>
      <c r="AP26" s="326"/>
      <c r="AQ26" s="326"/>
      <c r="AR26" s="326"/>
      <c r="AS26" s="3">
        <f>AK9</f>
        <v>8</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3.7832817337461293</v>
      </c>
      <c r="E27" s="329" t="str">
        <f>IF(J27&gt;0,"toneladas por hectare ou,","-")</f>
        <v>toneladas por hectare ou,</v>
      </c>
      <c r="F27" s="329"/>
      <c r="G27" s="329"/>
      <c r="H27" s="101" t="s">
        <v>447</v>
      </c>
      <c r="I27" s="101">
        <f>IFERROR((D27*1000*VLOOKUP(B27,$V$56:$W$68,2,0)*$O$34),0)</f>
        <v>2118.6377708978325</v>
      </c>
      <c r="J27" s="32">
        <f>V51</f>
        <v>3.7832817337461293</v>
      </c>
      <c r="U27" s="191" t="s">
        <v>271</v>
      </c>
      <c r="V27" s="191" t="s">
        <v>282</v>
      </c>
      <c r="W27" s="191" t="s">
        <v>75</v>
      </c>
      <c r="X27" s="191" t="s">
        <v>71</v>
      </c>
      <c r="Y27" s="191" t="s">
        <v>283</v>
      </c>
      <c r="Z27" s="191"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0.37832817337461294</v>
      </c>
      <c r="E28" s="332" t="str">
        <f>IF(J28&gt;0,"gramas por metro quadrado","-")</f>
        <v>gramas por metro quadrado</v>
      </c>
      <c r="F28" s="332"/>
      <c r="G28" s="332"/>
      <c r="H28" s="102" t="s">
        <v>419</v>
      </c>
      <c r="I28" s="102">
        <f>I27/$E$18</f>
        <v>16.949102167182659</v>
      </c>
      <c r="J28" s="32">
        <f>J27/10</f>
        <v>0.37832817337461294</v>
      </c>
      <c r="M28" s="207"/>
      <c r="N28" s="201"/>
      <c r="O28" s="201"/>
      <c r="P28" s="201"/>
      <c r="Q28" s="201"/>
      <c r="R28" s="208"/>
      <c r="U28" s="191" t="s">
        <v>50</v>
      </c>
      <c r="V28" s="191">
        <v>60000</v>
      </c>
      <c r="W28" s="191" t="s">
        <v>68</v>
      </c>
      <c r="X28" s="191" t="str">
        <f>CONCATENATE(U28," - ",W28)</f>
        <v>&lt; 20 - baixo</v>
      </c>
      <c r="Y28" s="191">
        <v>70000</v>
      </c>
      <c r="Z28" s="191">
        <v>100000</v>
      </c>
      <c r="AE28" s="190" t="s">
        <v>63</v>
      </c>
      <c r="AG28" s="191" t="s">
        <v>63</v>
      </c>
      <c r="AI28" s="15" t="s">
        <v>63</v>
      </c>
      <c r="AK28" s="15" t="s">
        <v>63</v>
      </c>
      <c r="AL28" s="191"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50</v>
      </c>
      <c r="V29" s="191">
        <v>60000</v>
      </c>
      <c r="W29" s="191" t="s">
        <v>69</v>
      </c>
      <c r="X29" s="191" t="str">
        <f t="shared" ref="X29:X42" si="8">CONCATENATE(U29," - ",W29)</f>
        <v>&lt; 20 - medio</v>
      </c>
      <c r="Y29" s="191">
        <v>55000</v>
      </c>
      <c r="Z29" s="191">
        <v>80000</v>
      </c>
      <c r="AB29" s="312" t="s">
        <v>65</v>
      </c>
      <c r="AC29" s="312"/>
      <c r="AE29" s="190" t="s">
        <v>271</v>
      </c>
      <c r="AG29" s="191"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09"/>
      <c r="U30" s="191" t="s">
        <v>50</v>
      </c>
      <c r="V30" s="191">
        <v>60000</v>
      </c>
      <c r="W30" s="191" t="s">
        <v>70</v>
      </c>
      <c r="X30" s="191" t="str">
        <f t="shared" si="8"/>
        <v>&lt; 20 - adequado</v>
      </c>
      <c r="Y30" s="191">
        <v>15000</v>
      </c>
      <c r="Z30" s="191">
        <v>50000</v>
      </c>
      <c r="AB30" s="202" t="s">
        <v>33</v>
      </c>
      <c r="AC30" s="4">
        <f>(VLOOKUP($P$39,$U$28:$V$42,2,0)/$E$18)/AD30</f>
        <v>1320</v>
      </c>
      <c r="AD30" s="184">
        <f>'Abacate produção (1)'!AD30</f>
        <v>1</v>
      </c>
      <c r="AE30" s="190" t="s">
        <v>34</v>
      </c>
      <c r="AG30" s="191"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270</v>
      </c>
      <c r="V31" s="191">
        <v>75000</v>
      </c>
      <c r="W31" s="191" t="s">
        <v>68</v>
      </c>
      <c r="X31" s="191" t="str">
        <f t="shared" si="8"/>
        <v>20,1 - 30 - baixo</v>
      </c>
      <c r="Y31" s="191">
        <v>90000</v>
      </c>
      <c r="Z31" s="191">
        <v>140000</v>
      </c>
      <c r="AB31" s="202" t="s">
        <v>66</v>
      </c>
      <c r="AC31" s="202">
        <f>(VLOOKUP(AB36,X28:Z42,2,0)/$E$18)/AD31</f>
        <v>1520</v>
      </c>
      <c r="AD31" s="184">
        <f>'Abacate produção (1)'!AD31</f>
        <v>1</v>
      </c>
      <c r="AE31" s="190" t="s">
        <v>50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09"/>
      <c r="U32" s="191" t="s">
        <v>270</v>
      </c>
      <c r="V32" s="191">
        <v>75000</v>
      </c>
      <c r="W32" s="191" t="s">
        <v>69</v>
      </c>
      <c r="X32" s="191" t="str">
        <f t="shared" si="8"/>
        <v>20,1 - 30 - medio</v>
      </c>
      <c r="Y32" s="191">
        <v>70000</v>
      </c>
      <c r="Z32" s="191">
        <v>90000</v>
      </c>
      <c r="AB32" s="202" t="s">
        <v>67</v>
      </c>
      <c r="AC32" s="202">
        <f>(VLOOKUP($AB$39,X28:Z42,3,0)/$E$18)/AD32</f>
        <v>1120</v>
      </c>
      <c r="AD32" s="184">
        <f>'Abacate produção (1)'!AD32</f>
        <v>1</v>
      </c>
      <c r="AE32" s="190" t="s">
        <v>270</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270</v>
      </c>
      <c r="V33" s="191">
        <v>75000</v>
      </c>
      <c r="W33" s="191" t="s">
        <v>70</v>
      </c>
      <c r="X33" s="191" t="str">
        <f t="shared" si="8"/>
        <v>20,1 - 30 - adequado</v>
      </c>
      <c r="Y33" s="191">
        <v>20000</v>
      </c>
      <c r="Z33" s="191">
        <v>60000</v>
      </c>
      <c r="AE33" s="190" t="s">
        <v>287</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287</v>
      </c>
      <c r="V34" s="191">
        <v>105000</v>
      </c>
      <c r="W34" s="191" t="s">
        <v>68</v>
      </c>
      <c r="X34" s="191" t="str">
        <f t="shared" si="8"/>
        <v>30,1 - 40 - baixo</v>
      </c>
      <c r="Y34" s="191">
        <v>120000</v>
      </c>
      <c r="Z34" s="191">
        <v>180000</v>
      </c>
      <c r="AE34" s="190" t="s">
        <v>288</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125</v>
      </c>
      <c r="P35" s="17">
        <f>10000/($O$30*$Q$30)</f>
        <v>125</v>
      </c>
      <c r="Q35" s="17" t="e">
        <f>10000/((($O$32/2)+($P$32/2))*$Q$32)</f>
        <v>#DIV/0!</v>
      </c>
      <c r="R35" s="211"/>
      <c r="U35" s="191" t="s">
        <v>287</v>
      </c>
      <c r="V35" s="191">
        <v>105000</v>
      </c>
      <c r="W35" s="191" t="s">
        <v>69</v>
      </c>
      <c r="X35" s="191" t="str">
        <f t="shared" si="8"/>
        <v>30,1 - 40 - medio</v>
      </c>
      <c r="Y35" s="191">
        <v>100000</v>
      </c>
      <c r="Z35" s="191">
        <v>120000</v>
      </c>
      <c r="AB35" s="301" t="s">
        <v>72</v>
      </c>
      <c r="AC35" s="301"/>
      <c r="AE35" s="190" t="s">
        <v>462</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91" t="s">
        <v>287</v>
      </c>
      <c r="V36" s="191">
        <v>105000</v>
      </c>
      <c r="W36" s="191" t="s">
        <v>70</v>
      </c>
      <c r="X36" s="191" t="str">
        <f t="shared" si="8"/>
        <v>30,1 - 40 - adequado</v>
      </c>
      <c r="Y36" s="191">
        <v>25000</v>
      </c>
      <c r="Z36" s="191">
        <v>80000</v>
      </c>
      <c r="AB36" s="301" t="str">
        <f>CONCATENATE($P$39," - ",$AD$8)</f>
        <v>50,1  - 60 -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288</v>
      </c>
      <c r="V37" s="191">
        <v>135000</v>
      </c>
      <c r="W37" s="191" t="s">
        <v>68</v>
      </c>
      <c r="X37" s="191" t="str">
        <f t="shared" si="8"/>
        <v>40,1 - 50 - baixo</v>
      </c>
      <c r="Y37" s="191">
        <v>155000</v>
      </c>
      <c r="Z37" s="191">
        <v>220000</v>
      </c>
      <c r="AI37" s="15">
        <v>0.7</v>
      </c>
      <c r="AK37" s="73" t="str">
        <f>'Adubos e corretivos (1)'!E128</f>
        <v>Compostos orgânicos</v>
      </c>
      <c r="AL37" s="105">
        <f>'Adubos e corretivos (1)'!F128</f>
        <v>0.7</v>
      </c>
      <c r="AO37" s="29"/>
      <c r="AP37" s="29"/>
      <c r="AQ37" s="29"/>
      <c r="AR37" s="29"/>
      <c r="AS37" s="28">
        <f>IF(AS24&gt;0,AS24,0)</f>
        <v>8</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288</v>
      </c>
      <c r="V38" s="191">
        <v>135000</v>
      </c>
      <c r="W38" s="191" t="s">
        <v>69</v>
      </c>
      <c r="X38" s="191" t="str">
        <f t="shared" si="8"/>
        <v>40,1 - 50 - medio</v>
      </c>
      <c r="Y38" s="191">
        <v>120000</v>
      </c>
      <c r="Z38" s="191">
        <v>160000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191" t="s">
        <v>274</v>
      </c>
      <c r="P39" s="330" t="s">
        <v>462</v>
      </c>
      <c r="Q39" s="330"/>
      <c r="R39" s="209"/>
      <c r="U39" s="191" t="s">
        <v>288</v>
      </c>
      <c r="V39" s="191">
        <v>135000</v>
      </c>
      <c r="W39" s="191" t="s">
        <v>70</v>
      </c>
      <c r="X39" s="191" t="str">
        <f t="shared" si="8"/>
        <v>40,1 - 50 - adequado</v>
      </c>
      <c r="Y39" s="191">
        <v>30000</v>
      </c>
      <c r="Z39" s="191">
        <v>100000</v>
      </c>
      <c r="AB39" s="301" t="str">
        <f>CONCATENATE($P$39," - ",$AD$22)</f>
        <v>50,1  - 60 -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U40" s="190" t="s">
        <v>462</v>
      </c>
      <c r="V40" s="191">
        <v>165000</v>
      </c>
      <c r="W40" s="191" t="s">
        <v>68</v>
      </c>
      <c r="X40" s="191" t="str">
        <f t="shared" si="8"/>
        <v>50,1  - 60 - baixo</v>
      </c>
      <c r="Y40" s="191">
        <v>190000</v>
      </c>
      <c r="Z40" s="191">
        <v>260000</v>
      </c>
      <c r="AI40" s="15">
        <v>1</v>
      </c>
      <c r="AO40" s="7"/>
      <c r="AP40" s="295" t="str">
        <f>O102</f>
        <v>Ácido Bórico</v>
      </c>
      <c r="AQ40" s="295"/>
      <c r="AR40" s="9">
        <f>IFERROR($AS$37/((VLOOKUP(AP40,$V$100:$AO$179,11,0)*0.01)),0)</f>
        <v>45.714285714285708</v>
      </c>
      <c r="AS40" s="9">
        <f>IFERROR($AT$37/((VLOOKUP(AP40,$V$100:$AO$179,14,0)*0.01)),0)</f>
        <v>0</v>
      </c>
      <c r="AT40" s="9">
        <f>IFERROR($AU$37/((VLOOKUP(AP40,$V$100:$AO$179,12,0)*0.01)),0)</f>
        <v>0</v>
      </c>
      <c r="AU40" s="9">
        <f>IFERROR($AV$37/((VLOOKUP(AP40,$V$100:$AO$179,13,0)*0.01)),0)</f>
        <v>0</v>
      </c>
      <c r="AV40" s="9">
        <f>MAX(AR40:AU40)</f>
        <v>45.714285714285708</v>
      </c>
      <c r="AW40" s="9">
        <f>IFERROR(AV40*(VLOOKUP(AP40,$V$100:$AO$179,11,0)*0.01),0)</f>
        <v>8</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U41" s="190" t="s">
        <v>462</v>
      </c>
      <c r="V41" s="191">
        <v>165000</v>
      </c>
      <c r="W41" s="191" t="s">
        <v>69</v>
      </c>
      <c r="X41" s="191" t="str">
        <f t="shared" si="8"/>
        <v>50,1  - 60 - medio</v>
      </c>
      <c r="Y41" s="191">
        <v>150000</v>
      </c>
      <c r="Z41" s="191">
        <v>200000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U42" s="190" t="s">
        <v>462</v>
      </c>
      <c r="V42" s="191">
        <v>165000</v>
      </c>
      <c r="W42" s="191" t="s">
        <v>70</v>
      </c>
      <c r="X42" s="191" t="str">
        <f t="shared" si="8"/>
        <v>50,1  - 60 - adequado</v>
      </c>
      <c r="Y42" s="191">
        <v>40000</v>
      </c>
      <c r="Z42" s="191">
        <v>140000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8685.7142857142862</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31">
        <f>'Adubos e corretivos (1)'!C126</f>
        <v>80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5333.3333333333339</v>
      </c>
      <c r="K47" s="35"/>
      <c r="M47" s="303"/>
      <c r="N47" s="332"/>
      <c r="O47" s="333" t="s">
        <v>442</v>
      </c>
      <c r="P47" s="335"/>
      <c r="Q47" s="18">
        <v>1</v>
      </c>
      <c r="R47" s="209"/>
      <c r="U47" s="191" t="s">
        <v>104</v>
      </c>
      <c r="V47" s="2">
        <f>IFERROR((((V46-P24)*P25)/V49),0)</f>
        <v>3.7832817337461293</v>
      </c>
      <c r="X47" s="336" t="s">
        <v>182</v>
      </c>
      <c r="Y47" s="336"/>
      <c r="Z47" s="2">
        <f>IFERROR((($V$50/$Z$46)*$V$47),0)</f>
        <v>18.66806543110031</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3.7832817337461293</v>
      </c>
      <c r="X48" s="336" t="s">
        <v>180</v>
      </c>
      <c r="Y48" s="336"/>
      <c r="Z48" s="2">
        <f>IFERROR(IF(Z47&lt;0,(0),IF(Z47&gt;=0,(Z47))),0)</f>
        <v>18.66806543110031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22000</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1085.7142857142858</v>
      </c>
      <c r="E51" s="332" t="str">
        <f>IF(J45&gt;0,"quilos para área total","-")</f>
        <v>quilos para área total</v>
      </c>
      <c r="F51" s="332"/>
      <c r="G51" s="332"/>
      <c r="H51" s="102" t="s">
        <v>447</v>
      </c>
      <c r="I51" s="102">
        <f>I52*$E$18*$I$18</f>
        <v>2524.2857142857151</v>
      </c>
      <c r="J51" s="33">
        <f>AV19</f>
        <v>0</v>
      </c>
      <c r="K51" s="35"/>
      <c r="L51" s="188"/>
      <c r="M51" s="210"/>
      <c r="N51" s="200"/>
      <c r="O51" s="200"/>
      <c r="P51" s="200"/>
      <c r="Q51" s="200"/>
      <c r="R51" s="211"/>
      <c r="U51" s="191" t="s">
        <v>247</v>
      </c>
      <c r="V51" s="2">
        <f>V48*$Q$47</f>
        <v>3.7832817337461293</v>
      </c>
      <c r="AT51" s="187" t="s">
        <v>264</v>
      </c>
      <c r="AU51" s="96" t="str">
        <f>AK29</f>
        <v>Composto de lixo (COL)</v>
      </c>
      <c r="AV51" s="187">
        <v>12</v>
      </c>
    </row>
    <row r="52" spans="2:50" ht="19.5" customHeight="1" x14ac:dyDescent="0.25">
      <c r="B52" s="327"/>
      <c r="C52" s="327"/>
      <c r="D52" s="109">
        <f>IF(J45&gt;0,J45,"-")</f>
        <v>8685.7142857142862</v>
      </c>
      <c r="E52" s="332" t="str">
        <f>IF(J45&gt;0,"gramas por planta","-")</f>
        <v>gramas por planta</v>
      </c>
      <c r="F52" s="332"/>
      <c r="G52" s="332"/>
      <c r="H52" s="102" t="s">
        <v>446</v>
      </c>
      <c r="I52" s="102">
        <f>IFERROR((D52/1000)*VLOOKUP(B51,$V$100:$W$179,2,0),0)</f>
        <v>20.194285714285719</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666.66666666666674</v>
      </c>
      <c r="E57" s="354" t="str">
        <f>IF(J47&gt;0,"quilos para área total","-")</f>
        <v>quilos para área total</v>
      </c>
      <c r="F57" s="354"/>
      <c r="G57" s="354"/>
      <c r="H57" s="102" t="s">
        <v>447</v>
      </c>
      <c r="I57" s="102">
        <f>I58*$E$18*$I$18</f>
        <v>1933.3333333333335</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5333.3333333333339</v>
      </c>
      <c r="E58" s="332" t="str">
        <f>IF(J47&gt;0,"gramas por planta","-")</f>
        <v>gramas por planta</v>
      </c>
      <c r="F58" s="332"/>
      <c r="G58" s="332"/>
      <c r="H58" s="102" t="s">
        <v>446</v>
      </c>
      <c r="I58" s="102">
        <f>IFERROR((D58/1000)*VLOOKUP(B57,$V$100:$W$179,2,0),0)</f>
        <v>15.466666666666669</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2750</v>
      </c>
      <c r="E66" s="354" t="str">
        <f>IF(J50&gt;0,"quilos para área total","-")</f>
        <v>quilos para área total</v>
      </c>
      <c r="F66" s="354"/>
      <c r="G66" s="354"/>
      <c r="H66" s="102" t="s">
        <v>447</v>
      </c>
      <c r="I66" s="102">
        <f>I67*$E$18*$I$18</f>
        <v>4180</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22000</v>
      </c>
      <c r="E67" s="332" t="str">
        <f>IF(J50&gt;0,"gramas por planta","-")</f>
        <v>gramas por planta</v>
      </c>
      <c r="F67" s="332"/>
      <c r="G67" s="332"/>
      <c r="H67" s="102" t="s">
        <v>446</v>
      </c>
      <c r="I67" s="102">
        <f>IFERROR((D67/1000)*VLOOKUP(B66,$V$100:$W$179,2,0),0)</f>
        <v>33.44</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45.714285714285708</v>
      </c>
      <c r="E83" s="332" t="str">
        <f>IF(AV40&gt;0,"gramas por planta","-")</f>
        <v>gramas por planta</v>
      </c>
      <c r="F83" s="332"/>
      <c r="G83" s="332"/>
      <c r="H83" s="102" t="s">
        <v>446</v>
      </c>
      <c r="I83" s="102">
        <f>IFERROR((D83/1000)*VLOOKUP(B82,$V$100:$W$179,2,0),0)</f>
        <v>0.25234285714285709</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1320</v>
      </c>
      <c r="P96" s="26">
        <f>$AC$31</f>
        <v>1520</v>
      </c>
      <c r="Q96" s="26">
        <f>$AC$32</f>
        <v>1120</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11058.549675659739</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11058.549675659739</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88.468397405277912</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88.468397405277912</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8</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90">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6:AR36"/>
    <mergeCell ref="B30:C31"/>
    <mergeCell ref="E30:G30"/>
    <mergeCell ref="AQ30:AR30"/>
    <mergeCell ref="E31:G31"/>
    <mergeCell ref="O31:Q31"/>
    <mergeCell ref="AQ31:AR31"/>
    <mergeCell ref="AP39:AQ39"/>
    <mergeCell ref="AP40:AQ40"/>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210</v>
      </c>
      <c r="AT5" s="9">
        <f>$AC$31</f>
        <v>190</v>
      </c>
      <c r="AU5" s="9">
        <f>$AC$32</f>
        <v>50</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190.00000000000003</v>
      </c>
      <c r="AU7" s="9">
        <f>IFERROR((VLOOKUP(AQ7,$V$100:$AB$179,7,0)*0.01)*AV7,0)</f>
        <v>0</v>
      </c>
      <c r="AV7" s="9">
        <f>IFERROR($AT$5*Q72/(VLOOKUP(AQ7,$V$100:$AB$179,5,0)/100),0)</f>
        <v>1085.7142857142858</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16</v>
      </c>
      <c r="AL9" s="301">
        <f>(AM9*1000)/$E$18</f>
        <v>16</v>
      </c>
      <c r="AM9" s="302">
        <v>2</v>
      </c>
      <c r="AO9" s="7"/>
      <c r="AP9" s="7"/>
      <c r="AQ9" s="7"/>
      <c r="AR9" s="7"/>
      <c r="AS9" s="28">
        <f>AS5-(SUM(AS6:AS8))</f>
        <v>210</v>
      </c>
      <c r="AT9" s="28">
        <f>AT5-(SUM(AT6:AT8))</f>
        <v>0</v>
      </c>
      <c r="AU9" s="28">
        <f>AU5-(SUM(AU6:AU8))</f>
        <v>50</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210</v>
      </c>
      <c r="AT11" s="9">
        <f t="shared" ref="AT11:AU11" si="0">AT9</f>
        <v>0</v>
      </c>
      <c r="AU11" s="9">
        <f t="shared" si="0"/>
        <v>50</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16</v>
      </c>
      <c r="AM12" s="302">
        <v>2</v>
      </c>
      <c r="AO12" s="7"/>
      <c r="AP12" s="254">
        <v>7</v>
      </c>
      <c r="AQ12" s="295" t="str">
        <f>O79</f>
        <v>Kmag</v>
      </c>
      <c r="AR12" s="295"/>
      <c r="AS12" s="9">
        <f>IFERROR((VLOOKUP(AQ12,$V$100:$AB$179,3,0)*0.01)*AV12,0)</f>
        <v>0</v>
      </c>
      <c r="AT12" s="9">
        <f>IFERROR((VLOOKUP(AQ12,$V$100:$AB$179,5,0)*0.01)*AV12,0)</f>
        <v>0</v>
      </c>
      <c r="AU12" s="9">
        <f>IFERROR((VLOOKUP(AQ12,$V$100:$AB$179,7,0)*0.01)*AV12,0)</f>
        <v>50</v>
      </c>
      <c r="AV12" s="9">
        <f>IFERROR($AU$11*Q79/(VLOOKUP(AQ12,$V$100:$AB$179,7,0)/100),0)</f>
        <v>238.0952380952381</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48</v>
      </c>
      <c r="AM15" s="302">
        <v>6</v>
      </c>
      <c r="AO15" s="7"/>
      <c r="AP15" s="7"/>
      <c r="AQ15" s="7"/>
      <c r="AR15" s="7"/>
      <c r="AS15" s="28">
        <f>AS11-(SUM(AS12:AS14))</f>
        <v>210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210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48</v>
      </c>
      <c r="AM18" s="302">
        <v>6</v>
      </c>
      <c r="AO18" s="7"/>
      <c r="AP18" s="254">
        <v>13</v>
      </c>
      <c r="AQ18" s="295" t="str">
        <f>O87</f>
        <v>Torta de mamona Hortibraz</v>
      </c>
      <c r="AR18" s="295"/>
      <c r="AS18" s="9">
        <f>IFERROR((VLOOKUP(AQ18,$V$100:$AB$179,3,0)*0.01)*AV18,0)</f>
        <v>210</v>
      </c>
      <c r="AT18" s="9">
        <f>IFERROR((VLOOKUP(AQ18,$V$100:$AB$179,5,0)*0.01)*AV18,0)</f>
        <v>0</v>
      </c>
      <c r="AU18" s="9">
        <f>IFERROR((VLOOKUP(AQ18,$V$100:$AB$179,7,0)*0.01)*AV18,0)</f>
        <v>0</v>
      </c>
      <c r="AV18" s="9">
        <f>IFERROR($AS$17*Q87/(VLOOKUP(AQ18,$V$100:$AB$179,3,0)/100),0)</f>
        <v>3500</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11.553684210526312</v>
      </c>
      <c r="J28" s="32">
        <f>J27/10</f>
        <v>0.25789473684210518</v>
      </c>
      <c r="M28" s="246"/>
      <c r="N28" s="241"/>
      <c r="O28" s="241"/>
      <c r="P28" s="241"/>
      <c r="Q28" s="241"/>
      <c r="R28" s="247"/>
      <c r="U28" s="236">
        <v>0</v>
      </c>
      <c r="V28" s="236">
        <v>50</v>
      </c>
      <c r="W28" s="236" t="s">
        <v>68</v>
      </c>
      <c r="X28" s="236" t="str">
        <f>CONCATENATE(U28," - ",W28)</f>
        <v>0 - baixo</v>
      </c>
      <c r="Y28" s="236">
        <v>10</v>
      </c>
      <c r="Z28" s="236">
        <v>10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0</v>
      </c>
      <c r="V29" s="236">
        <v>50</v>
      </c>
      <c r="W29" s="236" t="s">
        <v>69</v>
      </c>
      <c r="X29" s="236" t="str">
        <f t="shared" ref="X29:X42" si="8">CONCATENATE(U29," - ",W29)</f>
        <v>0 - medio</v>
      </c>
      <c r="Y29" s="236">
        <v>10</v>
      </c>
      <c r="Z29" s="236">
        <v>10</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48"/>
      <c r="U30" s="236">
        <v>0</v>
      </c>
      <c r="V30" s="236">
        <v>50</v>
      </c>
      <c r="W30" s="236" t="s">
        <v>70</v>
      </c>
      <c r="X30" s="236" t="str">
        <f t="shared" si="8"/>
        <v>0 - adequado</v>
      </c>
      <c r="Y30" s="236">
        <v>10</v>
      </c>
      <c r="Z30" s="236">
        <v>10</v>
      </c>
      <c r="AB30" s="255" t="s">
        <v>33</v>
      </c>
      <c r="AC30" s="4">
        <f>(VLOOKUP($P$39,$U$28:$V$42,2,0))/AD30</f>
        <v>210</v>
      </c>
      <c r="AD30" s="184">
        <f>'Abacate formação (1)'!AD30</f>
        <v>1</v>
      </c>
      <c r="AE30" s="258" t="s">
        <v>34</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1</v>
      </c>
      <c r="V31" s="236">
        <v>30</v>
      </c>
      <c r="W31" s="236" t="s">
        <v>68</v>
      </c>
      <c r="X31" s="236" t="str">
        <f t="shared" si="8"/>
        <v>1 - baixo</v>
      </c>
      <c r="Y31" s="236">
        <v>80</v>
      </c>
      <c r="Z31" s="236">
        <v>50</v>
      </c>
      <c r="AB31" s="255" t="s">
        <v>66</v>
      </c>
      <c r="AC31" s="255">
        <f>(VLOOKUP(AB36,X28:Z42,2,0))/AD31</f>
        <v>190</v>
      </c>
      <c r="AD31" s="184">
        <f>'Abacate formação (1)'!AD31</f>
        <v>1</v>
      </c>
      <c r="AE31" s="258">
        <v>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48"/>
      <c r="U32" s="236">
        <v>1</v>
      </c>
      <c r="V32" s="236">
        <v>30</v>
      </c>
      <c r="W32" s="236" t="s">
        <v>69</v>
      </c>
      <c r="X32" s="236" t="str">
        <f t="shared" si="8"/>
        <v>1 - medio</v>
      </c>
      <c r="Y32" s="236">
        <v>50</v>
      </c>
      <c r="Z32" s="236">
        <v>30</v>
      </c>
      <c r="AB32" s="255" t="s">
        <v>67</v>
      </c>
      <c r="AC32" s="255">
        <f>(VLOOKUP($AB$39,X28:Z42,3,0))/AD32</f>
        <v>50</v>
      </c>
      <c r="AD32" s="184">
        <f>'Abacate formação (1)'!AD32</f>
        <v>1</v>
      </c>
      <c r="AE32" s="258">
        <v>1</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1</v>
      </c>
      <c r="V33" s="236">
        <v>30</v>
      </c>
      <c r="W33" s="236" t="s">
        <v>70</v>
      </c>
      <c r="X33" s="236" t="str">
        <f t="shared" si="8"/>
        <v>1 - adequado</v>
      </c>
      <c r="Y33" s="236">
        <v>30</v>
      </c>
      <c r="Z33" s="236">
        <v>20</v>
      </c>
      <c r="AE33" s="258">
        <v>2</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2</v>
      </c>
      <c r="V34" s="236">
        <v>80</v>
      </c>
      <c r="W34" s="236" t="s">
        <v>68</v>
      </c>
      <c r="X34" s="236" t="str">
        <f t="shared" si="8"/>
        <v>2 - baixo</v>
      </c>
      <c r="Y34" s="236">
        <v>115</v>
      </c>
      <c r="Z34" s="236">
        <v>80</v>
      </c>
      <c r="AE34" s="258">
        <v>3</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125</v>
      </c>
      <c r="P35" s="17">
        <f>10000/($O$30*$Q$30)</f>
        <v>125</v>
      </c>
      <c r="Q35" s="17" t="e">
        <f>10000/((($O$32/2)+($P$32/2))*$Q$32)</f>
        <v>#DIV/0!</v>
      </c>
      <c r="R35" s="251"/>
      <c r="U35" s="236">
        <v>2</v>
      </c>
      <c r="V35" s="236">
        <v>80</v>
      </c>
      <c r="W35" s="236" t="s">
        <v>69</v>
      </c>
      <c r="X35" s="236" t="str">
        <f t="shared" si="8"/>
        <v>2 - medio</v>
      </c>
      <c r="Y35" s="236">
        <v>80</v>
      </c>
      <c r="Z35" s="236">
        <v>50</v>
      </c>
      <c r="AB35" s="301" t="s">
        <v>72</v>
      </c>
      <c r="AC35" s="301"/>
      <c r="AE35" s="258">
        <v>4</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2</v>
      </c>
      <c r="V36" s="236">
        <v>80</v>
      </c>
      <c r="W36" s="236" t="s">
        <v>70</v>
      </c>
      <c r="X36" s="236" t="str">
        <f t="shared" si="8"/>
        <v>2 - adequado</v>
      </c>
      <c r="Y36" s="236">
        <v>40</v>
      </c>
      <c r="Z36" s="236">
        <v>30</v>
      </c>
      <c r="AB36" s="301" t="str">
        <f>CONCATENATE($P$39," - ",$AD$8)</f>
        <v>4 -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U37" s="236">
        <v>3</v>
      </c>
      <c r="V37" s="236">
        <v>150</v>
      </c>
      <c r="W37" s="236" t="s">
        <v>68</v>
      </c>
      <c r="X37" s="236" t="str">
        <f t="shared" si="8"/>
        <v>3 - baixo</v>
      </c>
      <c r="Y37" s="236">
        <v>160</v>
      </c>
      <c r="Z37" s="236">
        <v>110</v>
      </c>
      <c r="AI37" s="15">
        <v>0.7</v>
      </c>
      <c r="AK37" s="73" t="str">
        <f>'Adubos e corretivos (1)'!E128</f>
        <v>Compostos orgânicos</v>
      </c>
      <c r="AL37" s="105">
        <f>'Adubos e corretivos (1)'!F128</f>
        <v>0.7</v>
      </c>
      <c r="AO37" s="29"/>
      <c r="AP37" s="29"/>
      <c r="AQ37" s="29"/>
      <c r="AR37" s="29"/>
      <c r="AS37" s="28">
        <f>IF(AS24&gt;0,AS24,0)</f>
        <v>16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U38" s="236">
        <v>3</v>
      </c>
      <c r="V38" s="236">
        <v>150</v>
      </c>
      <c r="W38" s="236" t="s">
        <v>69</v>
      </c>
      <c r="X38" s="236" t="str">
        <f t="shared" si="8"/>
        <v>3 - medio</v>
      </c>
      <c r="Y38" s="236">
        <v>110</v>
      </c>
      <c r="Z38" s="236">
        <v>70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236" t="s">
        <v>163</v>
      </c>
      <c r="P39" s="330">
        <v>4</v>
      </c>
      <c r="Q39" s="330"/>
      <c r="R39" s="248"/>
      <c r="U39" s="236">
        <v>3</v>
      </c>
      <c r="V39" s="236">
        <v>150</v>
      </c>
      <c r="W39" s="236" t="s">
        <v>70</v>
      </c>
      <c r="X39" s="236" t="str">
        <f t="shared" si="8"/>
        <v>3 - adequado</v>
      </c>
      <c r="Y39" s="236">
        <v>50</v>
      </c>
      <c r="Z39" s="236">
        <v>40</v>
      </c>
      <c r="AB39" s="301" t="str">
        <f>CONCATENATE($P$39," - ",$AD$22)</f>
        <v>4 -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U40" s="258">
        <v>4</v>
      </c>
      <c r="V40" s="236">
        <v>210</v>
      </c>
      <c r="W40" s="236" t="s">
        <v>68</v>
      </c>
      <c r="X40" s="236" t="str">
        <f t="shared" si="8"/>
        <v>4 - baixo</v>
      </c>
      <c r="Y40" s="236">
        <v>190</v>
      </c>
      <c r="Z40" s="236">
        <v>130</v>
      </c>
      <c r="AI40" s="15">
        <v>1</v>
      </c>
      <c r="AO40" s="7"/>
      <c r="AP40" s="295" t="str">
        <f>O102</f>
        <v>Ácido Bórico</v>
      </c>
      <c r="AQ40" s="295"/>
      <c r="AR40" s="9">
        <f>IFERROR($AS$37/((VLOOKUP(AP40,$V$100:$AO$179,11,0)*0.01)),0)</f>
        <v>91.428571428571416</v>
      </c>
      <c r="AS40" s="9">
        <f>IFERROR($AT$37/((VLOOKUP(AP40,$V$100:$AO$179,14,0)*0.01)),0)</f>
        <v>0</v>
      </c>
      <c r="AT40" s="9">
        <f>IFERROR($AU$37/((VLOOKUP(AP40,$V$100:$AO$179,12,0)*0.01)),0)</f>
        <v>0</v>
      </c>
      <c r="AU40" s="9">
        <f>IFERROR($AV$37/((VLOOKUP(AP40,$V$100:$AO$179,13,0)*0.01)),0)</f>
        <v>0</v>
      </c>
      <c r="AV40" s="9">
        <f>MAX(AR40:AU40)</f>
        <v>91.428571428571416</v>
      </c>
      <c r="AW40" s="9">
        <f>IFERROR(AV40*(VLOOKUP(AP40,$V$100:$AO$179,11,0)*0.01),0)</f>
        <v>16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U41" s="258">
        <v>4</v>
      </c>
      <c r="V41" s="236">
        <v>210</v>
      </c>
      <c r="W41" s="236" t="s">
        <v>69</v>
      </c>
      <c r="X41" s="236" t="str">
        <f t="shared" si="8"/>
        <v>4 - medio</v>
      </c>
      <c r="Y41" s="236">
        <v>130</v>
      </c>
      <c r="Z41" s="236">
        <v>85</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U42" s="258">
        <v>4</v>
      </c>
      <c r="V42" s="236">
        <v>210</v>
      </c>
      <c r="W42" s="236" t="s">
        <v>70</v>
      </c>
      <c r="X42" s="236" t="str">
        <f t="shared" si="8"/>
        <v>4 - adequado</v>
      </c>
      <c r="Y42" s="236">
        <v>60</v>
      </c>
      <c r="Z42" s="236">
        <v>50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1085.7142857142858</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(1)'!C127</f>
        <v>70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238.0952380952381</v>
      </c>
      <c r="K47" s="35"/>
      <c r="M47" s="303"/>
      <c r="N47" s="332"/>
      <c r="O47" s="333" t="s">
        <v>442</v>
      </c>
      <c r="P47" s="335"/>
      <c r="Q47" s="18">
        <v>1</v>
      </c>
      <c r="R47" s="248"/>
      <c r="U47" s="236" t="s">
        <v>104</v>
      </c>
      <c r="V47" s="2">
        <f>IFERROR((((V46-P24)*P25)/V49),0)</f>
        <v>2.5789473684210518</v>
      </c>
      <c r="X47" s="336" t="s">
        <v>182</v>
      </c>
      <c r="Y47" s="336"/>
      <c r="Z47" s="2">
        <f>IFERROR((($V$50/$Z$46)*$V$47),0)</f>
        <v>12.725448857697671</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3500</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135.71428571428572</v>
      </c>
      <c r="E51" s="332" t="str">
        <f>IF(J45&gt;0,"quilos para área total","-")</f>
        <v>quilos para área total</v>
      </c>
      <c r="F51" s="332"/>
      <c r="G51" s="332"/>
      <c r="H51" s="102" t="s">
        <v>447</v>
      </c>
      <c r="I51" s="102">
        <f>I52*$E$18*$I$18</f>
        <v>315.53571428571439</v>
      </c>
      <c r="J51" s="33">
        <f>AV19</f>
        <v>0</v>
      </c>
      <c r="K51" s="35"/>
      <c r="L51" s="240"/>
      <c r="M51" s="249"/>
      <c r="N51" s="250"/>
      <c r="O51" s="250"/>
      <c r="P51" s="250"/>
      <c r="Q51" s="250"/>
      <c r="R51" s="251"/>
      <c r="U51" s="236" t="s">
        <v>247</v>
      </c>
      <c r="V51" s="2">
        <f>V48*$Q$47</f>
        <v>2.5789473684210518</v>
      </c>
      <c r="AT51" s="237" t="s">
        <v>264</v>
      </c>
      <c r="AU51" s="96" t="str">
        <f>AK29</f>
        <v>Composto de lixo (COL)</v>
      </c>
      <c r="AV51" s="237">
        <v>12</v>
      </c>
    </row>
    <row r="52" spans="2:50" ht="19.5" customHeight="1" x14ac:dyDescent="0.25">
      <c r="B52" s="327"/>
      <c r="C52" s="327"/>
      <c r="D52" s="109">
        <f>IF(J45&gt;0,J45,"-")</f>
        <v>1085.7142857142858</v>
      </c>
      <c r="E52" s="332" t="str">
        <f>IF(J45&gt;0,"gramas por planta","-")</f>
        <v>gramas por planta</v>
      </c>
      <c r="F52" s="332"/>
      <c r="G52" s="332"/>
      <c r="H52" s="102" t="s">
        <v>446</v>
      </c>
      <c r="I52" s="102">
        <f>IFERROR((D52/1000)*VLOOKUP(B51,$V$100:$W$179,2,0),0)</f>
        <v>2.5242857142857149</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29.761904761904763</v>
      </c>
      <c r="E57" s="354" t="str">
        <f>IF(J47&gt;0,"quilos para área total","-")</f>
        <v>quilos para área total</v>
      </c>
      <c r="F57" s="354"/>
      <c r="G57" s="354"/>
      <c r="H57" s="102" t="s">
        <v>447</v>
      </c>
      <c r="I57" s="102">
        <f>I58*$E$18*$I$18</f>
        <v>86.30952380952381</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238.0952380952381</v>
      </c>
      <c r="E58" s="332" t="str">
        <f>IF(J47&gt;0,"gramas por planta","-")</f>
        <v>gramas por planta</v>
      </c>
      <c r="F58" s="332"/>
      <c r="G58" s="332"/>
      <c r="H58" s="102" t="s">
        <v>446</v>
      </c>
      <c r="I58" s="102">
        <f>IFERROR((D58/1000)*VLOOKUP(B57,$V$100:$W$179,2,0),0)</f>
        <v>0.69047619047619047</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437.5</v>
      </c>
      <c r="E66" s="354" t="str">
        <f>IF(J50&gt;0,"quilos para área total","-")</f>
        <v>quilos para área total</v>
      </c>
      <c r="F66" s="354"/>
      <c r="G66" s="354"/>
      <c r="H66" s="102" t="s">
        <v>447</v>
      </c>
      <c r="I66" s="102">
        <f>I67*$E$18*$I$18</f>
        <v>665</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3500</v>
      </c>
      <c r="E67" s="332" t="str">
        <f>IF(J50&gt;0,"gramas por planta","-")</f>
        <v>gramas por planta</v>
      </c>
      <c r="F67" s="332"/>
      <c r="G67" s="332"/>
      <c r="H67" s="102" t="s">
        <v>446</v>
      </c>
      <c r="I67" s="102">
        <f>IFERROR((D67/1000)*VLOOKUP(B66,$V$100:$W$179,2,0),0)</f>
        <v>5.32</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91.428571428571416</v>
      </c>
      <c r="E83" s="332" t="str">
        <f>IF(AV40&gt;0,"gramas por planta","-")</f>
        <v>gramas por planta</v>
      </c>
      <c r="F83" s="332"/>
      <c r="G83" s="332"/>
      <c r="H83" s="102" t="s">
        <v>446</v>
      </c>
      <c r="I83" s="102">
        <f>IFERROR((D83/1000)*VLOOKUP(B82,$V$100:$W$179,2,0),0)</f>
        <v>0.50468571428571418</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210</v>
      </c>
      <c r="P96" s="26">
        <f>$AC$31</f>
        <v>190</v>
      </c>
      <c r="Q96" s="26">
        <f>$AC$32</f>
        <v>50</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2844.8914786967416</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2844.8914786967416</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22.759131829573931</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22.759131829573931</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16</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$AE$31:$AE$35</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(1)'!$C$104:$C$113</xm:f>
          </x14:formula1>
          <xm:sqref>O56:Q56</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(1)'!$C$3:$C$62</xm:f>
          </x14:formula1>
          <xm:sqref>O71:P73 O79:P81 O87:P89 O117:P143</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400</v>
      </c>
      <c r="AT5" s="9">
        <f>$AC$31</f>
        <v>480</v>
      </c>
      <c r="AU5" s="9">
        <f>$AC$32</f>
        <v>320</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480.00000000000011</v>
      </c>
      <c r="AU7" s="9">
        <f>IFERROR((VLOOKUP(AQ7,$V$100:$AB$179,7,0)*0.01)*AV7,0)</f>
        <v>0</v>
      </c>
      <c r="AV7" s="9">
        <f>IFERROR($AT$5*Q72/(VLOOKUP(AQ7,$V$100:$AB$179,5,0)/100),0)</f>
        <v>2742.8571428571431</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8</v>
      </c>
      <c r="AL9" s="301">
        <f>(AM9*1000)/$E$18</f>
        <v>8</v>
      </c>
      <c r="AM9" s="302">
        <v>1</v>
      </c>
      <c r="AO9" s="7"/>
      <c r="AP9" s="7"/>
      <c r="AQ9" s="7"/>
      <c r="AR9" s="7"/>
      <c r="AS9" s="28">
        <f>AS5-(SUM(AS6:AS8))</f>
        <v>400</v>
      </c>
      <c r="AT9" s="28">
        <f>AT5-(SUM(AT6:AT8))</f>
        <v>0</v>
      </c>
      <c r="AU9" s="28">
        <f>AU5-(SUM(AU6:AU8))</f>
        <v>320</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400</v>
      </c>
      <c r="AT11" s="9">
        <f t="shared" ref="AT11:AU11" si="0">AT9</f>
        <v>0</v>
      </c>
      <c r="AU11" s="9">
        <f t="shared" si="0"/>
        <v>320</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4</v>
      </c>
      <c r="AM12" s="302">
        <v>0.5</v>
      </c>
      <c r="AO12" s="7"/>
      <c r="AP12" s="186">
        <v>7</v>
      </c>
      <c r="AQ12" s="295" t="str">
        <f>O79</f>
        <v>Kmag</v>
      </c>
      <c r="AR12" s="295"/>
      <c r="AS12" s="9">
        <f>IFERROR((VLOOKUP(AQ12,$V$100:$AB$179,3,0)*0.01)*AV12,0)</f>
        <v>0</v>
      </c>
      <c r="AT12" s="9">
        <f>IFERROR((VLOOKUP(AQ12,$V$100:$AB$179,5,0)*0.01)*AV12,0)</f>
        <v>0</v>
      </c>
      <c r="AU12" s="9">
        <f>IFERROR((VLOOKUP(AQ12,$V$100:$AB$179,7,0)*0.01)*AV12,0)</f>
        <v>320</v>
      </c>
      <c r="AV12" s="9">
        <f>IFERROR($AU$11*Q79/(VLOOKUP(AQ12,$V$100:$AB$179,7,0)/100),0)</f>
        <v>1523.8095238095239</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8</v>
      </c>
      <c r="AM15" s="302">
        <v>1</v>
      </c>
      <c r="AO15" s="7"/>
      <c r="AP15" s="7"/>
      <c r="AQ15" s="7"/>
      <c r="AR15" s="7"/>
      <c r="AS15" s="28">
        <f>AS11-(SUM(AS12:AS14))</f>
        <v>400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400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40</v>
      </c>
      <c r="AM18" s="302">
        <v>5</v>
      </c>
      <c r="AO18" s="7"/>
      <c r="AP18" s="186">
        <v>13</v>
      </c>
      <c r="AQ18" s="295" t="str">
        <f>O87</f>
        <v>Torta de mamona Hortibraz</v>
      </c>
      <c r="AR18" s="295"/>
      <c r="AS18" s="9">
        <f>IFERROR((VLOOKUP(AQ18,$V$100:$AB$179,3,0)*0.01)*AV18,0)</f>
        <v>400</v>
      </c>
      <c r="AT18" s="9">
        <f>IFERROR((VLOOKUP(AQ18,$V$100:$AB$179,5,0)*0.01)*AV18,0)</f>
        <v>0</v>
      </c>
      <c r="AU18" s="9">
        <f>IFERROR((VLOOKUP(AQ18,$V$100:$AB$179,7,0)*0.01)*AV18,0)</f>
        <v>0</v>
      </c>
      <c r="AV18" s="9">
        <f>IFERROR($AS$17*Q87/(VLOOKUP(AQ18,$V$100:$AB$179,3,0)/100),0)</f>
        <v>6666.666666666667</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8</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300" t="s">
        <v>281</v>
      </c>
      <c r="V26" s="298"/>
      <c r="W26" s="298"/>
      <c r="X26" s="298"/>
      <c r="Y26" s="298"/>
      <c r="Z26" s="299"/>
      <c r="AO26" s="7"/>
      <c r="AP26" s="326"/>
      <c r="AQ26" s="326"/>
      <c r="AR26" s="326"/>
      <c r="AS26" s="3">
        <f>AK9</f>
        <v>8</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191" t="s">
        <v>271</v>
      </c>
      <c r="V27" s="191" t="s">
        <v>282</v>
      </c>
      <c r="W27" s="191" t="s">
        <v>75</v>
      </c>
      <c r="X27" s="191" t="s">
        <v>71</v>
      </c>
      <c r="Y27" s="191" t="s">
        <v>283</v>
      </c>
      <c r="Z27" s="191"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11.553684210526312</v>
      </c>
      <c r="J28" s="32">
        <f>J27/10</f>
        <v>0.25789473684210518</v>
      </c>
      <c r="M28" s="207"/>
      <c r="N28" s="201"/>
      <c r="O28" s="201"/>
      <c r="P28" s="201"/>
      <c r="Q28" s="201"/>
      <c r="R28" s="208"/>
      <c r="U28" s="191" t="s">
        <v>40</v>
      </c>
      <c r="V28" s="191">
        <v>20000</v>
      </c>
      <c r="W28" s="191" t="s">
        <v>68</v>
      </c>
      <c r="X28" s="191" t="str">
        <f>CONCATENATE(U28," - ",W28)</f>
        <v>&lt; 10 - baixo</v>
      </c>
      <c r="Y28" s="191">
        <v>30000</v>
      </c>
      <c r="Z28" s="191">
        <v>40000</v>
      </c>
      <c r="AE28" s="190" t="s">
        <v>63</v>
      </c>
      <c r="AG28" s="191" t="s">
        <v>63</v>
      </c>
      <c r="AI28" s="15" t="s">
        <v>63</v>
      </c>
      <c r="AK28" s="15" t="s">
        <v>63</v>
      </c>
      <c r="AL28" s="191"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40</v>
      </c>
      <c r="V29" s="191">
        <v>20000</v>
      </c>
      <c r="W29" s="191" t="s">
        <v>69</v>
      </c>
      <c r="X29" s="191" t="str">
        <f t="shared" ref="X29:X42" si="8">CONCATENATE(U29," - ",W29)</f>
        <v>&lt; 10 - medio</v>
      </c>
      <c r="Y29" s="191">
        <v>20000</v>
      </c>
      <c r="Z29" s="191">
        <v>30000</v>
      </c>
      <c r="AB29" s="312" t="s">
        <v>65</v>
      </c>
      <c r="AC29" s="312"/>
      <c r="AE29" s="190" t="s">
        <v>271</v>
      </c>
      <c r="AG29" s="191"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09"/>
      <c r="U30" s="191" t="s">
        <v>40</v>
      </c>
      <c r="V30" s="191">
        <v>20000</v>
      </c>
      <c r="W30" s="191" t="s">
        <v>70</v>
      </c>
      <c r="X30" s="191" t="str">
        <f t="shared" si="8"/>
        <v>&lt; 10 - adequado</v>
      </c>
      <c r="Y30" s="191">
        <v>0</v>
      </c>
      <c r="Z30" s="191">
        <v>20000</v>
      </c>
      <c r="AB30" s="202" t="s">
        <v>33</v>
      </c>
      <c r="AC30" s="4">
        <f>(VLOOKUP($P$39,$U$28:$V$42,2,0)/$E$18)/AD30</f>
        <v>400</v>
      </c>
      <c r="AD30" s="184">
        <f>'Abacate produção (1)'!AD30</f>
        <v>1</v>
      </c>
      <c r="AE30" s="190" t="s">
        <v>34</v>
      </c>
      <c r="AG30" s="191"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44</v>
      </c>
      <c r="V31" s="191">
        <v>30000</v>
      </c>
      <c r="W31" s="191" t="s">
        <v>68</v>
      </c>
      <c r="X31" s="191" t="str">
        <f t="shared" si="8"/>
        <v>10,1 - 15 - baixo</v>
      </c>
      <c r="Y31" s="191">
        <v>35000</v>
      </c>
      <c r="Z31" s="191">
        <v>50000</v>
      </c>
      <c r="AB31" s="202" t="s">
        <v>66</v>
      </c>
      <c r="AC31" s="202">
        <f>(VLOOKUP(AB36,X28:Z42,2,0)/$E$18)/AD31</f>
        <v>480</v>
      </c>
      <c r="AD31" s="184">
        <f>'Abacate produção (1)'!AD31</f>
        <v>1</v>
      </c>
      <c r="AE31" s="190" t="s">
        <v>40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09"/>
      <c r="U32" s="191" t="s">
        <v>44</v>
      </c>
      <c r="V32" s="191">
        <v>30000</v>
      </c>
      <c r="W32" s="191" t="s">
        <v>69</v>
      </c>
      <c r="X32" s="191" t="str">
        <f t="shared" si="8"/>
        <v>10,1 - 15 - medio</v>
      </c>
      <c r="Y32" s="191">
        <v>25000</v>
      </c>
      <c r="Z32" s="191">
        <v>35000</v>
      </c>
      <c r="AB32" s="202" t="s">
        <v>67</v>
      </c>
      <c r="AC32" s="202">
        <f>(VLOOKUP($AB$39,X28:Z42,3,0)/$E$18)/AD32</f>
        <v>320</v>
      </c>
      <c r="AD32" s="184">
        <f>'Abacate produção (1)'!AD32</f>
        <v>1</v>
      </c>
      <c r="AE32" s="190" t="s">
        <v>44</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44</v>
      </c>
      <c r="V33" s="191">
        <v>30000</v>
      </c>
      <c r="W33" s="191" t="s">
        <v>70</v>
      </c>
      <c r="X33" s="191" t="str">
        <f t="shared" si="8"/>
        <v>10,1 - 15 - adequado</v>
      </c>
      <c r="Y33" s="191">
        <v>0</v>
      </c>
      <c r="Z33" s="191">
        <v>25000</v>
      </c>
      <c r="AE33" s="190" t="s">
        <v>293</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293</v>
      </c>
      <c r="V34" s="191">
        <v>40000</v>
      </c>
      <c r="W34" s="191" t="s">
        <v>68</v>
      </c>
      <c r="X34" s="191" t="str">
        <f t="shared" si="8"/>
        <v>15,1 - 20 - baixo</v>
      </c>
      <c r="Y34" s="191">
        <v>50000</v>
      </c>
      <c r="Z34" s="191">
        <v>70000</v>
      </c>
      <c r="AE34" s="190" t="s">
        <v>294</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125</v>
      </c>
      <c r="P35" s="17">
        <f>10000/($O$30*$Q$30)</f>
        <v>125</v>
      </c>
      <c r="Q35" s="17" t="e">
        <f>10000/((($O$32/2)+($P$32/2))*$Q$32)</f>
        <v>#DIV/0!</v>
      </c>
      <c r="R35" s="211"/>
      <c r="U35" s="191" t="s">
        <v>293</v>
      </c>
      <c r="V35" s="191">
        <v>40000</v>
      </c>
      <c r="W35" s="191" t="s">
        <v>69</v>
      </c>
      <c r="X35" s="191" t="str">
        <f t="shared" si="8"/>
        <v>15,1 - 20 - medio</v>
      </c>
      <c r="Y35" s="191">
        <v>30000</v>
      </c>
      <c r="Z35" s="191">
        <v>50000</v>
      </c>
      <c r="AB35" s="301" t="s">
        <v>72</v>
      </c>
      <c r="AC35" s="301"/>
      <c r="AE35" s="190" t="s">
        <v>489</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91" t="s">
        <v>293</v>
      </c>
      <c r="V36" s="191">
        <v>40000</v>
      </c>
      <c r="W36" s="191" t="s">
        <v>70</v>
      </c>
      <c r="X36" s="191" t="str">
        <f t="shared" si="8"/>
        <v>15,1 - 20 - adequado</v>
      </c>
      <c r="Y36" s="191">
        <v>0</v>
      </c>
      <c r="Z36" s="191">
        <v>30000</v>
      </c>
      <c r="AB36" s="301" t="str">
        <f>CONCATENATE($P$39," - ",$AD$8)</f>
        <v>20,1 - 25 -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294</v>
      </c>
      <c r="V37" s="191">
        <v>50000</v>
      </c>
      <c r="W37" s="191" t="s">
        <v>68</v>
      </c>
      <c r="X37" s="191" t="str">
        <f t="shared" si="8"/>
        <v>20,1 - 25 - baixo</v>
      </c>
      <c r="Y37" s="191">
        <v>60000</v>
      </c>
      <c r="Z37" s="191">
        <v>90000</v>
      </c>
      <c r="AI37" s="15">
        <v>0.7</v>
      </c>
      <c r="AK37" s="73" t="str">
        <f>'Adubos e corretivos (1)'!E128</f>
        <v>Compostos orgânicos</v>
      </c>
      <c r="AL37" s="105">
        <f>'Adubos e corretivos (1)'!F128</f>
        <v>0.7</v>
      </c>
      <c r="AO37" s="29"/>
      <c r="AP37" s="29"/>
      <c r="AQ37" s="29"/>
      <c r="AR37" s="29"/>
      <c r="AS37" s="28">
        <f>IF(AS24&gt;0,AS24,0)</f>
        <v>8</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294</v>
      </c>
      <c r="V38" s="191">
        <v>50000</v>
      </c>
      <c r="W38" s="191" t="s">
        <v>69</v>
      </c>
      <c r="X38" s="191" t="str">
        <f t="shared" si="8"/>
        <v>20,1 - 25 - medio</v>
      </c>
      <c r="Y38" s="191">
        <v>40000</v>
      </c>
      <c r="Z38" s="191">
        <v>60000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191" t="s">
        <v>274</v>
      </c>
      <c r="P39" s="330" t="s">
        <v>294</v>
      </c>
      <c r="Q39" s="330"/>
      <c r="R39" s="209"/>
      <c r="U39" s="191" t="s">
        <v>294</v>
      </c>
      <c r="V39" s="191">
        <v>50000</v>
      </c>
      <c r="W39" s="191" t="s">
        <v>70</v>
      </c>
      <c r="X39" s="191" t="str">
        <f t="shared" si="8"/>
        <v>20,1 - 25 - adequado</v>
      </c>
      <c r="Y39" s="191">
        <v>10000</v>
      </c>
      <c r="Z39" s="191">
        <v>40000</v>
      </c>
      <c r="AB39" s="301" t="str">
        <f>CONCATENATE($P$39," - ",$AD$22)</f>
        <v>20,1 - 25 -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U40" s="190" t="s">
        <v>489</v>
      </c>
      <c r="V40" s="191">
        <v>60000</v>
      </c>
      <c r="W40" s="191" t="s">
        <v>68</v>
      </c>
      <c r="X40" s="191" t="str">
        <f t="shared" si="8"/>
        <v>25,1 - 30 - baixo</v>
      </c>
      <c r="Y40" s="191">
        <v>80000</v>
      </c>
      <c r="Z40" s="191">
        <v>115000</v>
      </c>
      <c r="AI40" s="15">
        <v>1</v>
      </c>
      <c r="AO40" s="7"/>
      <c r="AP40" s="295" t="str">
        <f>O102</f>
        <v>Ácido Bórico</v>
      </c>
      <c r="AQ40" s="295"/>
      <c r="AR40" s="9">
        <f>IFERROR($AS$37/((VLOOKUP(AP40,$V$100:$AO$179,11,0)*0.01)),0)</f>
        <v>45.714285714285708</v>
      </c>
      <c r="AS40" s="9">
        <f>IFERROR($AT$37/((VLOOKUP(AP40,$V$100:$AO$179,14,0)*0.01)),0)</f>
        <v>0</v>
      </c>
      <c r="AT40" s="9">
        <f>IFERROR($AU$37/((VLOOKUP(AP40,$V$100:$AO$179,12,0)*0.01)),0)</f>
        <v>0</v>
      </c>
      <c r="AU40" s="9">
        <f>IFERROR($AV$37/((VLOOKUP(AP40,$V$100:$AO$179,13,0)*0.01)),0)</f>
        <v>0</v>
      </c>
      <c r="AV40" s="9">
        <f>MAX(AR40:AU40)</f>
        <v>45.714285714285708</v>
      </c>
      <c r="AW40" s="9">
        <f>IFERROR(AV40*(VLOOKUP(AP40,$V$100:$AO$179,11,0)*0.01),0)</f>
        <v>8</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U41" s="190" t="s">
        <v>489</v>
      </c>
      <c r="V41" s="191">
        <v>60000</v>
      </c>
      <c r="W41" s="191" t="s">
        <v>69</v>
      </c>
      <c r="X41" s="191" t="str">
        <f t="shared" si="8"/>
        <v>25,1 - 30 - medio</v>
      </c>
      <c r="Y41" s="191">
        <v>50000</v>
      </c>
      <c r="Z41" s="191">
        <v>80000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U42" s="190" t="s">
        <v>489</v>
      </c>
      <c r="V42" s="191">
        <v>60000</v>
      </c>
      <c r="W42" s="191" t="s">
        <v>70</v>
      </c>
      <c r="X42" s="191" t="str">
        <f t="shared" si="8"/>
        <v>25,1 - 30 - adequado</v>
      </c>
      <c r="Y42" s="191">
        <v>15000</v>
      </c>
      <c r="Z42" s="191">
        <v>50000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2742.8571428571431</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31">
        <f>'Adubos e corretivos (1)'!C127</f>
        <v>70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1523.8095238095239</v>
      </c>
      <c r="K47" s="35"/>
      <c r="M47" s="303"/>
      <c r="N47" s="332"/>
      <c r="O47" s="333" t="s">
        <v>442</v>
      </c>
      <c r="P47" s="335"/>
      <c r="Q47" s="18">
        <v>1</v>
      </c>
      <c r="R47" s="209"/>
      <c r="U47" s="191" t="s">
        <v>104</v>
      </c>
      <c r="V47" s="2">
        <f>IFERROR((((V46-P24)*P25)/V49),0)</f>
        <v>2.5789473684210518</v>
      </c>
      <c r="X47" s="336" t="s">
        <v>182</v>
      </c>
      <c r="Y47" s="336"/>
      <c r="Z47" s="2">
        <f>IFERROR((($V$50/$Z$46)*$V$47),0)</f>
        <v>12.725448857697671</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6666.666666666667</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342.85714285714289</v>
      </c>
      <c r="E51" s="332" t="str">
        <f>IF(J45&gt;0,"quilos para área total","-")</f>
        <v>quilos para área total</v>
      </c>
      <c r="F51" s="332"/>
      <c r="G51" s="332"/>
      <c r="H51" s="102" t="s">
        <v>447</v>
      </c>
      <c r="I51" s="102">
        <f>I52*$E$18*$I$18</f>
        <v>797.14285714285734</v>
      </c>
      <c r="J51" s="33">
        <f>AV19</f>
        <v>0</v>
      </c>
      <c r="K51" s="35"/>
      <c r="L51" s="188"/>
      <c r="M51" s="210"/>
      <c r="N51" s="200"/>
      <c r="O51" s="200"/>
      <c r="P51" s="200"/>
      <c r="Q51" s="200"/>
      <c r="R51" s="211"/>
      <c r="U51" s="191" t="s">
        <v>247</v>
      </c>
      <c r="V51" s="2">
        <f>V48*$Q$47</f>
        <v>2.5789473684210518</v>
      </c>
      <c r="AT51" s="187" t="s">
        <v>264</v>
      </c>
      <c r="AU51" s="96" t="str">
        <f>AK29</f>
        <v>Composto de lixo (COL)</v>
      </c>
      <c r="AV51" s="187">
        <v>12</v>
      </c>
    </row>
    <row r="52" spans="2:50" ht="19.5" customHeight="1" x14ac:dyDescent="0.25">
      <c r="B52" s="327"/>
      <c r="C52" s="327"/>
      <c r="D52" s="109">
        <f>IF(J45&gt;0,J45,"-")</f>
        <v>2742.8571428571431</v>
      </c>
      <c r="E52" s="332" t="str">
        <f>IF(J45&gt;0,"gramas por planta","-")</f>
        <v>gramas por planta</v>
      </c>
      <c r="F52" s="332"/>
      <c r="G52" s="332"/>
      <c r="H52" s="102" t="s">
        <v>446</v>
      </c>
      <c r="I52" s="102">
        <f>IFERROR((D52/1000)*VLOOKUP(B51,$V$100:$W$179,2,0),0)</f>
        <v>6.377142857142859</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190.47619047619048</v>
      </c>
      <c r="E57" s="354" t="str">
        <f>IF(J47&gt;0,"quilos para área total","-")</f>
        <v>quilos para área total</v>
      </c>
      <c r="F57" s="354"/>
      <c r="G57" s="354"/>
      <c r="H57" s="102" t="s">
        <v>447</v>
      </c>
      <c r="I57" s="102">
        <f>I58*$E$18*$I$18</f>
        <v>552.38095238095241</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1523.8095238095239</v>
      </c>
      <c r="E58" s="332" t="str">
        <f>IF(J47&gt;0,"gramas por planta","-")</f>
        <v>gramas por planta</v>
      </c>
      <c r="F58" s="332"/>
      <c r="G58" s="332"/>
      <c r="H58" s="102" t="s">
        <v>446</v>
      </c>
      <c r="I58" s="102">
        <f>IFERROR((D58/1000)*VLOOKUP(B57,$V$100:$W$179,2,0),0)</f>
        <v>4.4190476190476193</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833.33333333333337</v>
      </c>
      <c r="E66" s="354" t="str">
        <f>IF(J50&gt;0,"quilos para área total","-")</f>
        <v>quilos para área total</v>
      </c>
      <c r="F66" s="354"/>
      <c r="G66" s="354"/>
      <c r="H66" s="102" t="s">
        <v>447</v>
      </c>
      <c r="I66" s="102">
        <f>I67*$E$18*$I$18</f>
        <v>1266.6666666666667</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6666.666666666667</v>
      </c>
      <c r="E67" s="332" t="str">
        <f>IF(J50&gt;0,"gramas por planta","-")</f>
        <v>gramas por planta</v>
      </c>
      <c r="F67" s="332"/>
      <c r="G67" s="332"/>
      <c r="H67" s="102" t="s">
        <v>446</v>
      </c>
      <c r="I67" s="102">
        <f>IFERROR((D67/1000)*VLOOKUP(B66,$V$100:$W$179,2,0),0)</f>
        <v>10.133333333333335</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45.714285714285708</v>
      </c>
      <c r="E83" s="332" t="str">
        <f>IF(AV40&gt;0,"gramas por planta","-")</f>
        <v>gramas por planta</v>
      </c>
      <c r="F83" s="332"/>
      <c r="G83" s="332"/>
      <c r="H83" s="102" t="s">
        <v>446</v>
      </c>
      <c r="I83" s="102">
        <f>IFERROR((D83/1000)*VLOOKUP(B82,$V$100:$W$179,2,0),0)</f>
        <v>0.25234285714285709</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400</v>
      </c>
      <c r="P96" s="26">
        <f>$AC$31</f>
        <v>480</v>
      </c>
      <c r="Q96" s="26">
        <f>$AC$32</f>
        <v>320</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4362.6938596491227</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4362.6938596491227</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34.901550877192982</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34.901550877192982</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8</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90">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6:AR36"/>
    <mergeCell ref="B30:C31"/>
    <mergeCell ref="E30:G30"/>
    <mergeCell ref="AQ30:AR30"/>
    <mergeCell ref="E31:G31"/>
    <mergeCell ref="O31:Q31"/>
    <mergeCell ref="AQ31:AR31"/>
    <mergeCell ref="AP39:AQ39"/>
    <mergeCell ref="AP40:AQ40"/>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M4" sqref="M4:N25"/>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26</v>
      </c>
      <c r="AT5" s="9">
        <f>$AC$31</f>
        <v>28</v>
      </c>
      <c r="AU5" s="9">
        <f>$AC$32</f>
        <v>38</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28.000000000000004</v>
      </c>
      <c r="AU7" s="9">
        <f>IFERROR((VLOOKUP(AQ7,$V$100:$AB$179,7,0)*0.01)*AV7,0)</f>
        <v>0</v>
      </c>
      <c r="AV7" s="9">
        <f>IFERROR($AT$5*Q72/(VLOOKUP(AQ7,$V$100:$AB$179,5,0)/100),0)</f>
        <v>160</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0.4</v>
      </c>
      <c r="AL9" s="301">
        <f>(AM9*1000)/$E$18</f>
        <v>0.4</v>
      </c>
      <c r="AM9" s="302">
        <v>1</v>
      </c>
      <c r="AO9" s="7"/>
      <c r="AP9" s="7"/>
      <c r="AQ9" s="7"/>
      <c r="AR9" s="7"/>
      <c r="AS9" s="28">
        <f>AS5-(SUM(AS6:AS8))</f>
        <v>26</v>
      </c>
      <c r="AT9" s="28">
        <f>AT5-(SUM(AT6:AT8))</f>
        <v>0</v>
      </c>
      <c r="AU9" s="28">
        <f>AU5-(SUM(AU6:AU8))</f>
        <v>38</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26</v>
      </c>
      <c r="AT11" s="9">
        <f t="shared" ref="AT11:AU11" si="0">AT9</f>
        <v>0</v>
      </c>
      <c r="AU11" s="9">
        <f t="shared" si="0"/>
        <v>38</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0.2</v>
      </c>
      <c r="AM12" s="302">
        <v>0.5</v>
      </c>
      <c r="AO12" s="7"/>
      <c r="AP12" s="186">
        <v>7</v>
      </c>
      <c r="AQ12" s="295" t="str">
        <f>O79</f>
        <v>Kmag</v>
      </c>
      <c r="AR12" s="295"/>
      <c r="AS12" s="9">
        <f>IFERROR((VLOOKUP(AQ12,$V$100:$AB$179,3,0)*0.01)*AV12,0)</f>
        <v>0</v>
      </c>
      <c r="AT12" s="9">
        <f>IFERROR((VLOOKUP(AQ12,$V$100:$AB$179,5,0)*0.01)*AV12,0)</f>
        <v>0</v>
      </c>
      <c r="AU12" s="9">
        <f>IFERROR((VLOOKUP(AQ12,$V$100:$AB$179,7,0)*0.01)*AV12,0)</f>
        <v>38</v>
      </c>
      <c r="AV12" s="9">
        <f>IFERROR($AU$11*Q79/(VLOOKUP(AQ12,$V$100:$AB$179,7,0)/100),0)</f>
        <v>180.95238095238096</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0.4</v>
      </c>
      <c r="AM15" s="302">
        <v>1</v>
      </c>
      <c r="AO15" s="7"/>
      <c r="AP15" s="7"/>
      <c r="AQ15" s="7"/>
      <c r="AR15" s="7"/>
      <c r="AS15" s="28">
        <f>AS11-(SUM(AS12:AS14))</f>
        <v>26</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26</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2500</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2</v>
      </c>
      <c r="AM18" s="302">
        <v>5</v>
      </c>
      <c r="AO18" s="7"/>
      <c r="AP18" s="186">
        <v>13</v>
      </c>
      <c r="AQ18" s="295" t="str">
        <f>O87</f>
        <v>Torta de mamona Hortibraz</v>
      </c>
      <c r="AR18" s="295"/>
      <c r="AS18" s="9">
        <f>IFERROR((VLOOKUP(AQ18,$V$100:$AB$179,3,0)*0.01)*AV18,0)</f>
        <v>26</v>
      </c>
      <c r="AT18" s="9">
        <f>IFERROR((VLOOKUP(AQ18,$V$100:$AB$179,5,0)*0.01)*AV18,0)</f>
        <v>0</v>
      </c>
      <c r="AU18" s="9">
        <f>IFERROR((VLOOKUP(AQ18,$V$100:$AB$179,7,0)*0.01)*AV18,0)</f>
        <v>0</v>
      </c>
      <c r="AV18" s="9">
        <f>IFERROR($AS$17*Q87/(VLOOKUP(AQ18,$V$100:$AB$179,3,0)/100),0)</f>
        <v>433.33333333333337</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0.4</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300" t="s">
        <v>281</v>
      </c>
      <c r="V26" s="298"/>
      <c r="W26" s="298"/>
      <c r="X26" s="298"/>
      <c r="Y26" s="298"/>
      <c r="Z26" s="299"/>
      <c r="AO26" s="7"/>
      <c r="AP26" s="326"/>
      <c r="AQ26" s="326"/>
      <c r="AR26" s="326"/>
      <c r="AS26" s="3">
        <f>AK9</f>
        <v>0.4</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2.5789473684210518</v>
      </c>
      <c r="E27" s="329" t="str">
        <f>IF(J27&gt;0,"toneladas por hectare ou,","-")</f>
        <v>toneladas por hectare ou,</v>
      </c>
      <c r="F27" s="329"/>
      <c r="G27" s="329"/>
      <c r="H27" s="101" t="s">
        <v>447</v>
      </c>
      <c r="I27" s="101">
        <f>IFERROR((D27*1000*VLOOKUP(B27,$V$56:$W$68,2,0)*$O$34),0)</f>
        <v>1444.2105263157889</v>
      </c>
      <c r="J27" s="32">
        <f>V51</f>
        <v>2.5789473684210518</v>
      </c>
      <c r="U27" s="191" t="s">
        <v>271</v>
      </c>
      <c r="V27" s="191" t="s">
        <v>282</v>
      </c>
      <c r="W27" s="191" t="s">
        <v>75</v>
      </c>
      <c r="X27" s="191" t="s">
        <v>71</v>
      </c>
      <c r="Y27" s="191" t="s">
        <v>283</v>
      </c>
      <c r="Z27" s="191"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0.25789473684210518</v>
      </c>
      <c r="E28" s="332" t="str">
        <f>IF(J28&gt;0,"gramas por metro quadrado","-")</f>
        <v>gramas por metro quadrado</v>
      </c>
      <c r="F28" s="332"/>
      <c r="G28" s="332"/>
      <c r="H28" s="102" t="s">
        <v>419</v>
      </c>
      <c r="I28" s="102">
        <f>I27/$E$18</f>
        <v>0.57768421052631558</v>
      </c>
      <c r="J28" s="32">
        <f>J27/10</f>
        <v>0.25789473684210518</v>
      </c>
      <c r="M28" s="207"/>
      <c r="N28" s="201"/>
      <c r="O28" s="201"/>
      <c r="P28" s="201"/>
      <c r="Q28" s="201"/>
      <c r="R28" s="208"/>
      <c r="U28" s="191" t="s">
        <v>40</v>
      </c>
      <c r="V28" s="191">
        <v>30000</v>
      </c>
      <c r="W28" s="191" t="s">
        <v>68</v>
      </c>
      <c r="X28" s="191" t="str">
        <f>CONCATENATE(U28," - ",W28)</f>
        <v>&lt; 10 - baixo</v>
      </c>
      <c r="Y28" s="191">
        <v>20000</v>
      </c>
      <c r="Z28" s="191">
        <v>90000</v>
      </c>
      <c r="AE28" s="190" t="s">
        <v>63</v>
      </c>
      <c r="AG28" s="191" t="s">
        <v>63</v>
      </c>
      <c r="AI28" s="15" t="s">
        <v>63</v>
      </c>
      <c r="AK28" s="15" t="s">
        <v>63</v>
      </c>
      <c r="AL28" s="191"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40</v>
      </c>
      <c r="V29" s="191">
        <v>30000</v>
      </c>
      <c r="W29" s="191" t="s">
        <v>69</v>
      </c>
      <c r="X29" s="191" t="str">
        <f t="shared" ref="X29:X42" si="8">CONCATENATE(U29," - ",W29)</f>
        <v>&lt; 10 - medio</v>
      </c>
      <c r="Y29" s="191">
        <v>15000</v>
      </c>
      <c r="Z29" s="191">
        <v>60000</v>
      </c>
      <c r="AB29" s="312" t="s">
        <v>65</v>
      </c>
      <c r="AC29" s="312"/>
      <c r="AE29" s="190" t="s">
        <v>271</v>
      </c>
      <c r="AG29" s="191"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2</v>
      </c>
      <c r="P30" s="4" t="s">
        <v>179</v>
      </c>
      <c r="Q30" s="5">
        <v>2</v>
      </c>
      <c r="R30" s="209"/>
      <c r="U30" s="191" t="s">
        <v>40</v>
      </c>
      <c r="V30" s="191">
        <v>30000</v>
      </c>
      <c r="W30" s="191" t="s">
        <v>70</v>
      </c>
      <c r="X30" s="191" t="str">
        <f t="shared" si="8"/>
        <v>&lt; 10 - adequado</v>
      </c>
      <c r="Y30" s="191">
        <v>0</v>
      </c>
      <c r="Z30" s="191">
        <v>40000</v>
      </c>
      <c r="AB30" s="202" t="s">
        <v>33</v>
      </c>
      <c r="AC30" s="4">
        <f>(VLOOKUP($P$39,$U$28:$V$42,2,0)/$E$18)/AD30</f>
        <v>26</v>
      </c>
      <c r="AD30" s="184">
        <f>'Abacate produção (1)'!AD30</f>
        <v>1</v>
      </c>
      <c r="AE30" s="190" t="s">
        <v>34</v>
      </c>
      <c r="AG30" s="191"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44</v>
      </c>
      <c r="V31" s="191">
        <v>35000</v>
      </c>
      <c r="W31" s="191" t="s">
        <v>68</v>
      </c>
      <c r="X31" s="191" t="str">
        <f t="shared" si="8"/>
        <v>10,1 - 15 - baixo</v>
      </c>
      <c r="Y31" s="191">
        <v>40000</v>
      </c>
      <c r="Z31" s="191">
        <v>115000</v>
      </c>
      <c r="AB31" s="202" t="s">
        <v>66</v>
      </c>
      <c r="AC31" s="202">
        <f>(VLOOKUP(AB36,X28:Z42,2,0)/$E$18)/AD31</f>
        <v>28</v>
      </c>
      <c r="AD31" s="184">
        <f>'Abacate produção (1)'!AD31</f>
        <v>1</v>
      </c>
      <c r="AE31" s="190" t="s">
        <v>40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09"/>
      <c r="U32" s="191" t="s">
        <v>44</v>
      </c>
      <c r="V32" s="191">
        <v>35000</v>
      </c>
      <c r="W32" s="191" t="s">
        <v>69</v>
      </c>
      <c r="X32" s="191" t="str">
        <f t="shared" si="8"/>
        <v>10,1 - 15 - medio</v>
      </c>
      <c r="Y32" s="191">
        <v>30000</v>
      </c>
      <c r="Z32" s="191">
        <v>80000</v>
      </c>
      <c r="AB32" s="202" t="s">
        <v>67</v>
      </c>
      <c r="AC32" s="202">
        <f>(VLOOKUP($AB$39,X28:Z42,3,0)/$E$18)/AD32</f>
        <v>38</v>
      </c>
      <c r="AD32" s="184">
        <f>'Abacate produção (1)'!AD32</f>
        <v>1</v>
      </c>
      <c r="AE32" s="190" t="s">
        <v>44</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44</v>
      </c>
      <c r="V33" s="191">
        <v>35000</v>
      </c>
      <c r="W33" s="191" t="s">
        <v>70</v>
      </c>
      <c r="X33" s="191" t="str">
        <f t="shared" si="8"/>
        <v>10,1 - 15 - adequado</v>
      </c>
      <c r="Y33" s="191">
        <v>0</v>
      </c>
      <c r="Z33" s="191">
        <v>50000</v>
      </c>
      <c r="AE33" s="190" t="s">
        <v>293</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293</v>
      </c>
      <c r="V34" s="191">
        <v>50000</v>
      </c>
      <c r="W34" s="191" t="s">
        <v>68</v>
      </c>
      <c r="X34" s="191" t="str">
        <f t="shared" si="8"/>
        <v>15,1 - 20 - baixo</v>
      </c>
      <c r="Y34" s="191">
        <v>60000</v>
      </c>
      <c r="Z34" s="191">
        <v>155000</v>
      </c>
      <c r="AE34" s="190" t="s">
        <v>294</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2500</v>
      </c>
      <c r="P35" s="17">
        <f>10000/($O$30*$Q$30)</f>
        <v>2500</v>
      </c>
      <c r="Q35" s="17" t="e">
        <f>10000/((($O$32/2)+($P$32/2))*$Q$32)</f>
        <v>#DIV/0!</v>
      </c>
      <c r="R35" s="211"/>
      <c r="U35" s="191" t="s">
        <v>293</v>
      </c>
      <c r="V35" s="191">
        <v>50000</v>
      </c>
      <c r="W35" s="191" t="s">
        <v>69</v>
      </c>
      <c r="X35" s="191" t="str">
        <f t="shared" si="8"/>
        <v>15,1 - 20 - medio</v>
      </c>
      <c r="Y35" s="191">
        <v>40000</v>
      </c>
      <c r="Z35" s="191">
        <v>100000</v>
      </c>
      <c r="AB35" s="301" t="s">
        <v>72</v>
      </c>
      <c r="AC35" s="301"/>
      <c r="AE35" s="190" t="s">
        <v>489</v>
      </c>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91" t="s">
        <v>293</v>
      </c>
      <c r="V36" s="191">
        <v>50000</v>
      </c>
      <c r="W36" s="191" t="s">
        <v>70</v>
      </c>
      <c r="X36" s="191" t="str">
        <f t="shared" si="8"/>
        <v>15,1 - 20 - adequado</v>
      </c>
      <c r="Y36" s="191">
        <v>10000</v>
      </c>
      <c r="Z36" s="191">
        <v>70000</v>
      </c>
      <c r="AB36" s="301" t="str">
        <f>CONCATENATE($P$39," - ",$AD$8)</f>
        <v>20,1 - 25 -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294</v>
      </c>
      <c r="V37" s="191">
        <v>65000</v>
      </c>
      <c r="W37" s="191" t="s">
        <v>68</v>
      </c>
      <c r="X37" s="191" t="str">
        <f t="shared" si="8"/>
        <v>20,1 - 25 - baixo</v>
      </c>
      <c r="Y37" s="191">
        <v>70000</v>
      </c>
      <c r="Z37" s="191">
        <v>170000</v>
      </c>
      <c r="AI37" s="15">
        <v>0.7</v>
      </c>
      <c r="AK37" s="73" t="str">
        <f>'Adubos e corretivos (1)'!E128</f>
        <v>Compostos orgânicos</v>
      </c>
      <c r="AL37" s="105">
        <f>'Adubos e corretivos (1)'!F128</f>
        <v>0.7</v>
      </c>
      <c r="AO37" s="29"/>
      <c r="AP37" s="29"/>
      <c r="AQ37" s="29"/>
      <c r="AR37" s="29"/>
      <c r="AS37" s="28">
        <f>IF(AS24&gt;0,AS24,0)</f>
        <v>0.4</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294</v>
      </c>
      <c r="V38" s="191">
        <v>65000</v>
      </c>
      <c r="W38" s="191" t="s">
        <v>69</v>
      </c>
      <c r="X38" s="191" t="str">
        <f t="shared" si="8"/>
        <v>20,1 - 25 - medio</v>
      </c>
      <c r="Y38" s="191">
        <v>50000</v>
      </c>
      <c r="Z38" s="191">
        <v>115000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0.10829999999999999</v>
      </c>
      <c r="J39" s="33">
        <f>J38/10</f>
        <v>35.625</v>
      </c>
      <c r="K39" s="35"/>
      <c r="M39" s="303"/>
      <c r="N39" s="332"/>
      <c r="O39" s="191" t="s">
        <v>274</v>
      </c>
      <c r="P39" s="330" t="s">
        <v>294</v>
      </c>
      <c r="Q39" s="330"/>
      <c r="R39" s="209"/>
      <c r="U39" s="191" t="s">
        <v>294</v>
      </c>
      <c r="V39" s="191">
        <v>65000</v>
      </c>
      <c r="W39" s="191" t="s">
        <v>70</v>
      </c>
      <c r="X39" s="191" t="str">
        <f t="shared" si="8"/>
        <v>20,1 - 25 - adequado</v>
      </c>
      <c r="Y39" s="191">
        <v>15000</v>
      </c>
      <c r="Z39" s="191">
        <v>95000</v>
      </c>
      <c r="AB39" s="301" t="str">
        <f>CONCATENATE($P$39," - ",$AD$22)</f>
        <v>20,1 - 25 -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U40" s="190" t="s">
        <v>489</v>
      </c>
      <c r="V40" s="191">
        <v>80000</v>
      </c>
      <c r="W40" s="191" t="s">
        <v>68</v>
      </c>
      <c r="X40" s="191" t="str">
        <f t="shared" si="8"/>
        <v>25,1 - 30 - baixo</v>
      </c>
      <c r="Y40" s="191">
        <v>90000</v>
      </c>
      <c r="Z40" s="191">
        <v>250000</v>
      </c>
      <c r="AI40" s="15">
        <v>1</v>
      </c>
      <c r="AO40" s="7"/>
      <c r="AP40" s="295" t="str">
        <f>O102</f>
        <v>Ácido Bórico</v>
      </c>
      <c r="AQ40" s="295"/>
      <c r="AR40" s="9">
        <f>IFERROR($AS$37/((VLOOKUP(AP40,$V$100:$AO$179,11,0)*0.01)),0)</f>
        <v>2.2857142857142856</v>
      </c>
      <c r="AS40" s="9">
        <f>IFERROR($AT$37/((VLOOKUP(AP40,$V$100:$AO$179,14,0)*0.01)),0)</f>
        <v>0</v>
      </c>
      <c r="AT40" s="9">
        <f>IFERROR($AU$37/((VLOOKUP(AP40,$V$100:$AO$179,12,0)*0.01)),0)</f>
        <v>0</v>
      </c>
      <c r="AU40" s="9">
        <f>IFERROR($AV$37/((VLOOKUP(AP40,$V$100:$AO$179,13,0)*0.01)),0)</f>
        <v>0</v>
      </c>
      <c r="AV40" s="9">
        <f>MAX(AR40:AU40)</f>
        <v>2.2857142857142856</v>
      </c>
      <c r="AW40" s="9">
        <f>IFERROR(AV40*(VLOOKUP(AP40,$V$100:$AO$179,11,0)*0.01),0)</f>
        <v>0.4</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U41" s="190" t="s">
        <v>489</v>
      </c>
      <c r="V41" s="191">
        <v>80000</v>
      </c>
      <c r="W41" s="191" t="s">
        <v>69</v>
      </c>
      <c r="X41" s="191" t="str">
        <f t="shared" si="8"/>
        <v>25,1 - 30 - medio</v>
      </c>
      <c r="Y41" s="191">
        <v>60000</v>
      </c>
      <c r="Z41" s="191">
        <v>165000</v>
      </c>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U42" s="190" t="s">
        <v>489</v>
      </c>
      <c r="V42" s="191">
        <v>80000</v>
      </c>
      <c r="W42" s="191" t="s">
        <v>70</v>
      </c>
      <c r="X42" s="191" t="str">
        <f t="shared" si="8"/>
        <v>25,1 - 30 - adequado</v>
      </c>
      <c r="Y42" s="191">
        <v>15000</v>
      </c>
      <c r="Z42" s="191">
        <v>115000</v>
      </c>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160</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31">
        <f>'Adubos e corretivos (1)'!C128</f>
        <v>70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180.95238095238096</v>
      </c>
      <c r="K47" s="35"/>
      <c r="M47" s="303"/>
      <c r="N47" s="332"/>
      <c r="O47" s="333" t="s">
        <v>442</v>
      </c>
      <c r="P47" s="335"/>
      <c r="Q47" s="18">
        <v>1</v>
      </c>
      <c r="R47" s="209"/>
      <c r="U47" s="191" t="s">
        <v>104</v>
      </c>
      <c r="V47" s="2">
        <f>IFERROR((((V46-P24)*P25)/V49),0)</f>
        <v>2.5789473684210518</v>
      </c>
      <c r="X47" s="336" t="s">
        <v>182</v>
      </c>
      <c r="Y47" s="336"/>
      <c r="Z47" s="2">
        <f>IFERROR((($V$50/$Z$46)*$V$47),0)</f>
        <v>12.725448857697671</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2.5789473684210518</v>
      </c>
      <c r="X48" s="336" t="s">
        <v>180</v>
      </c>
      <c r="Y48" s="336"/>
      <c r="Z48" s="2">
        <f>IFERROR(IF(Z47&lt;0,(0),IF(Z47&gt;=0,(Z47))),0)</f>
        <v>12.725448857697671</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433.33333333333337</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400</v>
      </c>
      <c r="E51" s="332" t="str">
        <f>IF(J45&gt;0,"quilos para área total","-")</f>
        <v>quilos para área total</v>
      </c>
      <c r="F51" s="332"/>
      <c r="G51" s="332"/>
      <c r="H51" s="102" t="s">
        <v>447</v>
      </c>
      <c r="I51" s="102">
        <f>I52*$E$18*$I$18</f>
        <v>930.00000000000011</v>
      </c>
      <c r="J51" s="33">
        <f>AV19</f>
        <v>0</v>
      </c>
      <c r="K51" s="35"/>
      <c r="L51" s="188"/>
      <c r="M51" s="210"/>
      <c r="N51" s="200"/>
      <c r="O51" s="200"/>
      <c r="P51" s="200"/>
      <c r="Q51" s="200"/>
      <c r="R51" s="211"/>
      <c r="U51" s="191" t="s">
        <v>247</v>
      </c>
      <c r="V51" s="2">
        <f>V48*$Q$47</f>
        <v>2.5789473684210518</v>
      </c>
      <c r="AT51" s="187" t="s">
        <v>264</v>
      </c>
      <c r="AU51" s="96" t="str">
        <f>AK29</f>
        <v>Composto de lixo (COL)</v>
      </c>
      <c r="AV51" s="187">
        <v>12</v>
      </c>
    </row>
    <row r="52" spans="2:50" ht="19.5" customHeight="1" x14ac:dyDescent="0.25">
      <c r="B52" s="327"/>
      <c r="C52" s="327"/>
      <c r="D52" s="109">
        <f>IF(J45&gt;0,J45,"-")</f>
        <v>160</v>
      </c>
      <c r="E52" s="332" t="str">
        <f>IF(J45&gt;0,"gramas por planta","-")</f>
        <v>gramas por planta</v>
      </c>
      <c r="F52" s="332"/>
      <c r="G52" s="332"/>
      <c r="H52" s="102" t="s">
        <v>446</v>
      </c>
      <c r="I52" s="102">
        <f>IFERROR((D52/1000)*VLOOKUP(B51,$V$100:$W$179,2,0),0)</f>
        <v>0.37200000000000005</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452.38095238095246</v>
      </c>
      <c r="E57" s="354" t="str">
        <f>IF(J47&gt;0,"quilos para área total","-")</f>
        <v>quilos para área total</v>
      </c>
      <c r="F57" s="354"/>
      <c r="G57" s="354"/>
      <c r="H57" s="102" t="s">
        <v>447</v>
      </c>
      <c r="I57" s="102">
        <f>I58*$E$18*$I$18</f>
        <v>1311.9047619047619</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180.95238095238096</v>
      </c>
      <c r="E58" s="332" t="str">
        <f>IF(J47&gt;0,"gramas por planta","-")</f>
        <v>gramas por planta</v>
      </c>
      <c r="F58" s="332"/>
      <c r="G58" s="332"/>
      <c r="H58" s="102" t="s">
        <v>446</v>
      </c>
      <c r="I58" s="102">
        <f>IFERROR((D58/1000)*VLOOKUP(B57,$V$100:$W$179,2,0),0)</f>
        <v>0.52476190476190476</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1083.3333333333333</v>
      </c>
      <c r="E66" s="354" t="str">
        <f>IF(J50&gt;0,"quilos para área total","-")</f>
        <v>quilos para área total</v>
      </c>
      <c r="F66" s="354"/>
      <c r="G66" s="354"/>
      <c r="H66" s="102" t="s">
        <v>447</v>
      </c>
      <c r="I66" s="102">
        <f>I67*$E$18*$I$18</f>
        <v>1646.6666666666667</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433.33333333333337</v>
      </c>
      <c r="E67" s="332" t="str">
        <f>IF(J50&gt;0,"gramas por planta","-")</f>
        <v>gramas por planta</v>
      </c>
      <c r="F67" s="332"/>
      <c r="G67" s="332"/>
      <c r="H67" s="102" t="s">
        <v>446</v>
      </c>
      <c r="I67" s="102">
        <f>IFERROR((D67/1000)*VLOOKUP(B66,$V$100:$W$179,2,0),0)</f>
        <v>0.65866666666666673</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2.2857142857142856</v>
      </c>
      <c r="E83" s="332" t="str">
        <f>IF(AV40&gt;0,"gramas por planta","-")</f>
        <v>gramas por planta</v>
      </c>
      <c r="F83" s="332"/>
      <c r="G83" s="332"/>
      <c r="H83" s="102" t="s">
        <v>446</v>
      </c>
      <c r="I83" s="102">
        <f>IFERROR((D83/1000)*VLOOKUP(B82,$V$100:$W$179,2,0),0)</f>
        <v>1.2617142857142855E-2</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26</v>
      </c>
      <c r="P96" s="26">
        <f>$AC$31</f>
        <v>28</v>
      </c>
      <c r="Q96" s="26">
        <f>$AC$32</f>
        <v>38</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5635.074812030075</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5635.074812030075</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2.2540299248120297</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2.2540299248120297</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0.4</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1.1178042313927716</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90">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6:AR36"/>
    <mergeCell ref="B30:C31"/>
    <mergeCell ref="E30:G30"/>
    <mergeCell ref="AQ30:AR30"/>
    <mergeCell ref="E31:G31"/>
    <mergeCell ref="O31:Q31"/>
    <mergeCell ref="AQ31:AR31"/>
    <mergeCell ref="AP39:AQ39"/>
    <mergeCell ref="AP40:AQ40"/>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$AE$31:$AE$35</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39" customWidth="1"/>
    <col min="2" max="2" width="37.28515625" style="239" customWidth="1"/>
    <col min="3" max="3" width="29.5703125" style="239" customWidth="1"/>
    <col min="4" max="4" width="21.7109375" style="239" bestFit="1" customWidth="1"/>
    <col min="5" max="7" width="16.7109375" style="239" customWidth="1"/>
    <col min="8" max="8" width="29.42578125" style="239" bestFit="1" customWidth="1"/>
    <col min="9" max="9" width="21.7109375" style="239" bestFit="1" customWidth="1"/>
    <col min="10" max="12" width="13" style="239" customWidth="1"/>
    <col min="13" max="13" width="36.5703125" style="239" customWidth="1"/>
    <col min="14" max="14" width="13.140625" style="239" bestFit="1" customWidth="1"/>
    <col min="15" max="15" width="29.7109375" style="239" customWidth="1"/>
    <col min="16" max="16" width="18.42578125" style="239" customWidth="1"/>
    <col min="17" max="17" width="49.140625" style="239" customWidth="1"/>
    <col min="18" max="18" width="8" style="239" customWidth="1"/>
    <col min="19" max="19" width="11.42578125" style="239" bestFit="1" customWidth="1"/>
    <col min="20" max="20" width="30.140625" style="239" hidden="1" customWidth="1" outlineLevel="1"/>
    <col min="21" max="21" width="43.42578125" style="239" hidden="1" customWidth="1" outlineLevel="1"/>
    <col min="22" max="22" width="65" style="239" hidden="1" customWidth="1" outlineLevel="1"/>
    <col min="23" max="23" width="21.28515625" style="239" hidden="1" customWidth="1" outlineLevel="1"/>
    <col min="24" max="24" width="27.42578125" style="239" hidden="1" customWidth="1" outlineLevel="1"/>
    <col min="25" max="25" width="22.42578125" style="239" hidden="1" customWidth="1" outlineLevel="1"/>
    <col min="26" max="26" width="22" style="239" hidden="1" customWidth="1" outlineLevel="1"/>
    <col min="27" max="27" width="16.85546875" style="239" hidden="1" customWidth="1" outlineLevel="1"/>
    <col min="28" max="28" width="21.5703125" style="239" hidden="1" customWidth="1" outlineLevel="1"/>
    <col min="29" max="29" width="16.85546875" style="239" hidden="1" customWidth="1" outlineLevel="1"/>
    <col min="30" max="30" width="24.42578125" style="239" hidden="1" customWidth="1" outlineLevel="1"/>
    <col min="31" max="31" width="36.140625" style="239" hidden="1" customWidth="1" outlineLevel="1"/>
    <col min="32" max="32" width="25.5703125" style="239" hidden="1" customWidth="1" outlineLevel="1"/>
    <col min="33" max="33" width="22" style="239" hidden="1" customWidth="1" outlineLevel="1"/>
    <col min="34" max="34" width="21.5703125" style="239" hidden="1" customWidth="1" outlineLevel="1"/>
    <col min="35" max="35" width="24.7109375" style="239" hidden="1" customWidth="1" outlineLevel="1"/>
    <col min="36" max="36" width="14.28515625" style="239" hidden="1" customWidth="1" outlineLevel="1"/>
    <col min="37" max="37" width="32.42578125" style="239" hidden="1" customWidth="1" outlineLevel="1"/>
    <col min="38" max="38" width="14.7109375" style="239" hidden="1" customWidth="1" outlineLevel="1"/>
    <col min="39" max="39" width="34.28515625" style="239" hidden="1" customWidth="1" outlineLevel="1"/>
    <col min="40" max="40" width="20.85546875" style="239" hidden="1" customWidth="1" outlineLevel="1"/>
    <col min="41" max="41" width="21.28515625" style="239" hidden="1" customWidth="1" outlineLevel="1"/>
    <col min="42" max="42" width="65" style="239" hidden="1" customWidth="1" outlineLevel="1"/>
    <col min="43" max="43" width="16.7109375" style="239" hidden="1" customWidth="1" outlineLevel="1"/>
    <col min="44" max="44" width="45.85546875" style="239" hidden="1" customWidth="1" outlineLevel="1"/>
    <col min="45" max="45" width="16.7109375" style="239" hidden="1" customWidth="1" outlineLevel="1"/>
    <col min="46" max="46" width="13.7109375" style="239" hidden="1" customWidth="1" outlineLevel="1"/>
    <col min="47" max="47" width="31.42578125" style="239" hidden="1" customWidth="1" outlineLevel="1"/>
    <col min="48" max="48" width="11.85546875" style="239" hidden="1" customWidth="1" outlineLevel="1"/>
    <col min="49" max="49" width="23.5703125" style="239" hidden="1" customWidth="1" outlineLevel="1"/>
    <col min="50" max="50" width="22.42578125" style="239" hidden="1" customWidth="1" outlineLevel="1"/>
    <col min="51" max="51" width="28.5703125" style="239" hidden="1" customWidth="1" outlineLevel="1"/>
    <col min="52" max="52" width="23" style="239" hidden="1" customWidth="1" outlineLevel="1"/>
    <col min="53" max="54" width="16.7109375" style="239" hidden="1" customWidth="1" outlineLevel="1"/>
    <col min="55" max="55" width="9.140625" style="239" hidden="1" customWidth="1" outlineLevel="1"/>
    <col min="56" max="56" width="9.140625" style="239" collapsed="1"/>
    <col min="57" max="16384" width="9.140625" style="239"/>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46"/>
      <c r="N3" s="241"/>
      <c r="O3" s="241"/>
      <c r="P3" s="241"/>
      <c r="Q3" s="241"/>
      <c r="R3" s="247"/>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55" t="s">
        <v>0</v>
      </c>
      <c r="R4" s="248"/>
      <c r="U4" s="311"/>
      <c r="V4" s="311"/>
      <c r="W4" s="311"/>
      <c r="X4" s="311"/>
      <c r="Y4" s="301"/>
      <c r="Z4" s="301"/>
      <c r="AA4" s="301"/>
      <c r="AB4" s="301"/>
      <c r="AC4" s="301"/>
      <c r="AD4" s="301"/>
      <c r="AO4" s="7"/>
      <c r="AP4" s="295" t="s">
        <v>232</v>
      </c>
      <c r="AQ4" s="295" t="s">
        <v>233</v>
      </c>
      <c r="AR4" s="295"/>
      <c r="AS4" s="254" t="s">
        <v>33</v>
      </c>
      <c r="AT4" s="254" t="s">
        <v>198</v>
      </c>
      <c r="AU4" s="254" t="s">
        <v>199</v>
      </c>
      <c r="AV4" s="296" t="s">
        <v>234</v>
      </c>
      <c r="AW4" s="7"/>
      <c r="AX4" s="7"/>
      <c r="AY4" s="7"/>
      <c r="AZ4" s="7"/>
      <c r="BA4" s="7"/>
      <c r="BB4" s="7"/>
    </row>
    <row r="5" spans="1:54" ht="19.5" customHeight="1" x14ac:dyDescent="0.25">
      <c r="M5" s="303"/>
      <c r="N5" s="304"/>
      <c r="O5" s="236" t="s">
        <v>1</v>
      </c>
      <c r="P5" s="5">
        <v>6.9</v>
      </c>
      <c r="Q5" s="236" t="s">
        <v>2</v>
      </c>
      <c r="R5" s="248"/>
      <c r="U5" s="311"/>
      <c r="V5" s="311"/>
      <c r="W5" s="311"/>
      <c r="X5" s="311"/>
      <c r="Y5" s="301"/>
      <c r="Z5" s="301"/>
      <c r="AA5" s="301"/>
      <c r="AB5" s="301"/>
      <c r="AC5" s="301"/>
      <c r="AD5" s="301"/>
      <c r="AO5" s="7"/>
      <c r="AP5" s="295"/>
      <c r="AQ5" s="295"/>
      <c r="AR5" s="295"/>
      <c r="AS5" s="9">
        <f>$AC$30</f>
        <v>68</v>
      </c>
      <c r="AT5" s="9">
        <f>$AC$31</f>
        <v>31</v>
      </c>
      <c r="AU5" s="9">
        <f>$AC$32</f>
        <v>53</v>
      </c>
      <c r="AV5" s="297"/>
      <c r="AW5" s="7"/>
      <c r="AX5" s="7"/>
      <c r="AY5" s="7"/>
      <c r="AZ5" s="7"/>
      <c r="BA5" s="7"/>
      <c r="BB5" s="7"/>
    </row>
    <row r="6" spans="1:54" ht="19.5" customHeight="1" x14ac:dyDescent="0.25">
      <c r="M6" s="303"/>
      <c r="N6" s="304"/>
      <c r="O6" s="236" t="s">
        <v>3</v>
      </c>
      <c r="P6" s="6">
        <v>2.9</v>
      </c>
      <c r="Q6" s="236" t="s">
        <v>55</v>
      </c>
      <c r="R6" s="248"/>
      <c r="U6" s="236" t="s">
        <v>29</v>
      </c>
      <c r="V6" s="301" t="s">
        <v>51</v>
      </c>
      <c r="W6" s="301"/>
      <c r="X6" s="301"/>
      <c r="Y6" s="301"/>
      <c r="Z6" s="301"/>
      <c r="AA6" s="301"/>
      <c r="AB6" s="301"/>
      <c r="AC6" s="301"/>
      <c r="AD6" s="301"/>
      <c r="AO6" s="7"/>
      <c r="AP6" s="254">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236" t="s">
        <v>4</v>
      </c>
      <c r="P7" s="5">
        <v>0.5</v>
      </c>
      <c r="Q7" s="236" t="s">
        <v>55</v>
      </c>
      <c r="R7" s="248"/>
      <c r="U7" s="236" t="s">
        <v>23</v>
      </c>
      <c r="V7" s="236" t="s">
        <v>25</v>
      </c>
      <c r="W7" s="236" t="s">
        <v>26</v>
      </c>
      <c r="X7" s="236" t="s">
        <v>31</v>
      </c>
      <c r="Y7" s="236" t="s">
        <v>53</v>
      </c>
      <c r="Z7" s="301" t="s">
        <v>54</v>
      </c>
      <c r="AA7" s="301"/>
      <c r="AB7" s="301"/>
      <c r="AC7" s="236" t="s">
        <v>57</v>
      </c>
      <c r="AD7" s="236" t="s">
        <v>58</v>
      </c>
      <c r="AF7" s="307" t="s">
        <v>221</v>
      </c>
      <c r="AG7" s="307"/>
      <c r="AH7" s="307"/>
      <c r="AI7" s="307"/>
      <c r="AJ7" s="307"/>
      <c r="AK7" s="307"/>
      <c r="AL7" s="307"/>
      <c r="AM7" s="307"/>
      <c r="AO7" s="7"/>
      <c r="AP7" s="254">
        <v>2</v>
      </c>
      <c r="AQ7" s="305" t="str">
        <f>O72</f>
        <v>Termofosfato YOORIN</v>
      </c>
      <c r="AR7" s="306"/>
      <c r="AS7" s="9">
        <f>IFERROR((VLOOKUP(AQ7,$V$100:$AB$179,3,0)*0.01)*AV7,0)</f>
        <v>0</v>
      </c>
      <c r="AT7" s="9">
        <f>IFERROR((VLOOKUP(AQ7,$V$100:$AB$179,5,0)*0.01)*AV7,0)</f>
        <v>31.000000000000007</v>
      </c>
      <c r="AU7" s="9">
        <f>IFERROR((VLOOKUP(AQ7,$V$100:$AB$179,7,0)*0.01)*AV7,0)</f>
        <v>0</v>
      </c>
      <c r="AV7" s="9">
        <f>IFERROR($AT$5*Q72/(VLOOKUP(AQ7,$V$100:$AB$179,5,0)/100),0)</f>
        <v>177.14285714285717</v>
      </c>
      <c r="AW7" s="7"/>
      <c r="AX7" s="7"/>
      <c r="AY7" s="7"/>
      <c r="AZ7" s="7"/>
      <c r="BA7" s="7"/>
      <c r="BB7" s="7"/>
    </row>
    <row r="8" spans="1:54" ht="19.5" customHeight="1" thickBot="1" x14ac:dyDescent="0.3">
      <c r="M8" s="303"/>
      <c r="N8" s="304"/>
      <c r="O8" s="236" t="s">
        <v>5</v>
      </c>
      <c r="P8" s="6">
        <v>0.33</v>
      </c>
      <c r="Q8" s="236" t="s">
        <v>55</v>
      </c>
      <c r="R8" s="248"/>
      <c r="U8" s="236" t="s">
        <v>37</v>
      </c>
      <c r="V8" s="236" t="s">
        <v>39</v>
      </c>
      <c r="W8" s="236" t="s">
        <v>30</v>
      </c>
      <c r="X8" s="236" t="s">
        <v>43</v>
      </c>
      <c r="Y8" s="236" t="str">
        <f>IF($P$21&lt;=15.99,"correto","erro")</f>
        <v>erro</v>
      </c>
      <c r="Z8" s="236" t="str">
        <f>IF($P$13&lt;=12,"baixo","erro")</f>
        <v>baixo</v>
      </c>
      <c r="AA8" s="236" t="str">
        <f>IF(AND($P$13&gt;=12.01,$P$13&lt;=18),"medio","erro")</f>
        <v>erro</v>
      </c>
      <c r="AB8" s="236" t="str">
        <f>IF($P$13&gt;18,"adequado","erro")</f>
        <v>erro</v>
      </c>
      <c r="AC8" s="236" t="str">
        <f>IF(Z8="baixo","baixo",IF(AA8="medio","medio",IF(AB8="adequado","adequado",0)))</f>
        <v>baixo</v>
      </c>
      <c r="AD8" s="301" t="str">
        <f>VLOOKUP("correto",Y8:AC11,5,0)</f>
        <v>baixo</v>
      </c>
      <c r="AF8" s="236" t="s">
        <v>224</v>
      </c>
      <c r="AG8" s="307" t="s">
        <v>222</v>
      </c>
      <c r="AH8" s="307"/>
      <c r="AI8" s="301" t="s">
        <v>223</v>
      </c>
      <c r="AJ8" s="301"/>
      <c r="AK8" s="236" t="s">
        <v>58</v>
      </c>
      <c r="AL8" s="236" t="s">
        <v>237</v>
      </c>
      <c r="AM8" s="236" t="s">
        <v>240</v>
      </c>
      <c r="AO8" s="7"/>
      <c r="AP8" s="254">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236" t="s">
        <v>6</v>
      </c>
      <c r="P9" s="5">
        <v>0.05</v>
      </c>
      <c r="Q9" s="236" t="s">
        <v>55</v>
      </c>
      <c r="R9" s="248"/>
      <c r="U9" s="236" t="s">
        <v>27</v>
      </c>
      <c r="V9" s="236" t="s">
        <v>40</v>
      </c>
      <c r="W9" s="236" t="s">
        <v>44</v>
      </c>
      <c r="X9" s="236" t="s">
        <v>47</v>
      </c>
      <c r="Y9" s="236" t="str">
        <f>IF(AND($P$21&gt;15.99,P21&lt;34.99),"correto","erro")</f>
        <v>erro</v>
      </c>
      <c r="Z9" s="236" t="str">
        <f>IF($P$13&lt;=10,"baixo","erro")</f>
        <v>baixo</v>
      </c>
      <c r="AA9" s="236" t="str">
        <f>IF(AND($P$13&gt;=10.01,$P$13&lt;=15),"medio","erro")</f>
        <v>erro</v>
      </c>
      <c r="AB9" s="236" t="str">
        <f>IF($P$13&gt;15,"adequado","erro")</f>
        <v>erro</v>
      </c>
      <c r="AC9" s="236" t="str">
        <f>IF(Z9="baixo","baixo",IF(AA9="medio","medio",IF(AB9="adequado","adequado",0)))</f>
        <v>baixo</v>
      </c>
      <c r="AD9" s="301"/>
      <c r="AF9" s="307" t="s">
        <v>220</v>
      </c>
      <c r="AG9" s="257" t="s">
        <v>25</v>
      </c>
      <c r="AH9" s="257" t="s">
        <v>216</v>
      </c>
      <c r="AI9" s="236" t="str">
        <f>IF($P$14&lt;=0.2,"baixo","erro")</f>
        <v>baixo</v>
      </c>
      <c r="AJ9" s="301" t="str">
        <f>IF($AI$9="baixo","baixo",IF($AI$10="medio","medio",IF($AI$11="adequado","adequado",0)))</f>
        <v>baixo</v>
      </c>
      <c r="AK9" s="301">
        <f>IF(AJ9="Baixo",AL9,0)</f>
        <v>16</v>
      </c>
      <c r="AL9" s="301">
        <f>(AM9*1000)/$E$18</f>
        <v>16</v>
      </c>
      <c r="AM9" s="302">
        <v>2</v>
      </c>
      <c r="AO9" s="7"/>
      <c r="AP9" s="7"/>
      <c r="AQ9" s="7"/>
      <c r="AR9" s="7"/>
      <c r="AS9" s="28">
        <f>AS5-(SUM(AS6:AS8))</f>
        <v>68</v>
      </c>
      <c r="AT9" s="28">
        <f>AT5-(SUM(AT6:AT8))</f>
        <v>0</v>
      </c>
      <c r="AU9" s="28">
        <f>AU5-(SUM(AU6:AU8))</f>
        <v>53</v>
      </c>
      <c r="AV9" s="28"/>
      <c r="AW9" s="7"/>
      <c r="AX9" s="7"/>
      <c r="AY9" s="7"/>
      <c r="AZ9" s="7"/>
      <c r="BA9" s="7"/>
      <c r="BB9" s="7"/>
    </row>
    <row r="10" spans="1:54" ht="19.5" customHeight="1" x14ac:dyDescent="0.25">
      <c r="M10" s="303"/>
      <c r="N10" s="304"/>
      <c r="O10" s="236" t="s">
        <v>7</v>
      </c>
      <c r="P10" s="6">
        <v>0</v>
      </c>
      <c r="Q10" s="236" t="s">
        <v>55</v>
      </c>
      <c r="R10" s="248"/>
      <c r="U10" s="236" t="s">
        <v>28</v>
      </c>
      <c r="V10" s="236" t="s">
        <v>41</v>
      </c>
      <c r="W10" s="236" t="s">
        <v>45</v>
      </c>
      <c r="X10" s="236" t="s">
        <v>48</v>
      </c>
      <c r="Y10" s="236" t="str">
        <f>IF(AND($P$21&gt;34.99,P21&lt;59.99),"correto","erro")</f>
        <v>correto</v>
      </c>
      <c r="Z10" s="236" t="str">
        <f>IF($P$13&lt;=5,"baixo","erro")</f>
        <v>baixo</v>
      </c>
      <c r="AA10" s="236" t="str">
        <f>IF(AND($P$13&gt;=5.01,$P$13&lt;=8),"medio","erro")</f>
        <v>erro</v>
      </c>
      <c r="AB10" s="236" t="str">
        <f>IF($P$13&gt;8,"adequado","erro")</f>
        <v>erro</v>
      </c>
      <c r="AC10" s="236" t="str">
        <f>IF(Z10="baixo","baixo",IF(AA10="medio","medio",IF(AB10="adequado","adequado",0)))</f>
        <v>baixo</v>
      </c>
      <c r="AD10" s="301"/>
      <c r="AF10" s="307"/>
      <c r="AG10" s="257" t="s">
        <v>26</v>
      </c>
      <c r="AH10" s="257" t="s">
        <v>212</v>
      </c>
      <c r="AI10" s="236" t="str">
        <f>IF(AND($P$14&gt;=0.201,$P$14&lt;=0.5),"medio","erro")</f>
        <v>erro</v>
      </c>
      <c r="AJ10" s="301"/>
      <c r="AK10" s="301"/>
      <c r="AL10" s="301"/>
      <c r="AM10" s="302"/>
      <c r="AO10" s="7"/>
      <c r="AP10" s="295" t="s">
        <v>232</v>
      </c>
      <c r="AQ10" s="295" t="s">
        <v>233</v>
      </c>
      <c r="AR10" s="295"/>
      <c r="AS10" s="254" t="s">
        <v>33</v>
      </c>
      <c r="AT10" s="254" t="s">
        <v>198</v>
      </c>
      <c r="AU10" s="254" t="s">
        <v>199</v>
      </c>
      <c r="AV10" s="296" t="s">
        <v>234</v>
      </c>
      <c r="AW10" s="7"/>
      <c r="AX10" s="7"/>
      <c r="AY10" s="7"/>
      <c r="AZ10" s="7"/>
      <c r="BA10" s="7"/>
      <c r="BB10" s="7"/>
    </row>
    <row r="11" spans="1:54" ht="19.5" customHeight="1" x14ac:dyDescent="0.25">
      <c r="B11" s="236" t="s">
        <v>108</v>
      </c>
      <c r="C11" s="298"/>
      <c r="D11" s="298"/>
      <c r="E11" s="298"/>
      <c r="F11" s="298"/>
      <c r="G11" s="298"/>
      <c r="H11" s="298"/>
      <c r="I11" s="299"/>
      <c r="M11" s="303"/>
      <c r="N11" s="304"/>
      <c r="O11" s="236" t="s">
        <v>8</v>
      </c>
      <c r="P11" s="5">
        <v>4</v>
      </c>
      <c r="Q11" s="236" t="s">
        <v>55</v>
      </c>
      <c r="R11" s="248"/>
      <c r="U11" s="236" t="s">
        <v>38</v>
      </c>
      <c r="V11" s="236" t="s">
        <v>42</v>
      </c>
      <c r="W11" s="236" t="s">
        <v>46</v>
      </c>
      <c r="X11" s="236" t="s">
        <v>49</v>
      </c>
      <c r="Y11" s="236" t="str">
        <f>IF($P$21&gt;59.99,"correto","erro")</f>
        <v>erro</v>
      </c>
      <c r="Z11" s="236" t="str">
        <f>IF($P$13&lt;=3,"baixo","erro")</f>
        <v>baixo</v>
      </c>
      <c r="AA11" s="236" t="str">
        <f>IF(AND($P$13&gt;=3.01,$P$13&lt;=6),"medio","erro")</f>
        <v>erro</v>
      </c>
      <c r="AB11" s="236" t="str">
        <f>IF($P$13&gt;6,"adequado","erro")</f>
        <v>erro</v>
      </c>
      <c r="AC11" s="236" t="str">
        <f>IF(Z11="baixo","baixo",IF(AA11="medio","medio",IF(AB11="adequado","adequado",0)))</f>
        <v>baixo</v>
      </c>
      <c r="AD11" s="301"/>
      <c r="AF11" s="307"/>
      <c r="AG11" s="257" t="s">
        <v>208</v>
      </c>
      <c r="AH11" s="257" t="s">
        <v>207</v>
      </c>
      <c r="AI11" s="236" t="str">
        <f>IF($P$14&gt;0.5,"adequado","erro")</f>
        <v>erro</v>
      </c>
      <c r="AJ11" s="301"/>
      <c r="AK11" s="301"/>
      <c r="AL11" s="301"/>
      <c r="AM11" s="302"/>
      <c r="AO11" s="7"/>
      <c r="AP11" s="295"/>
      <c r="AQ11" s="295"/>
      <c r="AR11" s="295"/>
      <c r="AS11" s="9">
        <f>AS9</f>
        <v>68</v>
      </c>
      <c r="AT11" s="9">
        <f t="shared" ref="AT11:AU11" si="0">AT9</f>
        <v>0</v>
      </c>
      <c r="AU11" s="9">
        <f t="shared" si="0"/>
        <v>53</v>
      </c>
      <c r="AV11" s="297"/>
      <c r="AW11" s="7"/>
      <c r="AX11" s="7"/>
      <c r="AY11" s="7"/>
      <c r="AZ11" s="7"/>
      <c r="BA11" s="7"/>
      <c r="BB11" s="7"/>
    </row>
    <row r="12" spans="1:54" ht="19.5" customHeight="1" x14ac:dyDescent="0.25">
      <c r="B12" s="253" t="s">
        <v>109</v>
      </c>
      <c r="C12" s="300"/>
      <c r="D12" s="298"/>
      <c r="E12" s="298"/>
      <c r="F12" s="298"/>
      <c r="G12" s="298"/>
      <c r="H12" s="298"/>
      <c r="I12" s="299"/>
      <c r="M12" s="303"/>
      <c r="N12" s="304"/>
      <c r="O12" s="236" t="s">
        <v>9</v>
      </c>
      <c r="P12" s="6">
        <v>18.7</v>
      </c>
      <c r="Q12" s="236" t="s">
        <v>10</v>
      </c>
      <c r="R12" s="248"/>
      <c r="AF12" s="307" t="s">
        <v>219</v>
      </c>
      <c r="AG12" s="257" t="s">
        <v>25</v>
      </c>
      <c r="AH12" s="257" t="s">
        <v>215</v>
      </c>
      <c r="AI12" s="236" t="str">
        <f>IF($P$16&lt;=0.4,"baixo","erro")</f>
        <v>erro</v>
      </c>
      <c r="AJ12" s="301" t="str">
        <f>IF($AI$12="baixo","baixo",IF($AI$13="medio","medio",IF($AI$14="adequado","adequado",0)))</f>
        <v>medio</v>
      </c>
      <c r="AK12" s="301">
        <f>IF(AJ12="Baixo",AL12,0)</f>
        <v>0</v>
      </c>
      <c r="AL12" s="301">
        <f>(AM12*1000)/$E$18</f>
        <v>16</v>
      </c>
      <c r="AM12" s="302">
        <v>2</v>
      </c>
      <c r="AO12" s="7"/>
      <c r="AP12" s="254">
        <v>7</v>
      </c>
      <c r="AQ12" s="295" t="str">
        <f>O79</f>
        <v>Kmag</v>
      </c>
      <c r="AR12" s="295"/>
      <c r="AS12" s="9">
        <f>IFERROR((VLOOKUP(AQ12,$V$100:$AB$179,3,0)*0.01)*AV12,0)</f>
        <v>0</v>
      </c>
      <c r="AT12" s="9">
        <f>IFERROR((VLOOKUP(AQ12,$V$100:$AB$179,5,0)*0.01)*AV12,0)</f>
        <v>0</v>
      </c>
      <c r="AU12" s="9">
        <f>IFERROR((VLOOKUP(AQ12,$V$100:$AB$179,7,0)*0.01)*AV12,0)</f>
        <v>53</v>
      </c>
      <c r="AV12" s="9">
        <f>IFERROR($AU$11*Q79/(VLOOKUP(AQ12,$V$100:$AB$179,7,0)/100),0)</f>
        <v>252.38095238095238</v>
      </c>
      <c r="AW12" s="7"/>
      <c r="AX12" s="7"/>
      <c r="AY12" s="7"/>
      <c r="AZ12" s="7"/>
      <c r="BA12" s="7"/>
      <c r="BB12" s="7"/>
    </row>
    <row r="13" spans="1:54" ht="19.5" customHeight="1" x14ac:dyDescent="0.25">
      <c r="B13" s="253" t="s">
        <v>110</v>
      </c>
      <c r="C13" s="300"/>
      <c r="D13" s="298"/>
      <c r="E13" s="298"/>
      <c r="F13" s="298"/>
      <c r="G13" s="298"/>
      <c r="H13" s="298"/>
      <c r="I13" s="299"/>
      <c r="M13" s="303"/>
      <c r="N13" s="304"/>
      <c r="O13" s="236" t="s">
        <v>11</v>
      </c>
      <c r="P13" s="5">
        <v>2.5</v>
      </c>
      <c r="Q13" s="236" t="s">
        <v>12</v>
      </c>
      <c r="R13" s="248"/>
      <c r="AF13" s="307"/>
      <c r="AG13" s="257" t="s">
        <v>26</v>
      </c>
      <c r="AH13" s="257" t="s">
        <v>211</v>
      </c>
      <c r="AI13" s="236" t="str">
        <f>IF(AND($P$16&gt;=0.401,$P$16&lt;=0.8),"medio","erro")</f>
        <v>medio</v>
      </c>
      <c r="AJ13" s="301"/>
      <c r="AK13" s="301"/>
      <c r="AL13" s="301"/>
      <c r="AM13" s="302"/>
      <c r="AO13" s="7"/>
      <c r="AP13" s="254">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253" t="s">
        <v>111</v>
      </c>
      <c r="C14" s="300"/>
      <c r="D14" s="298"/>
      <c r="E14" s="298"/>
      <c r="F14" s="298"/>
      <c r="G14" s="299"/>
      <c r="H14" s="236" t="s">
        <v>112</v>
      </c>
      <c r="I14" s="90">
        <f ca="1">TODAY()</f>
        <v>44010</v>
      </c>
      <c r="M14" s="303"/>
      <c r="N14" s="304"/>
      <c r="O14" s="236" t="s">
        <v>13</v>
      </c>
      <c r="P14" s="6">
        <v>0.05</v>
      </c>
      <c r="Q14" s="236" t="s">
        <v>12</v>
      </c>
      <c r="R14" s="248"/>
      <c r="AF14" s="307"/>
      <c r="AG14" s="257" t="s">
        <v>208</v>
      </c>
      <c r="AH14" s="257" t="s">
        <v>206</v>
      </c>
      <c r="AI14" s="236" t="str">
        <f>IF($P$16&gt;0.8,"adequado","erro")</f>
        <v>erro</v>
      </c>
      <c r="AJ14" s="301"/>
      <c r="AK14" s="301"/>
      <c r="AL14" s="301"/>
      <c r="AM14" s="302"/>
      <c r="AO14" s="7"/>
      <c r="AP14" s="254">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236" t="s">
        <v>14</v>
      </c>
      <c r="P15" s="5">
        <v>2.2999999999999998</v>
      </c>
      <c r="Q15" s="236" t="s">
        <v>12</v>
      </c>
      <c r="R15" s="248"/>
      <c r="AF15" s="307" t="s">
        <v>218</v>
      </c>
      <c r="AG15" s="257" t="s">
        <v>25</v>
      </c>
      <c r="AH15" s="257" t="s">
        <v>214</v>
      </c>
      <c r="AI15" s="236" t="str">
        <f>IF($P$18&lt;=1.9,"baixo","erro")</f>
        <v>erro</v>
      </c>
      <c r="AJ15" s="301" t="str">
        <f>IF($AI$15="baixo","baixo",IF($AI$16="medio","medio",IF($AI$17="adequado","adequado",0)))</f>
        <v>adequado</v>
      </c>
      <c r="AK15" s="301">
        <f>IF(AJ15="Baixo",AL15,0)</f>
        <v>0</v>
      </c>
      <c r="AL15" s="301">
        <f>(AM15*1000)/$E$18</f>
        <v>48</v>
      </c>
      <c r="AM15" s="302">
        <v>6</v>
      </c>
      <c r="AO15" s="7"/>
      <c r="AP15" s="7"/>
      <c r="AQ15" s="7"/>
      <c r="AR15" s="7"/>
      <c r="AS15" s="28">
        <f>AS11-(SUM(AS12:AS14))</f>
        <v>68</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236" t="s">
        <v>15</v>
      </c>
      <c r="P16" s="6">
        <v>0.6</v>
      </c>
      <c r="Q16" s="236" t="s">
        <v>12</v>
      </c>
      <c r="R16" s="248"/>
      <c r="AF16" s="307"/>
      <c r="AG16" s="257" t="s">
        <v>26</v>
      </c>
      <c r="AH16" s="257" t="s">
        <v>210</v>
      </c>
      <c r="AI16" s="236" t="str">
        <f>IF(AND($P$18&gt;=1.901,$P$18&lt;=5),"medio","erro")</f>
        <v>erro</v>
      </c>
      <c r="AJ16" s="301"/>
      <c r="AK16" s="301"/>
      <c r="AL16" s="301"/>
      <c r="AM16" s="302"/>
      <c r="AO16" s="7"/>
      <c r="AP16" s="295" t="s">
        <v>232</v>
      </c>
      <c r="AQ16" s="295" t="s">
        <v>233</v>
      </c>
      <c r="AR16" s="295"/>
      <c r="AS16" s="254" t="s">
        <v>33</v>
      </c>
      <c r="AT16" s="254" t="s">
        <v>198</v>
      </c>
      <c r="AU16" s="254" t="s">
        <v>199</v>
      </c>
      <c r="AV16" s="296" t="s">
        <v>234</v>
      </c>
      <c r="AW16" s="7"/>
      <c r="AX16" s="7"/>
      <c r="AY16" s="7"/>
      <c r="AZ16" s="7"/>
      <c r="BA16" s="7"/>
      <c r="BB16" s="7"/>
    </row>
    <row r="17" spans="2:54" ht="19.5" customHeight="1" x14ac:dyDescent="0.25">
      <c r="M17" s="303"/>
      <c r="N17" s="304"/>
      <c r="O17" s="236" t="s">
        <v>16</v>
      </c>
      <c r="P17" s="5">
        <v>84.8</v>
      </c>
      <c r="Q17" s="236" t="s">
        <v>12</v>
      </c>
      <c r="R17" s="248"/>
      <c r="U17" s="311" t="s">
        <v>60</v>
      </c>
      <c r="V17" s="311"/>
      <c r="W17" s="311"/>
      <c r="X17" s="311"/>
      <c r="Y17" s="301" t="s">
        <v>59</v>
      </c>
      <c r="Z17" s="301"/>
      <c r="AA17" s="301"/>
      <c r="AB17" s="301"/>
      <c r="AC17" s="301"/>
      <c r="AD17" s="301"/>
      <c r="AF17" s="307"/>
      <c r="AG17" s="257" t="s">
        <v>208</v>
      </c>
      <c r="AH17" s="257" t="s">
        <v>205</v>
      </c>
      <c r="AI17" s="236" t="str">
        <f>IF($P$18&gt;5,"adequado","erro")</f>
        <v>adequado</v>
      </c>
      <c r="AJ17" s="301"/>
      <c r="AK17" s="301"/>
      <c r="AL17" s="301"/>
      <c r="AM17" s="302"/>
      <c r="AO17" s="7"/>
      <c r="AP17" s="295"/>
      <c r="AQ17" s="295"/>
      <c r="AR17" s="295"/>
      <c r="AS17" s="9">
        <f>AS15</f>
        <v>68</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236">
        <f>O34</f>
        <v>1</v>
      </c>
      <c r="M18" s="303"/>
      <c r="N18" s="304"/>
      <c r="O18" s="236" t="s">
        <v>17</v>
      </c>
      <c r="P18" s="6">
        <v>14.9</v>
      </c>
      <c r="Q18" s="236" t="s">
        <v>12</v>
      </c>
      <c r="R18" s="248"/>
      <c r="U18" s="311"/>
      <c r="V18" s="311"/>
      <c r="W18" s="311"/>
      <c r="X18" s="311"/>
      <c r="Y18" s="301"/>
      <c r="Z18" s="301"/>
      <c r="AA18" s="301"/>
      <c r="AB18" s="301"/>
      <c r="AC18" s="301"/>
      <c r="AD18" s="301"/>
      <c r="AF18" s="307" t="s">
        <v>217</v>
      </c>
      <c r="AG18" s="257" t="s">
        <v>25</v>
      </c>
      <c r="AH18" s="257" t="s">
        <v>213</v>
      </c>
      <c r="AI18" s="236" t="str">
        <f>IF($P$19&lt;=1,"baixo","erro")</f>
        <v>erro</v>
      </c>
      <c r="AJ18" s="301" t="str">
        <f>IF($AI$18="baixo","baixo",IF($AI$19="medio","medio",IF($AI$20="adequado","adequado",0)))</f>
        <v>adequado</v>
      </c>
      <c r="AK18" s="301">
        <f>IF(AJ18="Baixo",AL18,0)</f>
        <v>0</v>
      </c>
      <c r="AL18" s="301">
        <f>(AM18*1000)/$E$18</f>
        <v>48</v>
      </c>
      <c r="AM18" s="302">
        <v>6</v>
      </c>
      <c r="AO18" s="7"/>
      <c r="AP18" s="254">
        <v>13</v>
      </c>
      <c r="AQ18" s="295" t="str">
        <f>O87</f>
        <v>Torta de mamona Hortibraz</v>
      </c>
      <c r="AR18" s="295"/>
      <c r="AS18" s="9">
        <f>IFERROR((VLOOKUP(AQ18,$V$100:$AB$179,3,0)*0.01)*AV18,0)</f>
        <v>68</v>
      </c>
      <c r="AT18" s="9">
        <f>IFERROR((VLOOKUP(AQ18,$V$100:$AB$179,5,0)*0.01)*AV18,0)</f>
        <v>0</v>
      </c>
      <c r="AU18" s="9">
        <f>IFERROR((VLOOKUP(AQ18,$V$100:$AB$179,7,0)*0.01)*AV18,0)</f>
        <v>0</v>
      </c>
      <c r="AV18" s="9">
        <f>IFERROR($AS$17*Q87/(VLOOKUP(AQ18,$V$100:$AB$179,3,0)/100),0)</f>
        <v>1133.3333333333335</v>
      </c>
      <c r="AW18" s="7"/>
      <c r="AX18" s="7"/>
      <c r="AY18" s="7"/>
      <c r="AZ18" s="7"/>
      <c r="BA18" s="7"/>
      <c r="BB18" s="7"/>
    </row>
    <row r="19" spans="2:54" ht="19.5" customHeight="1" x14ac:dyDescent="0.25">
      <c r="M19" s="303"/>
      <c r="N19" s="304"/>
      <c r="O19" s="236" t="s">
        <v>18</v>
      </c>
      <c r="P19" s="5">
        <v>1.7</v>
      </c>
      <c r="Q19" s="236" t="s">
        <v>12</v>
      </c>
      <c r="R19" s="248"/>
      <c r="S19" s="11"/>
      <c r="U19" s="311"/>
      <c r="V19" s="311"/>
      <c r="W19" s="311"/>
      <c r="X19" s="311"/>
      <c r="Y19" s="301"/>
      <c r="Z19" s="301"/>
      <c r="AA19" s="301"/>
      <c r="AB19" s="301"/>
      <c r="AC19" s="301"/>
      <c r="AD19" s="301"/>
      <c r="AF19" s="307"/>
      <c r="AG19" s="257" t="s">
        <v>26</v>
      </c>
      <c r="AH19" s="257" t="s">
        <v>209</v>
      </c>
      <c r="AI19" s="236" t="str">
        <f>IF(AND($P$19&gt;=1.01,$P$19&lt;=1.6),"medio","erro")</f>
        <v>erro</v>
      </c>
      <c r="AJ19" s="301"/>
      <c r="AK19" s="301"/>
      <c r="AL19" s="301"/>
      <c r="AM19" s="302"/>
      <c r="AO19" s="7"/>
      <c r="AP19" s="254">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236" t="s">
        <v>19</v>
      </c>
      <c r="P20" s="6">
        <v>35</v>
      </c>
      <c r="Q20" s="236" t="s">
        <v>23</v>
      </c>
      <c r="R20" s="248"/>
      <c r="U20" s="236" t="s">
        <v>29</v>
      </c>
      <c r="V20" s="301" t="s">
        <v>74</v>
      </c>
      <c r="W20" s="301"/>
      <c r="X20" s="301"/>
      <c r="Y20" s="301"/>
      <c r="Z20" s="301"/>
      <c r="AA20" s="301"/>
      <c r="AB20" s="301"/>
      <c r="AC20" s="301"/>
      <c r="AD20" s="301"/>
      <c r="AF20" s="307"/>
      <c r="AG20" s="257" t="s">
        <v>208</v>
      </c>
      <c r="AH20" s="257" t="s">
        <v>204</v>
      </c>
      <c r="AI20" s="236" t="str">
        <f>IF($P$19&gt;1.6,"adequado","erro")</f>
        <v>adequado</v>
      </c>
      <c r="AJ20" s="301"/>
      <c r="AK20" s="301"/>
      <c r="AL20" s="301"/>
      <c r="AM20" s="302"/>
      <c r="AO20" s="7"/>
      <c r="AP20" s="254">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236" t="s">
        <v>52</v>
      </c>
      <c r="P21" s="5">
        <v>47.5</v>
      </c>
      <c r="Q21" s="236" t="s">
        <v>23</v>
      </c>
      <c r="R21" s="248"/>
      <c r="S21" s="11"/>
      <c r="U21" s="236" t="s">
        <v>23</v>
      </c>
      <c r="V21" s="236" t="s">
        <v>25</v>
      </c>
      <c r="W21" s="236" t="s">
        <v>26</v>
      </c>
      <c r="X21" s="236" t="s">
        <v>31</v>
      </c>
      <c r="Y21" s="236" t="s">
        <v>53</v>
      </c>
      <c r="Z21" s="301" t="s">
        <v>62</v>
      </c>
      <c r="AA21" s="301"/>
      <c r="AB21" s="301"/>
      <c r="AC21" s="236" t="s">
        <v>57</v>
      </c>
      <c r="AD21" s="236"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236" t="s">
        <v>20</v>
      </c>
      <c r="P22" s="5">
        <v>17.5</v>
      </c>
      <c r="Q22" s="236" t="s">
        <v>23</v>
      </c>
      <c r="R22" s="248"/>
      <c r="U22" s="236" t="s">
        <v>50</v>
      </c>
      <c r="V22" s="236" t="s">
        <v>248</v>
      </c>
      <c r="W22" s="236" t="s">
        <v>250</v>
      </c>
      <c r="X22" s="236" t="s">
        <v>251</v>
      </c>
      <c r="Y22" s="236" t="str">
        <f>IF($P$21&lt;=20,"correto","erro")</f>
        <v>erro</v>
      </c>
      <c r="Z22" s="236" t="str">
        <f>IF($P$8&lt;=0.04,"baixo","erro")</f>
        <v>erro</v>
      </c>
      <c r="AA22" s="236" t="str">
        <f>IF(AND($P$8&gt;=0.041,$P$8&lt;=0.1),"medio","erro")</f>
        <v>erro</v>
      </c>
      <c r="AB22" s="236" t="str">
        <f>IF($P$8&gt;0.101,"adequado","erro")</f>
        <v>adequado</v>
      </c>
      <c r="AC22" s="236"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236" t="s">
        <v>21</v>
      </c>
      <c r="P23" s="5">
        <v>16.899999999999999</v>
      </c>
      <c r="Q23" s="236" t="s">
        <v>10</v>
      </c>
      <c r="R23" s="248"/>
      <c r="U23" s="236" t="s">
        <v>61</v>
      </c>
      <c r="V23" s="236" t="s">
        <v>249</v>
      </c>
      <c r="W23" s="236" t="s">
        <v>252</v>
      </c>
      <c r="X23" s="236" t="s">
        <v>253</v>
      </c>
      <c r="Y23" s="236" t="str">
        <f>IF($P$21&gt;20,"correto","erro")</f>
        <v>correto</v>
      </c>
      <c r="Z23" s="236" t="str">
        <f>IF($P$8&lt;=0.06,"baixo","erro")</f>
        <v>erro</v>
      </c>
      <c r="AA23" s="236" t="str">
        <f>IF(AND($P$8&gt;=0.061,$P$8&lt;=0.2),"medio","erro")</f>
        <v>erro</v>
      </c>
      <c r="AB23" s="236" t="str">
        <f>IF($P$8&gt;0.201,"adequado","erro")</f>
        <v>adequado</v>
      </c>
      <c r="AC23" s="236"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236" t="s">
        <v>22</v>
      </c>
      <c r="P24" s="2">
        <f>100*(P6+P7+P8+P9)/P25</f>
        <v>48.586118251928028</v>
      </c>
      <c r="Q24" s="236" t="s">
        <v>23</v>
      </c>
      <c r="R24" s="248"/>
      <c r="AO24" s="7"/>
      <c r="AP24" s="7"/>
      <c r="AQ24" s="7"/>
      <c r="AR24" s="7"/>
      <c r="AS24" s="28">
        <f>AS26-(SUM(AS27:AS36))</f>
        <v>16</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236" t="s">
        <v>24</v>
      </c>
      <c r="P25" s="1">
        <f>(P6+P7+P8+P9+P11)</f>
        <v>7.7799999999999994</v>
      </c>
      <c r="Q25" s="236" t="s">
        <v>55</v>
      </c>
      <c r="R25" s="248"/>
      <c r="AO25" s="7"/>
      <c r="AP25" s="326" t="s">
        <v>232</v>
      </c>
      <c r="AQ25" s="326" t="s">
        <v>233</v>
      </c>
      <c r="AR25" s="326"/>
      <c r="AS25" s="256" t="s">
        <v>84</v>
      </c>
      <c r="AT25" s="256" t="s">
        <v>87</v>
      </c>
      <c r="AU25" s="256" t="s">
        <v>85</v>
      </c>
      <c r="AV25" s="256" t="s">
        <v>86</v>
      </c>
      <c r="AW25" s="7"/>
      <c r="AX25" s="7"/>
      <c r="AY25" s="7"/>
      <c r="AZ25" s="7"/>
      <c r="BA25" s="7"/>
      <c r="BB25" s="7"/>
    </row>
    <row r="26" spans="2:54" ht="19.5" customHeight="1" thickBot="1" x14ac:dyDescent="0.3">
      <c r="B26" s="321" t="s">
        <v>246</v>
      </c>
      <c r="C26" s="322"/>
      <c r="D26" s="322"/>
      <c r="E26" s="322"/>
      <c r="F26" s="322"/>
      <c r="G26" s="322"/>
      <c r="H26" s="322"/>
      <c r="I26" s="323"/>
      <c r="J26" s="12"/>
      <c r="M26" s="249"/>
      <c r="N26" s="250"/>
      <c r="O26" s="250"/>
      <c r="P26" s="250"/>
      <c r="Q26" s="250"/>
      <c r="R26" s="251"/>
      <c r="U26" s="300" t="s">
        <v>281</v>
      </c>
      <c r="V26" s="298"/>
      <c r="W26" s="298"/>
      <c r="X26" s="298"/>
      <c r="Y26" s="298"/>
      <c r="Z26" s="299"/>
      <c r="AO26" s="7"/>
      <c r="AP26" s="326"/>
      <c r="AQ26" s="326"/>
      <c r="AR26" s="326"/>
      <c r="AS26" s="3">
        <f>AK9</f>
        <v>16</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1.3746130030959745</v>
      </c>
      <c r="E27" s="329" t="str">
        <f>IF(J27&gt;0,"toneladas por hectare ou,","-")</f>
        <v>toneladas por hectare ou,</v>
      </c>
      <c r="F27" s="329"/>
      <c r="G27" s="329"/>
      <c r="H27" s="101" t="s">
        <v>447</v>
      </c>
      <c r="I27" s="101">
        <f>IFERROR((D27*1000*VLOOKUP(B27,$V$56:$W$68,2,0)*$O$34),0)</f>
        <v>769.78328173374575</v>
      </c>
      <c r="J27" s="32">
        <f>V51</f>
        <v>1.3746130030959745</v>
      </c>
      <c r="U27" s="236" t="s">
        <v>32</v>
      </c>
      <c r="V27" s="236" t="s">
        <v>64</v>
      </c>
      <c r="W27" s="236" t="s">
        <v>75</v>
      </c>
      <c r="X27" s="236" t="s">
        <v>71</v>
      </c>
      <c r="Y27" s="236" t="s">
        <v>36</v>
      </c>
      <c r="Z27" s="236" t="s">
        <v>35</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0.13746130030959744</v>
      </c>
      <c r="E28" s="332" t="str">
        <f>IF(J28&gt;0,"gramas por metro quadrado","-")</f>
        <v>gramas por metro quadrado</v>
      </c>
      <c r="F28" s="332"/>
      <c r="G28" s="332"/>
      <c r="H28" s="102" t="s">
        <v>419</v>
      </c>
      <c r="I28" s="102">
        <f>I27/$E$18</f>
        <v>6.1582662538699662</v>
      </c>
      <c r="J28" s="32">
        <f>J27/10</f>
        <v>0.13746130030959744</v>
      </c>
      <c r="M28" s="246"/>
      <c r="N28" s="241"/>
      <c r="O28" s="241"/>
      <c r="P28" s="241"/>
      <c r="Q28" s="241"/>
      <c r="R28" s="247"/>
      <c r="U28" s="236">
        <v>0</v>
      </c>
      <c r="V28" s="236">
        <v>68</v>
      </c>
      <c r="W28" s="236" t="s">
        <v>68</v>
      </c>
      <c r="X28" s="236" t="str">
        <f>CONCATENATE(U28," - ",W28)</f>
        <v>0 - baixo</v>
      </c>
      <c r="Y28" s="236">
        <v>31</v>
      </c>
      <c r="Z28" s="236">
        <v>160</v>
      </c>
      <c r="AE28" s="258" t="s">
        <v>63</v>
      </c>
      <c r="AG28" s="236" t="s">
        <v>63</v>
      </c>
      <c r="AI28" s="15" t="s">
        <v>63</v>
      </c>
      <c r="AK28" s="15" t="s">
        <v>63</v>
      </c>
      <c r="AL28" s="236"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48"/>
      <c r="U29" s="236">
        <v>0</v>
      </c>
      <c r="V29" s="236">
        <v>68</v>
      </c>
      <c r="W29" s="236" t="s">
        <v>69</v>
      </c>
      <c r="X29" s="236" t="str">
        <f t="shared" ref="X29:X42" si="8">CONCATENATE(U29," - ",W29)</f>
        <v>0 - medio</v>
      </c>
      <c r="Y29" s="236">
        <v>21</v>
      </c>
      <c r="Z29" s="236">
        <v>107</v>
      </c>
      <c r="AB29" s="312" t="s">
        <v>65</v>
      </c>
      <c r="AC29" s="312"/>
      <c r="AE29" s="258" t="s">
        <v>32</v>
      </c>
      <c r="AG29" s="236"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48"/>
      <c r="U30" s="236">
        <v>0</v>
      </c>
      <c r="V30" s="236">
        <v>68</v>
      </c>
      <c r="W30" s="236" t="s">
        <v>70</v>
      </c>
      <c r="X30" s="236" t="str">
        <f t="shared" si="8"/>
        <v>0 - adequado</v>
      </c>
      <c r="Y30" s="236">
        <v>10</v>
      </c>
      <c r="Z30" s="236">
        <v>53</v>
      </c>
      <c r="AB30" s="255" t="s">
        <v>33</v>
      </c>
      <c r="AC30" s="4">
        <f>(VLOOKUP($P$39,$U$28:$V$42,2,0))/AD30</f>
        <v>68</v>
      </c>
      <c r="AD30" s="184">
        <f>'Abacate formação (1)'!AD30</f>
        <v>1</v>
      </c>
      <c r="AE30" s="258" t="s">
        <v>34</v>
      </c>
      <c r="AG30" s="236"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48"/>
      <c r="U31" s="236">
        <v>1</v>
      </c>
      <c r="V31" s="236">
        <v>68</v>
      </c>
      <c r="W31" s="236" t="s">
        <v>68</v>
      </c>
      <c r="X31" s="236" t="str">
        <f t="shared" si="8"/>
        <v>1 - baixo</v>
      </c>
      <c r="Y31" s="236">
        <v>31</v>
      </c>
      <c r="Z31" s="236">
        <v>160</v>
      </c>
      <c r="AB31" s="255" t="s">
        <v>66</v>
      </c>
      <c r="AC31" s="255">
        <f>(VLOOKUP(AB36,X28:Z42,2,0))/AD31</f>
        <v>31</v>
      </c>
      <c r="AD31" s="184">
        <f>'Abacate formação (1)'!AD31</f>
        <v>1</v>
      </c>
      <c r="AE31" s="258">
        <v>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48"/>
      <c r="U32" s="236">
        <v>1</v>
      </c>
      <c r="V32" s="236">
        <v>68</v>
      </c>
      <c r="W32" s="236" t="s">
        <v>69</v>
      </c>
      <c r="X32" s="236" t="str">
        <f t="shared" si="8"/>
        <v>1 - medio</v>
      </c>
      <c r="Y32" s="236">
        <v>21</v>
      </c>
      <c r="Z32" s="236">
        <v>107</v>
      </c>
      <c r="AB32" s="255" t="s">
        <v>67</v>
      </c>
      <c r="AC32" s="255">
        <f>(VLOOKUP($AB$39,X28:Z42,3,0))/AD32</f>
        <v>53</v>
      </c>
      <c r="AD32" s="184">
        <f>'Abacate formação (1)'!AD32</f>
        <v>1</v>
      </c>
      <c r="AE32" s="258">
        <v>1</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48"/>
      <c r="U33" s="236">
        <v>1</v>
      </c>
      <c r="V33" s="236">
        <v>68</v>
      </c>
      <c r="W33" s="236" t="s">
        <v>70</v>
      </c>
      <c r="X33" s="236" t="str">
        <f t="shared" si="8"/>
        <v>1 - adequado</v>
      </c>
      <c r="Y33" s="236">
        <v>10</v>
      </c>
      <c r="Z33" s="236">
        <v>53</v>
      </c>
      <c r="AE33" s="258">
        <v>2</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48"/>
      <c r="U34" s="236">
        <v>2</v>
      </c>
      <c r="V34" s="236">
        <v>68</v>
      </c>
      <c r="W34" s="236" t="s">
        <v>68</v>
      </c>
      <c r="X34" s="236" t="str">
        <f t="shared" si="8"/>
        <v>2 - baixo</v>
      </c>
      <c r="Y34" s="236">
        <v>31</v>
      </c>
      <c r="Z34" s="236">
        <v>160</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49"/>
      <c r="N35" s="250"/>
      <c r="O35" s="103">
        <f>IFERROR(IF(ISERR(P35),Q35,IF(ISERR(Q35),P35)),"-")</f>
        <v>125</v>
      </c>
      <c r="P35" s="17">
        <f>10000/($O$30*$Q$30)</f>
        <v>125</v>
      </c>
      <c r="Q35" s="17" t="e">
        <f>10000/((($O$32/2)+($P$32/2))*$Q$32)</f>
        <v>#DIV/0!</v>
      </c>
      <c r="R35" s="251"/>
      <c r="U35" s="236">
        <v>2</v>
      </c>
      <c r="V35" s="236">
        <v>68</v>
      </c>
      <c r="W35" s="236" t="s">
        <v>69</v>
      </c>
      <c r="X35" s="236" t="str">
        <f t="shared" si="8"/>
        <v>2 - medio</v>
      </c>
      <c r="Y35" s="236">
        <v>21</v>
      </c>
      <c r="Z35" s="236">
        <v>107</v>
      </c>
      <c r="AB35" s="301" t="s">
        <v>72</v>
      </c>
      <c r="AC35" s="301"/>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236">
        <v>2</v>
      </c>
      <c r="V36" s="236">
        <v>68</v>
      </c>
      <c r="W36" s="236" t="s">
        <v>70</v>
      </c>
      <c r="X36" s="236" t="str">
        <f t="shared" si="8"/>
        <v>2 - adequado</v>
      </c>
      <c r="Y36" s="236">
        <v>10</v>
      </c>
      <c r="Z36" s="236">
        <v>53</v>
      </c>
      <c r="AB36" s="301" t="str">
        <f>CONCATENATE($P$39," - ",$AD$8)</f>
        <v>1 -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46"/>
      <c r="N37" s="241"/>
      <c r="O37" s="241"/>
      <c r="P37" s="241"/>
      <c r="Q37" s="241"/>
      <c r="R37" s="247"/>
      <c r="AI37" s="15">
        <v>0.7</v>
      </c>
      <c r="AK37" s="73" t="str">
        <f>'Adubos e corretivos (1)'!E128</f>
        <v>Compostos orgânicos</v>
      </c>
      <c r="AL37" s="105">
        <f>'Adubos e corretivos (1)'!F128</f>
        <v>0.7</v>
      </c>
      <c r="AO37" s="29"/>
      <c r="AP37" s="29"/>
      <c r="AQ37" s="29"/>
      <c r="AR37" s="29"/>
      <c r="AS37" s="28">
        <f>IF(AS24&gt;0,AS24,0)</f>
        <v>16</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178</v>
      </c>
      <c r="P38" s="312"/>
      <c r="Q38" s="312"/>
      <c r="R38" s="248"/>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236" t="s">
        <v>163</v>
      </c>
      <c r="P39" s="330">
        <v>1</v>
      </c>
      <c r="Q39" s="330"/>
      <c r="R39" s="248"/>
      <c r="AB39" s="301" t="str">
        <f>CONCATENATE($P$39," - ",$AD$22)</f>
        <v>1 - adequado</v>
      </c>
      <c r="AC39" s="301"/>
      <c r="AI39" s="15">
        <v>0.9</v>
      </c>
      <c r="AO39" s="7"/>
      <c r="AP39" s="295" t="s">
        <v>235</v>
      </c>
      <c r="AQ39" s="295"/>
      <c r="AR39" s="254" t="s">
        <v>84</v>
      </c>
      <c r="AS39" s="254" t="s">
        <v>87</v>
      </c>
      <c r="AT39" s="254" t="s">
        <v>85</v>
      </c>
      <c r="AU39" s="254" t="s">
        <v>86</v>
      </c>
      <c r="AV39" s="254" t="s">
        <v>200</v>
      </c>
      <c r="AW39" s="254" t="s">
        <v>84</v>
      </c>
      <c r="AX39" s="254" t="s">
        <v>87</v>
      </c>
      <c r="AY39" s="254" t="s">
        <v>85</v>
      </c>
      <c r="AZ39" s="254" t="s">
        <v>86</v>
      </c>
      <c r="BA39" s="7"/>
      <c r="BB39" s="7"/>
    </row>
    <row r="40" spans="2:57" ht="19.5" customHeight="1" x14ac:dyDescent="0.25">
      <c r="J40" s="12"/>
      <c r="K40" s="35"/>
      <c r="M40" s="303"/>
      <c r="N40" s="332"/>
      <c r="O40" s="240"/>
      <c r="P40" s="240"/>
      <c r="Q40" s="240"/>
      <c r="R40" s="248"/>
      <c r="AI40" s="15">
        <v>1</v>
      </c>
      <c r="AO40" s="7"/>
      <c r="AP40" s="295" t="str">
        <f>O102</f>
        <v>Ácido Bórico</v>
      </c>
      <c r="AQ40" s="295"/>
      <c r="AR40" s="9">
        <f>IFERROR($AS$37/((VLOOKUP(AP40,$V$100:$AO$179,11,0)*0.01)),0)</f>
        <v>91.428571428571416</v>
      </c>
      <c r="AS40" s="9">
        <f>IFERROR($AT$37/((VLOOKUP(AP40,$V$100:$AO$179,14,0)*0.01)),0)</f>
        <v>0</v>
      </c>
      <c r="AT40" s="9">
        <f>IFERROR($AU$37/((VLOOKUP(AP40,$V$100:$AO$179,12,0)*0.01)),0)</f>
        <v>0</v>
      </c>
      <c r="AU40" s="9">
        <f>IFERROR($AV$37/((VLOOKUP(AP40,$V$100:$AO$179,13,0)*0.01)),0)</f>
        <v>0</v>
      </c>
      <c r="AV40" s="9">
        <f>MAX(AR40:AU40)</f>
        <v>91.428571428571416</v>
      </c>
      <c r="AW40" s="9">
        <f>IFERROR(AV40*(VLOOKUP(AP40,$V$100:$AO$179,11,0)*0.01),0)</f>
        <v>16</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48"/>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240"/>
      <c r="BD41" s="240"/>
      <c r="BE41" s="240"/>
    </row>
    <row r="42" spans="2:57" ht="19.5" customHeight="1" x14ac:dyDescent="0.25">
      <c r="B42" s="328"/>
      <c r="C42" s="328"/>
      <c r="D42" s="328"/>
      <c r="E42" s="328"/>
      <c r="F42" s="328"/>
      <c r="G42" s="328"/>
      <c r="H42" s="328"/>
      <c r="I42" s="328"/>
      <c r="J42" s="12"/>
      <c r="K42" s="35"/>
      <c r="M42" s="303"/>
      <c r="N42" s="332"/>
      <c r="O42" s="333"/>
      <c r="P42" s="334"/>
      <c r="Q42" s="335"/>
      <c r="R42" s="248"/>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49"/>
      <c r="N43" s="250"/>
      <c r="O43" s="250"/>
      <c r="P43" s="250"/>
      <c r="Q43" s="250"/>
      <c r="R43" s="25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177.14285714285717</v>
      </c>
      <c r="K45" s="35"/>
      <c r="M45" s="246"/>
      <c r="N45" s="241"/>
      <c r="O45" s="337" t="s">
        <v>275</v>
      </c>
      <c r="P45" s="337"/>
      <c r="Q45" s="337"/>
      <c r="R45" s="247"/>
      <c r="U45" s="300" t="s">
        <v>101</v>
      </c>
      <c r="V45" s="299"/>
      <c r="X45" s="301" t="s">
        <v>181</v>
      </c>
      <c r="Y45" s="301"/>
      <c r="Z45" s="301"/>
      <c r="AB45" s="236" t="s">
        <v>399</v>
      </c>
      <c r="AC45" s="236" t="str">
        <f>IF($P$63&lt;=0.5,"Sim","Não")</f>
        <v>Não</v>
      </c>
      <c r="AD45" s="236" t="s">
        <v>171</v>
      </c>
      <c r="AE45" s="236">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48"/>
      <c r="U46" s="236" t="s">
        <v>102</v>
      </c>
      <c r="V46" s="31">
        <f>'Adubos e corretivos (1)'!C129</f>
        <v>60</v>
      </c>
      <c r="X46" s="336" t="s">
        <v>242</v>
      </c>
      <c r="Y46" s="336"/>
      <c r="Z46" s="2">
        <f>IFERROR(VLOOKUP(O50,$V$87:$AE$95,10,0),0)</f>
        <v>9.1197279464721319</v>
      </c>
      <c r="AB46" s="236" t="s">
        <v>400</v>
      </c>
      <c r="AC46" s="236" t="str">
        <f>IF($P$64&gt;=0.5,"Sim","Não")</f>
        <v>Não</v>
      </c>
      <c r="AD46" s="236" t="s">
        <v>170</v>
      </c>
      <c r="AE46" s="236">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252.38095238095238</v>
      </c>
      <c r="K47" s="35"/>
      <c r="M47" s="303"/>
      <c r="N47" s="332"/>
      <c r="O47" s="333" t="s">
        <v>442</v>
      </c>
      <c r="P47" s="335"/>
      <c r="Q47" s="18">
        <v>1</v>
      </c>
      <c r="R47" s="248"/>
      <c r="U47" s="236" t="s">
        <v>104</v>
      </c>
      <c r="V47" s="2">
        <f>IFERROR((((V46-P24)*P25)/V49),0)</f>
        <v>1.3746130030959745</v>
      </c>
      <c r="X47" s="336" t="s">
        <v>182</v>
      </c>
      <c r="Y47" s="336"/>
      <c r="Z47" s="2">
        <f>IFERROR((($V$50/$Z$46)*$V$47),0)</f>
        <v>6.7828322842950355</v>
      </c>
      <c r="AB47" s="236" t="s">
        <v>401</v>
      </c>
      <c r="AC47" s="236" t="str">
        <f>IF($P$65&gt;=20,"Sim","Não")</f>
        <v>Sim</v>
      </c>
      <c r="AD47" s="236"/>
      <c r="AE47" s="236"/>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48"/>
      <c r="U48" s="236" t="s">
        <v>180</v>
      </c>
      <c r="V48" s="2">
        <f>IF(V47&lt;0,(0),IF(V47&gt;=0,(V47)))</f>
        <v>1.3746130030959745</v>
      </c>
      <c r="X48" s="336" t="s">
        <v>180</v>
      </c>
      <c r="Y48" s="336"/>
      <c r="Z48" s="2">
        <f>IFERROR(IF(Z47&lt;0,(0),IF(Z47&gt;=0,(Z47))),0)</f>
        <v>6.7828322842950355</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48"/>
      <c r="U49" s="236" t="s">
        <v>103</v>
      </c>
      <c r="V49" s="2">
        <f>IFERROR(VLOOKUP($O$47,$V$56:$AA$68,5,0),0)</f>
        <v>64.599999999999994</v>
      </c>
      <c r="X49" s="336" t="s">
        <v>247</v>
      </c>
      <c r="Y49" s="336"/>
      <c r="Z49" s="2">
        <f>Z48*$Q$50</f>
        <v>0</v>
      </c>
    </row>
    <row r="50" spans="2:50" ht="19.5" customHeight="1" x14ac:dyDescent="0.25">
      <c r="J50" s="33">
        <f>AV18</f>
        <v>1133.3333333333335</v>
      </c>
      <c r="K50" s="35"/>
      <c r="L50" s="240"/>
      <c r="M50" s="303"/>
      <c r="N50" s="332"/>
      <c r="O50" s="333" t="s">
        <v>144</v>
      </c>
      <c r="P50" s="335"/>
      <c r="Q50" s="18"/>
      <c r="R50" s="248"/>
      <c r="U50" s="236" t="s">
        <v>174</v>
      </c>
      <c r="V50" s="2">
        <f>IFERROR(VLOOKUP($O$47,$V$56:$AA$68,6,0),0)</f>
        <v>45</v>
      </c>
      <c r="AT50" s="301" t="s">
        <v>254</v>
      </c>
      <c r="AU50" s="301"/>
      <c r="AV50" s="301"/>
    </row>
    <row r="51" spans="2:50" ht="19.5" customHeight="1" thickBot="1" x14ac:dyDescent="0.3">
      <c r="B51" s="327" t="str">
        <f>IF(AQ7&gt;0,AQ7,"-")</f>
        <v>Termofosfato YOORIN</v>
      </c>
      <c r="C51" s="327"/>
      <c r="D51" s="108">
        <f>IFERROR(((D52/1000)*$E$18),0)</f>
        <v>22.142857142857146</v>
      </c>
      <c r="E51" s="332" t="str">
        <f>IF(J45&gt;0,"quilos para área total","-")</f>
        <v>quilos para área total</v>
      </c>
      <c r="F51" s="332"/>
      <c r="G51" s="332"/>
      <c r="H51" s="102" t="s">
        <v>447</v>
      </c>
      <c r="I51" s="102">
        <f>I52*$E$18*$I$18</f>
        <v>51.482142857142868</v>
      </c>
      <c r="J51" s="33">
        <f>AV19</f>
        <v>0</v>
      </c>
      <c r="K51" s="35"/>
      <c r="L51" s="240"/>
      <c r="M51" s="249"/>
      <c r="N51" s="250"/>
      <c r="O51" s="250"/>
      <c r="P51" s="250"/>
      <c r="Q51" s="250"/>
      <c r="R51" s="251"/>
      <c r="U51" s="236" t="s">
        <v>247</v>
      </c>
      <c r="V51" s="2">
        <f>V48*$Q$47</f>
        <v>1.3746130030959745</v>
      </c>
      <c r="AT51" s="237" t="s">
        <v>264</v>
      </c>
      <c r="AU51" s="96" t="str">
        <f>AK29</f>
        <v>Composto de lixo (COL)</v>
      </c>
      <c r="AV51" s="237">
        <v>12</v>
      </c>
    </row>
    <row r="52" spans="2:50" ht="19.5" customHeight="1" x14ac:dyDescent="0.25">
      <c r="B52" s="327"/>
      <c r="C52" s="327"/>
      <c r="D52" s="109">
        <f>IF(J45&gt;0,J45,"-")</f>
        <v>177.14285714285717</v>
      </c>
      <c r="E52" s="332" t="str">
        <f>IF(J45&gt;0,"gramas por planta","-")</f>
        <v>gramas por planta</v>
      </c>
      <c r="F52" s="332"/>
      <c r="G52" s="332"/>
      <c r="H52" s="102" t="s">
        <v>446</v>
      </c>
      <c r="I52" s="102">
        <f>IFERROR((D52/1000)*VLOOKUP(B51,$V$100:$W$179,2,0),0)</f>
        <v>0.41185714285714292</v>
      </c>
      <c r="J52" s="33">
        <f>AV20</f>
        <v>0</v>
      </c>
      <c r="K52" s="35"/>
      <c r="L52" s="240"/>
      <c r="AT52" s="237" t="s">
        <v>264</v>
      </c>
      <c r="AU52" s="96" t="str">
        <f t="shared" ref="AU52:AU59" si="10">AK30</f>
        <v>Cama de frango corte</v>
      </c>
      <c r="AV52" s="237">
        <v>4</v>
      </c>
    </row>
    <row r="53" spans="2:50" ht="19.5" customHeight="1" thickBot="1" x14ac:dyDescent="0.3">
      <c r="J53" s="34"/>
      <c r="K53" s="35"/>
      <c r="L53" s="240"/>
      <c r="AP53" s="240"/>
      <c r="AQ53" s="240"/>
      <c r="AS53" s="240"/>
      <c r="AT53" s="237" t="s">
        <v>264</v>
      </c>
      <c r="AU53" s="96" t="str">
        <f t="shared" si="10"/>
        <v>Esterco de galinha</v>
      </c>
      <c r="AV53" s="23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46"/>
      <c r="N54" s="241"/>
      <c r="O54" s="241"/>
      <c r="P54" s="241"/>
      <c r="Q54" s="241"/>
      <c r="R54" s="247"/>
      <c r="U54" s="340" t="s">
        <v>124</v>
      </c>
      <c r="V54" s="340" t="s">
        <v>76</v>
      </c>
      <c r="W54" s="340" t="s">
        <v>77</v>
      </c>
      <c r="X54" s="340" t="s">
        <v>78</v>
      </c>
      <c r="Y54" s="340"/>
      <c r="Z54" s="340"/>
      <c r="AA54" s="340"/>
      <c r="AP54" s="341"/>
      <c r="AQ54" s="341"/>
      <c r="AS54" s="341"/>
      <c r="AT54" s="237" t="s">
        <v>264</v>
      </c>
      <c r="AU54" s="96" t="str">
        <f t="shared" si="10"/>
        <v>Esterco Bovino curtido</v>
      </c>
      <c r="AV54" s="23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48"/>
      <c r="U55" s="340"/>
      <c r="V55" s="340"/>
      <c r="W55" s="340"/>
      <c r="X55" s="244" t="s">
        <v>98</v>
      </c>
      <c r="Y55" s="244" t="s">
        <v>99</v>
      </c>
      <c r="Z55" s="244" t="s">
        <v>100</v>
      </c>
      <c r="AA55" s="244" t="s">
        <v>176</v>
      </c>
      <c r="AP55" s="341"/>
      <c r="AQ55" s="341"/>
      <c r="AS55" s="341"/>
      <c r="AT55" s="237" t="s">
        <v>264</v>
      </c>
      <c r="AU55" s="96" t="str">
        <f t="shared" si="10"/>
        <v>Esterco de equino</v>
      </c>
      <c r="AV55" s="237">
        <v>12</v>
      </c>
    </row>
    <row r="56" spans="2:50" ht="19.5" customHeight="1" x14ac:dyDescent="0.25">
      <c r="J56" s="35"/>
      <c r="K56" s="35"/>
      <c r="M56" s="303"/>
      <c r="N56" s="332"/>
      <c r="O56" s="330" t="s">
        <v>169</v>
      </c>
      <c r="P56" s="330"/>
      <c r="Q56" s="330"/>
      <c r="R56" s="248"/>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240"/>
      <c r="AQ56" s="240"/>
      <c r="AS56" s="240"/>
      <c r="AT56" s="237" t="s">
        <v>264</v>
      </c>
      <c r="AU56" s="96" t="str">
        <f t="shared" si="10"/>
        <v>Esterco de suínos</v>
      </c>
      <c r="AV56" s="237">
        <v>4</v>
      </c>
    </row>
    <row r="57" spans="2:50" ht="19.5" customHeight="1" x14ac:dyDescent="0.25">
      <c r="B57" s="327" t="str">
        <f>IF(AQ12&gt;0,AQ12,"-")</f>
        <v>Kmag</v>
      </c>
      <c r="C57" s="327"/>
      <c r="D57" s="108">
        <f>IFERROR(((D58/1000)*$E$18),0)</f>
        <v>31.547619047619047</v>
      </c>
      <c r="E57" s="354" t="str">
        <f>IF(J47&gt;0,"quilos para área total","-")</f>
        <v>quilos para área total</v>
      </c>
      <c r="F57" s="354"/>
      <c r="G57" s="354"/>
      <c r="H57" s="102" t="s">
        <v>447</v>
      </c>
      <c r="I57" s="102">
        <f>I58*$E$18*$I$18</f>
        <v>91.488095238095227</v>
      </c>
      <c r="J57" s="35"/>
      <c r="K57" s="35"/>
      <c r="M57" s="303"/>
      <c r="N57" s="332"/>
      <c r="R57" s="248"/>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240"/>
      <c r="AQ57" s="330" t="s">
        <v>273</v>
      </c>
      <c r="AR57" s="330"/>
      <c r="AS57" s="240"/>
      <c r="AT57" s="237" t="s">
        <v>264</v>
      </c>
      <c r="AU57" s="96" t="str">
        <f t="shared" si="10"/>
        <v>Esterco de ovinos</v>
      </c>
      <c r="AV57" s="237">
        <v>4</v>
      </c>
    </row>
    <row r="58" spans="2:50" ht="19.5" customHeight="1" x14ac:dyDescent="0.25">
      <c r="B58" s="327"/>
      <c r="C58" s="327"/>
      <c r="D58" s="108">
        <f>IF(J47&gt;0,J47,"-")</f>
        <v>252.38095238095238</v>
      </c>
      <c r="E58" s="332" t="str">
        <f>IF(J47&gt;0,"gramas por planta","-")</f>
        <v>gramas por planta</v>
      </c>
      <c r="F58" s="332"/>
      <c r="G58" s="332"/>
      <c r="H58" s="102" t="s">
        <v>446</v>
      </c>
      <c r="I58" s="102">
        <f>IFERROR((D58/1000)*VLOOKUP(B57,$V$100:$W$179,2,0),0)</f>
        <v>0.73190476190476184</v>
      </c>
      <c r="J58" s="35"/>
      <c r="K58" s="35"/>
      <c r="M58" s="303"/>
      <c r="N58" s="332"/>
      <c r="O58" s="355" t="s">
        <v>398</v>
      </c>
      <c r="P58" s="356"/>
      <c r="Q58" s="357"/>
      <c r="R58" s="248"/>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240"/>
      <c r="AQ58" s="330">
        <f>IFERROR(VLOOKUP($O$42,AU51:AV59,2,0),0)</f>
        <v>0</v>
      </c>
      <c r="AR58" s="330"/>
      <c r="AS58" s="240"/>
      <c r="AT58" s="237" t="s">
        <v>264</v>
      </c>
      <c r="AU58" s="96" t="str">
        <f t="shared" si="10"/>
        <v>Lodo de esgosto</v>
      </c>
      <c r="AV58" s="237">
        <v>4</v>
      </c>
    </row>
    <row r="59" spans="2:50" ht="19.5" customHeight="1" x14ac:dyDescent="0.25">
      <c r="J59" s="35"/>
      <c r="K59" s="35"/>
      <c r="M59" s="303"/>
      <c r="N59" s="332"/>
      <c r="O59" s="358"/>
      <c r="P59" s="359"/>
      <c r="Q59" s="360"/>
      <c r="R59" s="248"/>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240"/>
      <c r="AS59" s="240"/>
      <c r="AT59" s="237" t="s">
        <v>264</v>
      </c>
      <c r="AU59" s="96" t="str">
        <f t="shared" si="10"/>
        <v>Compostos orgânicos</v>
      </c>
      <c r="AV59" s="23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48"/>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240"/>
      <c r="AQ60" s="240"/>
      <c r="AS60" s="240"/>
      <c r="AT60" s="240"/>
      <c r="AU60" s="240"/>
      <c r="AV60" s="240"/>
      <c r="AW60" s="240"/>
      <c r="AX60" s="240"/>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48"/>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240"/>
      <c r="AQ61" s="240"/>
      <c r="AS61" s="240"/>
      <c r="AT61" s="240"/>
      <c r="AU61" s="240"/>
      <c r="AV61" s="240"/>
      <c r="AW61" s="240"/>
      <c r="AX61" s="240"/>
    </row>
    <row r="62" spans="2:50" ht="19.5" customHeight="1" x14ac:dyDescent="0.25">
      <c r="J62" s="35"/>
      <c r="K62" s="35"/>
      <c r="M62" s="303"/>
      <c r="N62" s="332"/>
      <c r="O62" s="318" t="s">
        <v>407</v>
      </c>
      <c r="P62" s="319"/>
      <c r="Q62" s="320"/>
      <c r="R62" s="248"/>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240"/>
      <c r="AT62" s="240"/>
      <c r="AU62" s="240"/>
      <c r="AV62" s="240"/>
      <c r="AW62" s="240"/>
      <c r="AX62" s="240"/>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236" t="s">
        <v>3</v>
      </c>
      <c r="P63" s="6">
        <v>2</v>
      </c>
      <c r="Q63" s="236" t="s">
        <v>55</v>
      </c>
      <c r="R63" s="248"/>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240"/>
      <c r="AT63" s="240"/>
      <c r="AU63" s="240"/>
      <c r="AV63" s="240"/>
      <c r="AW63" s="240"/>
      <c r="AX63" s="240"/>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236" t="s">
        <v>7</v>
      </c>
      <c r="P64" s="6">
        <v>0.4</v>
      </c>
      <c r="Q64" s="236" t="s">
        <v>55</v>
      </c>
      <c r="R64" s="248"/>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240"/>
      <c r="AT64" s="240"/>
      <c r="AU64" s="240"/>
      <c r="AV64" s="240"/>
      <c r="AW64" s="240"/>
      <c r="AX64" s="240"/>
    </row>
    <row r="65" spans="2:50" ht="19.5" customHeight="1" x14ac:dyDescent="0.25">
      <c r="H65" s="102"/>
      <c r="I65" s="21"/>
      <c r="J65" s="35"/>
      <c r="K65" s="35"/>
      <c r="M65" s="303"/>
      <c r="N65" s="332"/>
      <c r="O65" s="236" t="s">
        <v>402</v>
      </c>
      <c r="P65" s="5">
        <v>25</v>
      </c>
      <c r="Q65" s="236" t="s">
        <v>23</v>
      </c>
      <c r="R65" s="248"/>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240"/>
      <c r="AT65" s="240"/>
      <c r="AU65" s="240"/>
      <c r="AV65" s="240"/>
      <c r="AW65" s="240"/>
      <c r="AX65" s="240"/>
    </row>
    <row r="66" spans="2:50" ht="19.5" customHeight="1" thickBot="1" x14ac:dyDescent="0.3">
      <c r="B66" s="327" t="str">
        <f>IF(AQ18&gt;0,AQ18,"-")</f>
        <v>Torta de mamona Hortibraz</v>
      </c>
      <c r="C66" s="327"/>
      <c r="D66" s="108">
        <f>IFERROR(((D67/1000)*$E$18),0)</f>
        <v>141.66666666666669</v>
      </c>
      <c r="E66" s="354" t="str">
        <f>IF(J50&gt;0,"quilos para área total","-")</f>
        <v>quilos para área total</v>
      </c>
      <c r="F66" s="354"/>
      <c r="G66" s="354"/>
      <c r="H66" s="102" t="s">
        <v>447</v>
      </c>
      <c r="I66" s="102">
        <f>I67*$E$18*$I$18</f>
        <v>215.33333333333337</v>
      </c>
      <c r="M66" s="249"/>
      <c r="N66" s="250"/>
      <c r="O66" s="250"/>
      <c r="P66" s="250"/>
      <c r="Q66" s="250"/>
      <c r="R66" s="25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240"/>
      <c r="AT66" s="240"/>
      <c r="AU66" s="240"/>
      <c r="AV66" s="240"/>
      <c r="AW66" s="240"/>
      <c r="AX66" s="240"/>
    </row>
    <row r="67" spans="2:50" ht="19.5" customHeight="1" thickBot="1" x14ac:dyDescent="0.3">
      <c r="B67" s="327"/>
      <c r="C67" s="327"/>
      <c r="D67" s="108">
        <f>IF(J50&gt;0,J50,"-")</f>
        <v>1133.3333333333335</v>
      </c>
      <c r="E67" s="332" t="str">
        <f>IF(J50&gt;0,"gramas por planta","-")</f>
        <v>gramas por planta</v>
      </c>
      <c r="F67" s="332"/>
      <c r="G67" s="332"/>
      <c r="H67" s="102" t="s">
        <v>446</v>
      </c>
      <c r="I67" s="102">
        <f>IFERROR((D67/1000)*VLOOKUP(B66,$V$100:$W$179,2,0),0)</f>
        <v>1.722666666666667</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240"/>
      <c r="AT67" s="240"/>
      <c r="AU67" s="240"/>
      <c r="AV67" s="240"/>
      <c r="AW67" s="240"/>
      <c r="AX67" s="240"/>
    </row>
    <row r="68" spans="2:50" ht="19.5" customHeight="1" x14ac:dyDescent="0.25">
      <c r="H68" s="102"/>
      <c r="I68" s="21"/>
      <c r="M68" s="246"/>
      <c r="N68" s="241"/>
      <c r="O68" s="241"/>
      <c r="P68" s="241"/>
      <c r="Q68" s="241"/>
      <c r="R68" s="247"/>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240"/>
      <c r="AT68" s="240"/>
      <c r="AU68" s="240"/>
      <c r="AV68" s="240"/>
      <c r="AW68" s="240"/>
      <c r="AX68" s="240"/>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48"/>
      <c r="AS69" s="240"/>
      <c r="AT69" s="240"/>
      <c r="AU69" s="240"/>
      <c r="AV69" s="240"/>
      <c r="AW69" s="240"/>
      <c r="AX69" s="240"/>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48"/>
      <c r="AS70" s="240"/>
      <c r="AT70" s="240"/>
      <c r="AU70" s="240"/>
      <c r="AV70" s="240"/>
      <c r="AW70" s="240"/>
      <c r="AX70" s="240"/>
    </row>
    <row r="71" spans="2:50" ht="19.5" customHeight="1" x14ac:dyDescent="0.25">
      <c r="M71" s="303"/>
      <c r="N71" s="332"/>
      <c r="O71" s="330"/>
      <c r="P71" s="330"/>
      <c r="Q71" s="18"/>
      <c r="R71" s="248"/>
      <c r="U71" s="349" t="s">
        <v>124</v>
      </c>
      <c r="V71" s="349" t="s">
        <v>76</v>
      </c>
      <c r="W71" s="349" t="s">
        <v>77</v>
      </c>
      <c r="X71" s="349" t="s">
        <v>257</v>
      </c>
      <c r="Y71" s="349"/>
      <c r="Z71" s="349"/>
      <c r="AS71" s="240"/>
      <c r="AT71" s="240"/>
      <c r="AU71" s="240"/>
      <c r="AV71" s="240"/>
      <c r="AW71" s="240"/>
      <c r="AX71" s="240"/>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48"/>
      <c r="U72" s="349"/>
      <c r="V72" s="349"/>
      <c r="W72" s="349"/>
      <c r="X72" s="245" t="s">
        <v>81</v>
      </c>
      <c r="Y72" s="245" t="s">
        <v>82</v>
      </c>
      <c r="Z72" s="245" t="s">
        <v>83</v>
      </c>
      <c r="AS72" s="240"/>
      <c r="AT72" s="240"/>
      <c r="AU72" s="240"/>
      <c r="AV72" s="240"/>
      <c r="AW72" s="240"/>
      <c r="AX72" s="240"/>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48"/>
      <c r="U73" s="361" t="s">
        <v>138</v>
      </c>
      <c r="V73" s="20" t="str">
        <f>'Adubos e corretivos (1)'!C104</f>
        <v>Gesso Nutrion</v>
      </c>
      <c r="W73" s="20">
        <f>'Adubos e corretivos (1)'!D104</f>
        <v>0</v>
      </c>
      <c r="X73" s="20">
        <f>'Adubos e corretivos (1)'!E104</f>
        <v>15</v>
      </c>
      <c r="Y73" s="20">
        <f>'Adubos e corretivos (1)'!F104</f>
        <v>0</v>
      </c>
      <c r="Z73" s="20">
        <f>'Adubos e corretivos (1)'!G104</f>
        <v>20</v>
      </c>
      <c r="AS73" s="240"/>
      <c r="AT73" s="240"/>
      <c r="AU73" s="240"/>
      <c r="AV73" s="240"/>
      <c r="AW73" s="240"/>
      <c r="AX73" s="240"/>
    </row>
    <row r="74" spans="2:50" ht="19.5" customHeight="1" x14ac:dyDescent="0.25">
      <c r="M74" s="303"/>
      <c r="N74" s="332"/>
      <c r="O74" s="240"/>
      <c r="P74" s="240"/>
      <c r="Q74" s="240"/>
      <c r="R74" s="248"/>
      <c r="U74" s="361"/>
      <c r="V74" s="20" t="str">
        <f>'Adubos e corretivos (1)'!C105</f>
        <v>Gesso Votorantim</v>
      </c>
      <c r="W74" s="20">
        <f>'Adubos e corretivos (1)'!D105</f>
        <v>0</v>
      </c>
      <c r="X74" s="20">
        <f>'Adubos e corretivos (1)'!E105</f>
        <v>16</v>
      </c>
      <c r="Y74" s="20">
        <f>'Adubos e corretivos (1)'!F105</f>
        <v>0</v>
      </c>
      <c r="Z74" s="20">
        <f>'Adubos e corretivos (1)'!G105</f>
        <v>20</v>
      </c>
      <c r="AS74" s="240"/>
      <c r="AT74" s="240"/>
      <c r="AU74" s="240"/>
      <c r="AV74" s="240"/>
      <c r="AW74" s="240"/>
      <c r="AX74" s="240"/>
    </row>
    <row r="75" spans="2:50" ht="19.5" customHeight="1" x14ac:dyDescent="0.25">
      <c r="B75" s="328" t="s">
        <v>405</v>
      </c>
      <c r="C75" s="328"/>
      <c r="D75" s="328"/>
      <c r="E75" s="328"/>
      <c r="F75" s="328"/>
      <c r="G75" s="328"/>
      <c r="H75" s="328"/>
      <c r="I75" s="328"/>
      <c r="M75" s="303"/>
      <c r="N75" s="332"/>
      <c r="O75" s="332" t="s">
        <v>238</v>
      </c>
      <c r="P75" s="332"/>
      <c r="Q75" s="332"/>
      <c r="R75" s="248"/>
      <c r="U75" s="361"/>
      <c r="V75" s="20" t="str">
        <f>'Adubos e corretivos (1)'!C106</f>
        <v>Gesso Agronelli</v>
      </c>
      <c r="W75" s="20">
        <f>'Adubos e corretivos (1)'!D106</f>
        <v>0.76</v>
      </c>
      <c r="X75" s="20">
        <f>'Adubos e corretivos (1)'!E106</f>
        <v>14</v>
      </c>
      <c r="Y75" s="20">
        <f>'Adubos e corretivos (1)'!F106</f>
        <v>0</v>
      </c>
      <c r="Z75" s="20">
        <f>'Adubos e corretivos (1)'!G106</f>
        <v>17</v>
      </c>
      <c r="AS75" s="240"/>
      <c r="AT75" s="240"/>
      <c r="AU75" s="240"/>
      <c r="AV75" s="240"/>
      <c r="AW75" s="240"/>
      <c r="AX75" s="240"/>
    </row>
    <row r="76" spans="2:50" ht="19.5" customHeight="1" x14ac:dyDescent="0.25">
      <c r="B76" s="328"/>
      <c r="C76" s="328"/>
      <c r="D76" s="328"/>
      <c r="E76" s="328"/>
      <c r="F76" s="328"/>
      <c r="G76" s="328"/>
      <c r="H76" s="328"/>
      <c r="I76" s="328"/>
      <c r="M76" s="303"/>
      <c r="N76" s="332"/>
      <c r="O76" s="240"/>
      <c r="P76" s="240"/>
      <c r="Q76" s="240"/>
      <c r="R76" s="248"/>
      <c r="U76" s="361"/>
      <c r="V76" s="20" t="str">
        <f>'Adubos e corretivos (1)'!C107</f>
        <v>Siligesso Agronelli</v>
      </c>
      <c r="W76" s="20">
        <f>'Adubos e corretivos (1)'!D107</f>
        <v>0</v>
      </c>
      <c r="X76" s="20">
        <f>'Adubos e corretivos (1)'!E107</f>
        <v>9.9</v>
      </c>
      <c r="Y76" s="20">
        <f>'Adubos e corretivos (1)'!F107</f>
        <v>0</v>
      </c>
      <c r="Z76" s="20">
        <f>'Adubos e corretivos (1)'!G107</f>
        <v>20.3</v>
      </c>
      <c r="AS76" s="240"/>
      <c r="AT76" s="240"/>
      <c r="AU76" s="240"/>
      <c r="AV76" s="240"/>
      <c r="AW76" s="240"/>
      <c r="AX76" s="240"/>
    </row>
    <row r="77" spans="2:50" ht="19.5" customHeight="1" x14ac:dyDescent="0.25">
      <c r="B77" s="328"/>
      <c r="C77" s="328"/>
      <c r="D77" s="328"/>
      <c r="E77" s="328"/>
      <c r="F77" s="328"/>
      <c r="G77" s="328"/>
      <c r="H77" s="328"/>
      <c r="I77" s="328"/>
      <c r="M77" s="303"/>
      <c r="N77" s="332"/>
      <c r="O77" s="351" t="s">
        <v>227</v>
      </c>
      <c r="P77" s="352"/>
      <c r="Q77" s="353"/>
      <c r="R77" s="248"/>
      <c r="U77" s="361"/>
      <c r="V77" s="20" t="str">
        <f>'Adubos e corretivos (1)'!C108</f>
        <v>Nutrigesso Nutrion</v>
      </c>
      <c r="W77" s="20">
        <f>'Adubos e corretivos (1)'!D108</f>
        <v>0</v>
      </c>
      <c r="X77" s="20">
        <f>'Adubos e corretivos (1)'!E108</f>
        <v>13</v>
      </c>
      <c r="Y77" s="20">
        <f>'Adubos e corretivos (1)'!F108</f>
        <v>0</v>
      </c>
      <c r="Z77" s="20">
        <f>'Adubos e corretivos (1)'!G108</f>
        <v>16</v>
      </c>
      <c r="AS77" s="240"/>
      <c r="AT77" s="240"/>
      <c r="AU77" s="240"/>
      <c r="AV77" s="240"/>
      <c r="AW77" s="240"/>
      <c r="AX77" s="240"/>
    </row>
    <row r="78" spans="2:50" ht="19.5" customHeight="1" x14ac:dyDescent="0.25">
      <c r="B78" s="328"/>
      <c r="C78" s="328"/>
      <c r="D78" s="328"/>
      <c r="E78" s="328"/>
      <c r="F78" s="328"/>
      <c r="G78" s="328"/>
      <c r="H78" s="328"/>
      <c r="I78" s="328"/>
      <c r="M78" s="303"/>
      <c r="N78" s="332"/>
      <c r="O78" s="351" t="s">
        <v>225</v>
      </c>
      <c r="P78" s="352"/>
      <c r="Q78" s="353"/>
      <c r="R78" s="248"/>
      <c r="U78" s="361"/>
      <c r="V78" s="20">
        <f>'Adubos e corretivos (1)'!C109</f>
        <v>0</v>
      </c>
      <c r="W78" s="20">
        <f>'Adubos e corretivos (1)'!D109</f>
        <v>0</v>
      </c>
      <c r="X78" s="20">
        <f>'Adubos e corretivos (1)'!E109</f>
        <v>0</v>
      </c>
      <c r="Y78" s="20">
        <f>'Adubos e corretivos (1)'!F109</f>
        <v>0</v>
      </c>
      <c r="Z78" s="20">
        <f>'Adubos e corretivos (1)'!G109</f>
        <v>0</v>
      </c>
      <c r="AS78" s="240"/>
      <c r="AT78" s="240"/>
      <c r="AU78" s="240"/>
      <c r="AV78" s="240"/>
      <c r="AW78" s="240"/>
      <c r="AX78" s="240"/>
    </row>
    <row r="79" spans="2:50" ht="19.5" customHeight="1" thickBot="1" x14ac:dyDescent="0.3">
      <c r="M79" s="303"/>
      <c r="N79" s="332"/>
      <c r="O79" s="330" t="s">
        <v>148</v>
      </c>
      <c r="P79" s="330"/>
      <c r="Q79" s="18">
        <v>1</v>
      </c>
      <c r="R79" s="248"/>
      <c r="U79" s="361"/>
      <c r="V79" s="20">
        <f>'Adubos e corretivos (1)'!C110</f>
        <v>0</v>
      </c>
      <c r="W79" s="20">
        <f>'Adubos e corretivos (1)'!D110</f>
        <v>0</v>
      </c>
      <c r="X79" s="20">
        <f>'Adubos e corretivos (1)'!E110</f>
        <v>0</v>
      </c>
      <c r="Y79" s="20">
        <f>'Adubos e corretivos (1)'!F110</f>
        <v>0</v>
      </c>
      <c r="Z79" s="20">
        <f>'Adubos e corretivos (1)'!G110</f>
        <v>0</v>
      </c>
      <c r="AS79" s="240"/>
      <c r="AT79" s="240"/>
      <c r="AU79" s="240"/>
      <c r="AV79" s="240"/>
      <c r="AW79" s="240"/>
      <c r="AX79" s="240"/>
    </row>
    <row r="80" spans="2:50" ht="19.5" customHeight="1" thickBot="1" x14ac:dyDescent="0.3">
      <c r="B80" s="321" t="s">
        <v>230</v>
      </c>
      <c r="C80" s="322"/>
      <c r="D80" s="322"/>
      <c r="E80" s="322"/>
      <c r="F80" s="322"/>
      <c r="G80" s="322"/>
      <c r="H80" s="322"/>
      <c r="I80" s="323"/>
      <c r="M80" s="303"/>
      <c r="N80" s="332"/>
      <c r="O80" s="330"/>
      <c r="P80" s="330"/>
      <c r="Q80" s="18"/>
      <c r="R80" s="248"/>
      <c r="U80" s="361"/>
      <c r="V80" s="20">
        <f>'Adubos e corretivos (1)'!C111</f>
        <v>0</v>
      </c>
      <c r="W80" s="20">
        <f>'Adubos e corretivos (1)'!D111</f>
        <v>0</v>
      </c>
      <c r="X80" s="20">
        <f>'Adubos e corretivos (1)'!E111</f>
        <v>0</v>
      </c>
      <c r="Y80" s="20">
        <f>'Adubos e corretivos (1)'!F111</f>
        <v>0</v>
      </c>
      <c r="Z80" s="20">
        <f>'Adubos e corretivos (1)'!G111</f>
        <v>0</v>
      </c>
      <c r="AS80" s="240"/>
      <c r="AT80" s="240"/>
      <c r="AU80" s="240"/>
      <c r="AV80" s="240"/>
      <c r="AW80" s="240"/>
      <c r="AX80" s="240"/>
    </row>
    <row r="81" spans="2:50" ht="19.5" customHeight="1" x14ac:dyDescent="0.25">
      <c r="M81" s="303"/>
      <c r="N81" s="332"/>
      <c r="O81" s="330"/>
      <c r="P81" s="330"/>
      <c r="Q81" s="18"/>
      <c r="R81" s="248"/>
      <c r="U81" s="361"/>
      <c r="V81" s="20">
        <f>'Adubos e corretivos (1)'!C112</f>
        <v>0</v>
      </c>
      <c r="W81" s="20">
        <f>'Adubos e corretivos (1)'!D112</f>
        <v>0</v>
      </c>
      <c r="X81" s="20">
        <f>'Adubos e corretivos (1)'!E112</f>
        <v>0</v>
      </c>
      <c r="Y81" s="20">
        <f>'Adubos e corretivos (1)'!F112</f>
        <v>0</v>
      </c>
      <c r="Z81" s="20">
        <f>'Adubos e corretivos (1)'!G112</f>
        <v>0</v>
      </c>
      <c r="AS81" s="240"/>
      <c r="AT81" s="240"/>
      <c r="AU81" s="240"/>
      <c r="AV81" s="240"/>
      <c r="AW81" s="240"/>
      <c r="AX81" s="240"/>
    </row>
    <row r="82" spans="2:50" ht="19.5" customHeight="1" x14ac:dyDescent="0.25">
      <c r="B82" s="327" t="str">
        <f>IF(AP40&gt;0,AP40,"-")</f>
        <v>Ácido Bórico</v>
      </c>
      <c r="C82" s="327"/>
      <c r="D82" s="108">
        <f>IFERROR(((D83/1000)*$E$18),0)</f>
        <v>11.428571428571427</v>
      </c>
      <c r="E82" s="354" t="str">
        <f>IF(AV40&gt;0,"quilos para área total","-")</f>
        <v>quilos para área total</v>
      </c>
      <c r="F82" s="354"/>
      <c r="G82" s="354"/>
      <c r="H82" s="102" t="s">
        <v>447</v>
      </c>
      <c r="I82" s="102">
        <f>I83*$E$18*$I$18</f>
        <v>63.085714285714275</v>
      </c>
      <c r="M82" s="303"/>
      <c r="N82" s="332"/>
      <c r="O82" s="240"/>
      <c r="P82" s="240"/>
      <c r="Q82" s="240"/>
      <c r="R82" s="248"/>
      <c r="U82" s="361"/>
      <c r="V82" s="20">
        <f>'Adubos e corretivos (1)'!C113</f>
        <v>0</v>
      </c>
      <c r="W82" s="20">
        <f>'Adubos e corretivos (1)'!D113</f>
        <v>0</v>
      </c>
      <c r="X82" s="20">
        <f>'Adubos e corretivos (1)'!E113</f>
        <v>0</v>
      </c>
      <c r="Y82" s="20">
        <f>'Adubos e corretivos (1)'!F113</f>
        <v>0</v>
      </c>
      <c r="Z82" s="20">
        <f>'Adubos e corretivos (1)'!G113</f>
        <v>0</v>
      </c>
      <c r="AS82" s="240"/>
      <c r="AT82" s="240"/>
      <c r="AU82" s="240"/>
      <c r="AV82" s="240"/>
      <c r="AW82" s="240"/>
      <c r="AX82" s="240"/>
    </row>
    <row r="83" spans="2:50" ht="19.5" customHeight="1" x14ac:dyDescent="0.25">
      <c r="B83" s="327"/>
      <c r="C83" s="327"/>
      <c r="D83" s="108">
        <f>IF(AV40&gt;0,AV40,"-")</f>
        <v>91.428571428571416</v>
      </c>
      <c r="E83" s="332" t="str">
        <f>IF(AV40&gt;0,"gramas por planta","-")</f>
        <v>gramas por planta</v>
      </c>
      <c r="F83" s="332"/>
      <c r="G83" s="332"/>
      <c r="H83" s="102" t="s">
        <v>446</v>
      </c>
      <c r="I83" s="102">
        <f>IFERROR((D83/1000)*VLOOKUP(B82,$V$100:$W$179,2,0),0)</f>
        <v>0.50468571428571418</v>
      </c>
      <c r="M83" s="303"/>
      <c r="N83" s="332"/>
      <c r="O83" s="332" t="s">
        <v>238</v>
      </c>
      <c r="P83" s="332"/>
      <c r="Q83" s="332"/>
      <c r="R83" s="248"/>
      <c r="AS83" s="240"/>
      <c r="AT83" s="240"/>
      <c r="AU83" s="240"/>
      <c r="AV83" s="240"/>
      <c r="AW83" s="240"/>
      <c r="AX83" s="240"/>
    </row>
    <row r="84" spans="2:50" ht="19.5" customHeight="1" x14ac:dyDescent="0.25">
      <c r="M84" s="303"/>
      <c r="N84" s="332"/>
      <c r="O84" s="240"/>
      <c r="P84" s="240"/>
      <c r="Q84" s="240"/>
      <c r="R84" s="248"/>
      <c r="AS84" s="240"/>
      <c r="AT84" s="240"/>
      <c r="AU84" s="240"/>
      <c r="AV84" s="240"/>
      <c r="AW84" s="240"/>
      <c r="AX84" s="240"/>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48"/>
      <c r="U85" s="350" t="s">
        <v>124</v>
      </c>
      <c r="V85" s="350" t="s">
        <v>76</v>
      </c>
      <c r="W85" s="350" t="s">
        <v>77</v>
      </c>
      <c r="X85" s="350" t="s">
        <v>78</v>
      </c>
      <c r="Y85" s="350"/>
      <c r="Z85" s="350"/>
      <c r="AA85" s="350"/>
      <c r="AB85" s="350"/>
      <c r="AC85" s="350"/>
      <c r="AD85" s="350"/>
      <c r="AE85" s="350"/>
      <c r="AS85" s="240"/>
      <c r="AT85" s="240"/>
      <c r="AU85" s="240"/>
      <c r="AV85" s="240"/>
      <c r="AW85" s="240"/>
      <c r="AX85" s="240"/>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48"/>
      <c r="U86" s="350"/>
      <c r="V86" s="350"/>
      <c r="W86" s="350"/>
      <c r="X86" s="252" t="s">
        <v>106</v>
      </c>
      <c r="Y86" s="252" t="s">
        <v>79</v>
      </c>
      <c r="Z86" s="252" t="s">
        <v>66</v>
      </c>
      <c r="AA86" s="252" t="s">
        <v>80</v>
      </c>
      <c r="AB86" s="252" t="s">
        <v>67</v>
      </c>
      <c r="AC86" s="252" t="s">
        <v>172</v>
      </c>
      <c r="AD86" s="252" t="s">
        <v>173</v>
      </c>
      <c r="AE86" s="252" t="s">
        <v>183</v>
      </c>
      <c r="AS86" s="240"/>
      <c r="AT86" s="240"/>
      <c r="AU86" s="240"/>
      <c r="AV86" s="240"/>
      <c r="AW86" s="240"/>
      <c r="AX86" s="240"/>
    </row>
    <row r="87" spans="2:50" ht="19.5" customHeight="1" x14ac:dyDescent="0.25">
      <c r="J87" s="97"/>
      <c r="M87" s="303"/>
      <c r="N87" s="332"/>
      <c r="O87" s="330" t="s">
        <v>441</v>
      </c>
      <c r="P87" s="330"/>
      <c r="Q87" s="18">
        <v>1</v>
      </c>
      <c r="R87" s="248"/>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240"/>
      <c r="AT87" s="240"/>
      <c r="AU87" s="240"/>
      <c r="AV87" s="240"/>
      <c r="AW87" s="240"/>
      <c r="AX87" s="240"/>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48"/>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240"/>
      <c r="AT88" s="240"/>
      <c r="AU88" s="240"/>
      <c r="AV88" s="240"/>
      <c r="AW88" s="240"/>
      <c r="AX88" s="240"/>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48"/>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240"/>
      <c r="AT89" s="240"/>
      <c r="AU89" s="240"/>
      <c r="AV89" s="240"/>
      <c r="AW89" s="240"/>
      <c r="AX89" s="240"/>
    </row>
    <row r="90" spans="2:50" ht="19.5" customHeight="1" x14ac:dyDescent="0.25">
      <c r="M90" s="242"/>
      <c r="N90" s="240"/>
      <c r="O90" s="240"/>
      <c r="P90" s="240"/>
      <c r="Q90" s="240"/>
      <c r="R90" s="248"/>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240"/>
      <c r="AT90" s="240"/>
      <c r="AU90" s="240"/>
      <c r="AV90" s="240"/>
      <c r="AW90" s="240"/>
      <c r="AX90" s="240"/>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242"/>
      <c r="N91" s="240"/>
      <c r="O91" s="332" t="s">
        <v>238</v>
      </c>
      <c r="P91" s="332"/>
      <c r="Q91" s="332"/>
      <c r="R91" s="248"/>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240"/>
      <c r="AT91" s="240"/>
      <c r="AU91" s="240"/>
      <c r="AV91" s="240"/>
      <c r="AW91" s="240"/>
      <c r="AX91" s="240"/>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49"/>
      <c r="N92" s="250"/>
      <c r="O92" s="250"/>
      <c r="P92" s="250"/>
      <c r="Q92" s="250"/>
      <c r="R92" s="25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240"/>
      <c r="AT92" s="240"/>
      <c r="AU92" s="240"/>
      <c r="AV92" s="240"/>
      <c r="AW92" s="240"/>
      <c r="AX92" s="240"/>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240"/>
      <c r="AT93" s="240"/>
      <c r="AU93" s="240"/>
      <c r="AV93" s="240"/>
      <c r="AW93" s="240"/>
      <c r="AX93" s="240"/>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46"/>
      <c r="N94" s="241"/>
      <c r="O94" s="241"/>
      <c r="P94" s="241"/>
      <c r="Q94" s="241"/>
      <c r="R94" s="247"/>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240"/>
      <c r="AT94" s="240"/>
      <c r="AU94" s="240"/>
      <c r="AV94" s="240"/>
      <c r="AW94" s="240"/>
      <c r="AX94" s="240"/>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48"/>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240"/>
      <c r="AT95" s="240"/>
      <c r="AU95" s="240"/>
      <c r="AV95" s="240"/>
      <c r="AW95" s="240"/>
      <c r="AX95" s="240"/>
    </row>
    <row r="96" spans="2:50" ht="19.5" customHeight="1" x14ac:dyDescent="0.25">
      <c r="G96" s="21"/>
      <c r="H96" s="21"/>
      <c r="I96" s="21"/>
      <c r="M96" s="303" t="s">
        <v>236</v>
      </c>
      <c r="N96" s="304"/>
      <c r="O96" s="26">
        <f>$AC$30</f>
        <v>68</v>
      </c>
      <c r="P96" s="26">
        <f>$AC$31</f>
        <v>31</v>
      </c>
      <c r="Q96" s="26">
        <f>$AC$32</f>
        <v>53</v>
      </c>
      <c r="R96" s="248"/>
      <c r="AS96" s="240"/>
      <c r="AT96" s="240"/>
      <c r="AU96" s="240"/>
      <c r="AV96" s="240"/>
      <c r="AW96" s="240"/>
      <c r="AX96" s="240"/>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48"/>
      <c r="AS97" s="240"/>
      <c r="AT97" s="240"/>
      <c r="AU97" s="240"/>
      <c r="AV97" s="240"/>
      <c r="AW97" s="240"/>
      <c r="AX97" s="240"/>
    </row>
    <row r="98" spans="1:50" ht="19.5" customHeight="1" thickBot="1" x14ac:dyDescent="0.3">
      <c r="A98" s="238"/>
      <c r="B98" s="328"/>
      <c r="C98" s="328"/>
      <c r="D98" s="328"/>
      <c r="E98" s="328"/>
      <c r="F98" s="328"/>
      <c r="G98" s="328"/>
      <c r="H98" s="328"/>
      <c r="I98" s="328"/>
      <c r="M98" s="249"/>
      <c r="N98" s="250"/>
      <c r="O98" s="250"/>
      <c r="P98" s="250"/>
      <c r="Q98" s="250"/>
      <c r="R98" s="25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240"/>
      <c r="AT98" s="240"/>
      <c r="AU98" s="240"/>
      <c r="AV98" s="240"/>
      <c r="AW98" s="240"/>
      <c r="AX98" s="240"/>
    </row>
    <row r="99" spans="1:50" ht="19.5" customHeight="1" thickBot="1" x14ac:dyDescent="0.3">
      <c r="A99" s="238"/>
      <c r="B99" s="328"/>
      <c r="C99" s="328"/>
      <c r="D99" s="328"/>
      <c r="E99" s="328"/>
      <c r="F99" s="328"/>
      <c r="G99" s="328"/>
      <c r="H99" s="328"/>
      <c r="I99" s="328"/>
      <c r="U99" s="363"/>
      <c r="V99" s="363"/>
      <c r="W99" s="363"/>
      <c r="X99" s="243" t="s">
        <v>33</v>
      </c>
      <c r="Y99" s="243" t="s">
        <v>79</v>
      </c>
      <c r="Z99" s="243" t="s">
        <v>66</v>
      </c>
      <c r="AA99" s="243" t="s">
        <v>80</v>
      </c>
      <c r="AB99" s="243" t="s">
        <v>67</v>
      </c>
      <c r="AC99" s="243" t="s">
        <v>81</v>
      </c>
      <c r="AD99" s="243" t="s">
        <v>82</v>
      </c>
      <c r="AE99" s="243" t="s">
        <v>83</v>
      </c>
      <c r="AF99" s="243" t="s">
        <v>84</v>
      </c>
      <c r="AG99" s="243" t="s">
        <v>85</v>
      </c>
      <c r="AH99" s="243" t="s">
        <v>86</v>
      </c>
      <c r="AI99" s="243" t="s">
        <v>87</v>
      </c>
      <c r="AJ99" s="243" t="s">
        <v>88</v>
      </c>
      <c r="AK99" s="243" t="s">
        <v>89</v>
      </c>
      <c r="AL99" s="243" t="s">
        <v>106</v>
      </c>
      <c r="AM99" s="243" t="s">
        <v>90</v>
      </c>
      <c r="AN99" s="243" t="s">
        <v>91</v>
      </c>
      <c r="AO99" s="243" t="s">
        <v>92</v>
      </c>
      <c r="AS99" s="240"/>
      <c r="AT99" s="240"/>
      <c r="AU99" s="240"/>
      <c r="AV99" s="240"/>
      <c r="AW99" s="240"/>
      <c r="AX99" s="240"/>
    </row>
    <row r="100" spans="1:50" ht="19.5" customHeight="1" x14ac:dyDescent="0.25">
      <c r="A100" s="240"/>
      <c r="B100" s="328"/>
      <c r="C100" s="328"/>
      <c r="D100" s="328"/>
      <c r="E100" s="328"/>
      <c r="F100" s="328"/>
      <c r="G100" s="328"/>
      <c r="H100" s="328"/>
      <c r="I100" s="328"/>
      <c r="M100" s="246"/>
      <c r="N100" s="241"/>
      <c r="O100" s="241"/>
      <c r="P100" s="241"/>
      <c r="Q100" s="241"/>
      <c r="R100" s="247"/>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240"/>
      <c r="AT100" s="240"/>
      <c r="AU100" s="240"/>
      <c r="AV100" s="240"/>
      <c r="AW100" s="240"/>
      <c r="AX100" s="240"/>
    </row>
    <row r="101" spans="1:50" ht="19.5" customHeight="1" thickBot="1" x14ac:dyDescent="0.3">
      <c r="A101" s="240"/>
      <c r="B101" s="111"/>
      <c r="C101" s="111"/>
      <c r="D101" s="108"/>
      <c r="H101" s="102"/>
      <c r="I101" s="102"/>
      <c r="M101" s="303" t="s">
        <v>239</v>
      </c>
      <c r="N101" s="304"/>
      <c r="O101" s="364" t="s">
        <v>229</v>
      </c>
      <c r="P101" s="364"/>
      <c r="Q101" s="364"/>
      <c r="R101" s="248"/>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240"/>
      <c r="AT101" s="240"/>
      <c r="AU101" s="240"/>
      <c r="AV101" s="240"/>
      <c r="AW101" s="240"/>
      <c r="AX101" s="240"/>
    </row>
    <row r="102" spans="1:50" ht="19.5" customHeight="1" thickBot="1" x14ac:dyDescent="0.3">
      <c r="A102" s="240"/>
      <c r="B102" s="321" t="s">
        <v>417</v>
      </c>
      <c r="C102" s="322"/>
      <c r="D102" s="322"/>
      <c r="E102" s="322"/>
      <c r="F102" s="322"/>
      <c r="G102" s="322"/>
      <c r="H102" s="322"/>
      <c r="I102" s="323"/>
      <c r="M102" s="303"/>
      <c r="N102" s="304"/>
      <c r="O102" s="330" t="s">
        <v>285</v>
      </c>
      <c r="P102" s="330"/>
      <c r="Q102" s="330"/>
      <c r="R102" s="248"/>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240"/>
      <c r="AT102" s="240"/>
      <c r="AU102" s="240"/>
      <c r="AV102" s="240"/>
      <c r="AW102" s="240"/>
      <c r="AX102" s="240"/>
    </row>
    <row r="103" spans="1:50" ht="19.5" customHeight="1" x14ac:dyDescent="0.25">
      <c r="M103" s="303"/>
      <c r="N103" s="304"/>
      <c r="O103" s="330" t="s">
        <v>231</v>
      </c>
      <c r="P103" s="330"/>
      <c r="Q103" s="330"/>
      <c r="R103" s="248"/>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240"/>
      <c r="AT103" s="240"/>
      <c r="AU103" s="240"/>
      <c r="AV103" s="240"/>
      <c r="AW103" s="240"/>
      <c r="AX103" s="240"/>
    </row>
    <row r="104" spans="1:50" ht="19.5" customHeight="1" x14ac:dyDescent="0.25">
      <c r="C104" s="102" t="s">
        <v>457</v>
      </c>
      <c r="D104" s="102"/>
      <c r="G104" s="369">
        <f>IFERROR((I27+I30+I38+I45+I48+I51+I54+I57+I60+I63+I66+I69+I72+I82+I85+I88+I91+I94),0)</f>
        <v>1461.9225674480315</v>
      </c>
      <c r="H104" s="369"/>
      <c r="I104" s="112"/>
      <c r="M104" s="303"/>
      <c r="N104" s="304"/>
      <c r="O104" s="330" t="s">
        <v>97</v>
      </c>
      <c r="P104" s="330"/>
      <c r="Q104" s="330"/>
      <c r="R104" s="248"/>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240"/>
      <c r="AT104" s="240"/>
      <c r="AU104" s="240"/>
      <c r="AV104" s="240"/>
      <c r="AW104" s="240"/>
      <c r="AX104" s="240"/>
    </row>
    <row r="105" spans="1:50" ht="19.5" customHeight="1" x14ac:dyDescent="0.25">
      <c r="M105" s="303"/>
      <c r="N105" s="304"/>
      <c r="O105" s="330" t="s">
        <v>96</v>
      </c>
      <c r="P105" s="330"/>
      <c r="Q105" s="330"/>
      <c r="R105" s="248"/>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240"/>
      <c r="AT105" s="240"/>
      <c r="AU105" s="240"/>
      <c r="AV105" s="240"/>
      <c r="AW105" s="240"/>
      <c r="AX105" s="240"/>
    </row>
    <row r="106" spans="1:50" ht="19.5" customHeight="1" x14ac:dyDescent="0.25">
      <c r="C106" s="102" t="s">
        <v>458</v>
      </c>
      <c r="D106" s="102"/>
      <c r="G106" s="369">
        <f>IFERROR((I27+I30+I38+I48+I51+I54+I57+I60+I63+I66+I69+I72+I82+I85+I88+I91+I94),0)</f>
        <v>1461.9225674480315</v>
      </c>
      <c r="H106" s="369"/>
      <c r="M106" s="303"/>
      <c r="N106" s="304"/>
      <c r="O106" s="330"/>
      <c r="P106" s="330"/>
      <c r="Q106" s="330"/>
      <c r="R106" s="248"/>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49"/>
      <c r="N107" s="250"/>
      <c r="O107" s="250"/>
      <c r="P107" s="250"/>
      <c r="Q107" s="250"/>
      <c r="R107" s="25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11.695380539584251</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46"/>
      <c r="N109" s="241"/>
      <c r="O109" s="241"/>
      <c r="P109" s="241"/>
      <c r="Q109" s="241"/>
      <c r="R109" s="247"/>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11.695380539584251</v>
      </c>
      <c r="H110" s="369"/>
      <c r="M110" s="242" t="s">
        <v>243</v>
      </c>
      <c r="N110" s="25" t="s">
        <v>84</v>
      </c>
      <c r="O110" s="25" t="s">
        <v>87</v>
      </c>
      <c r="P110" s="25" t="s">
        <v>85</v>
      </c>
      <c r="Q110" s="25" t="s">
        <v>86</v>
      </c>
      <c r="R110" s="248"/>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242" t="s">
        <v>236</v>
      </c>
      <c r="N111" s="26">
        <f>AS26</f>
        <v>16</v>
      </c>
      <c r="O111" s="26">
        <f>AT26</f>
        <v>0</v>
      </c>
      <c r="P111" s="26">
        <f>AU26</f>
        <v>0</v>
      </c>
      <c r="Q111" s="26">
        <f>AV26</f>
        <v>0</v>
      </c>
      <c r="R111" s="248"/>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242" t="s">
        <v>244</v>
      </c>
      <c r="N112" s="6">
        <f>AW45</f>
        <v>0</v>
      </c>
      <c r="O112" s="6">
        <f>AX45</f>
        <v>0</v>
      </c>
      <c r="P112" s="6">
        <f>AY45</f>
        <v>0</v>
      </c>
      <c r="Q112" s="6">
        <f>AZ45</f>
        <v>0</v>
      </c>
      <c r="R112" s="248"/>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49"/>
      <c r="N113" s="250"/>
      <c r="O113" s="250"/>
      <c r="P113" s="250"/>
      <c r="Q113" s="250"/>
      <c r="R113" s="25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46"/>
      <c r="N115" s="241"/>
      <c r="O115" s="241"/>
      <c r="P115" s="241"/>
      <c r="Q115" s="241"/>
      <c r="R115" s="247"/>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48"/>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48"/>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48"/>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48"/>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48"/>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48"/>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48"/>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48"/>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48"/>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48"/>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48"/>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48"/>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48"/>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48"/>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48"/>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48"/>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48"/>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48"/>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48"/>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48"/>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48"/>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48"/>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48"/>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48"/>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48"/>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48"/>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48"/>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48"/>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240"/>
      <c r="P144" s="240"/>
      <c r="Q144" s="240"/>
      <c r="R144" s="248"/>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240"/>
      <c r="P146" s="240"/>
      <c r="Q146" s="240"/>
      <c r="R146" s="248"/>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49"/>
      <c r="N148" s="250"/>
      <c r="O148" s="250"/>
      <c r="P148" s="250"/>
      <c r="Q148" s="250"/>
      <c r="R148" s="25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240"/>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240"/>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240"/>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240"/>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240"/>
      <c r="L158" s="240"/>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240"/>
      <c r="L159" s="240"/>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240"/>
      <c r="L160" s="240"/>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240"/>
      <c r="L161" s="240"/>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240"/>
      <c r="L162" s="240"/>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240"/>
      <c r="L163" s="240"/>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240"/>
      <c r="L164" s="240"/>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240"/>
      <c r="L165" s="240"/>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240"/>
      <c r="L166" s="240"/>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240"/>
      <c r="L167" s="240"/>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240"/>
      <c r="L168" s="240"/>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240"/>
      <c r="L169" s="240"/>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240"/>
      <c r="AQ169" s="240"/>
      <c r="AR169" s="240"/>
    </row>
    <row r="170" spans="11:44" ht="19.5" customHeight="1" x14ac:dyDescent="0.25">
      <c r="K170" s="240"/>
      <c r="L170" s="240"/>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240"/>
      <c r="L171" s="240"/>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240"/>
      <c r="L172" s="240"/>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240"/>
      <c r="L173" s="240"/>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240"/>
      <c r="L174" s="240"/>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240"/>
      <c r="L175" s="240"/>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240"/>
      <c r="L176" s="240"/>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240"/>
      <c r="L177" s="240"/>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240"/>
      <c r="L178" s="240"/>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240"/>
      <c r="L179" s="240"/>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35" t="s">
        <v>33</v>
      </c>
      <c r="Y187" s="235" t="s">
        <v>66</v>
      </c>
      <c r="Z187" s="235" t="s">
        <v>67</v>
      </c>
      <c r="AA187" s="235" t="s">
        <v>451</v>
      </c>
      <c r="AB187" s="235" t="s">
        <v>452</v>
      </c>
      <c r="AC187" s="235" t="s">
        <v>33</v>
      </c>
      <c r="AD187" s="235" t="s">
        <v>66</v>
      </c>
      <c r="AE187" s="235" t="s">
        <v>199</v>
      </c>
      <c r="AH187" s="132"/>
      <c r="AI187" s="132"/>
      <c r="AJ187" s="132"/>
      <c r="AK187" s="132"/>
      <c r="AL187" s="132"/>
      <c r="AM187" s="132"/>
      <c r="AN187" s="132"/>
      <c r="AO187" s="132"/>
      <c r="AP187" s="240"/>
      <c r="AQ187" s="240"/>
      <c r="AR187" s="240"/>
      <c r="AS187" s="240"/>
      <c r="AT187" s="240"/>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240"/>
      <c r="AQ188" s="240"/>
      <c r="AR188" s="240"/>
      <c r="AS188" s="240"/>
      <c r="AT188" s="240"/>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240"/>
      <c r="AQ189" s="240"/>
      <c r="AR189" s="240"/>
      <c r="AS189" s="240"/>
      <c r="AT189" s="240"/>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240"/>
      <c r="AQ190" s="240"/>
      <c r="AR190" s="240"/>
      <c r="AS190" s="240"/>
      <c r="AT190" s="240"/>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240"/>
      <c r="AQ191" s="240"/>
      <c r="AR191" s="240"/>
      <c r="AS191" s="240"/>
      <c r="AT191" s="240"/>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240"/>
      <c r="AQ192" s="240"/>
      <c r="AR192" s="240"/>
      <c r="AS192" s="240"/>
      <c r="AT192" s="240"/>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240"/>
      <c r="AQ193" s="240"/>
      <c r="AR193" s="240"/>
      <c r="AS193" s="240"/>
      <c r="AT193" s="240"/>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240"/>
      <c r="AQ194" s="240"/>
      <c r="AR194" s="240"/>
      <c r="AS194" s="240"/>
      <c r="AT194" s="240"/>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240"/>
      <c r="AQ195" s="240"/>
      <c r="AR195" s="240"/>
      <c r="AS195" s="240"/>
      <c r="AT195" s="240"/>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240"/>
      <c r="AQ196" s="240"/>
      <c r="AR196" s="240"/>
      <c r="AS196" s="240"/>
      <c r="AT196" s="240"/>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240"/>
      <c r="AQ197" s="240"/>
      <c r="AR197" s="240"/>
      <c r="AS197" s="240"/>
      <c r="AT197" s="240"/>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240"/>
      <c r="AQ198" s="240"/>
      <c r="AR198" s="240"/>
      <c r="AS198" s="240"/>
      <c r="AT198" s="240"/>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240"/>
      <c r="AQ199" s="240"/>
      <c r="AR199" s="240"/>
      <c r="AS199" s="240"/>
      <c r="AT199" s="240"/>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240"/>
      <c r="AQ200" s="240"/>
      <c r="AR200" s="240"/>
      <c r="AS200" s="240"/>
      <c r="AT200" s="240"/>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240"/>
      <c r="AQ201" s="240"/>
      <c r="AR201" s="240"/>
      <c r="AS201" s="240"/>
      <c r="AT201" s="240"/>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39" t="s">
        <v>33</v>
      </c>
      <c r="AE220" s="239">
        <v>126</v>
      </c>
    </row>
    <row r="221" spans="21:31" ht="19.5" customHeight="1" x14ac:dyDescent="0.25">
      <c r="AD221" s="239" t="s">
        <v>66</v>
      </c>
      <c r="AE221" s="239">
        <v>108</v>
      </c>
    </row>
    <row r="222" spans="21:31" ht="19.5" customHeight="1" x14ac:dyDescent="0.25">
      <c r="AD222" s="239" t="s">
        <v>67</v>
      </c>
      <c r="AE222" s="239">
        <v>144</v>
      </c>
    </row>
  </sheetData>
  <mergeCells count="290">
    <mergeCell ref="U188:U214"/>
    <mergeCell ref="U170:U179"/>
    <mergeCell ref="U186:U187"/>
    <mergeCell ref="V186:V187"/>
    <mergeCell ref="W186:W187"/>
    <mergeCell ref="X186:Z186"/>
    <mergeCell ref="AA186:AE186"/>
    <mergeCell ref="O143:P143"/>
    <mergeCell ref="M145:N147"/>
    <mergeCell ref="O145:P145"/>
    <mergeCell ref="O147:P147"/>
    <mergeCell ref="U151:U159"/>
    <mergeCell ref="U160:U169"/>
    <mergeCell ref="O137:P137"/>
    <mergeCell ref="O138:P138"/>
    <mergeCell ref="O139:P139"/>
    <mergeCell ref="O140:P140"/>
    <mergeCell ref="O141:P141"/>
    <mergeCell ref="O142:P142"/>
    <mergeCell ref="O128:P128"/>
    <mergeCell ref="O129:P129"/>
    <mergeCell ref="O130:P130"/>
    <mergeCell ref="O131:P131"/>
    <mergeCell ref="U131:U150"/>
    <mergeCell ref="O132:P132"/>
    <mergeCell ref="O133:P133"/>
    <mergeCell ref="O134:P134"/>
    <mergeCell ref="O135:P135"/>
    <mergeCell ref="O136:P136"/>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O83:Q83"/>
    <mergeCell ref="B85:C86"/>
    <mergeCell ref="E85:G85"/>
    <mergeCell ref="O85:Q85"/>
    <mergeCell ref="U85:U86"/>
    <mergeCell ref="V85:V86"/>
    <mergeCell ref="O77:Q77"/>
    <mergeCell ref="O78:Q78"/>
    <mergeCell ref="O79:P79"/>
    <mergeCell ref="B80:I80"/>
    <mergeCell ref="O80:P80"/>
    <mergeCell ref="O81:P81"/>
    <mergeCell ref="W71:W72"/>
    <mergeCell ref="X71:Z71"/>
    <mergeCell ref="B72:C73"/>
    <mergeCell ref="E72:G72"/>
    <mergeCell ref="O72:P72"/>
    <mergeCell ref="E73:G73"/>
    <mergeCell ref="O73:P73"/>
    <mergeCell ref="U73:U82"/>
    <mergeCell ref="B75:I78"/>
    <mergeCell ref="O75:Q75"/>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AP39:AQ39"/>
    <mergeCell ref="AP40:AQ40"/>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O34:Q34"/>
    <mergeCell ref="AQ34:AR34"/>
    <mergeCell ref="AB35:AC35"/>
    <mergeCell ref="AQ35:AR35"/>
    <mergeCell ref="M36:R36"/>
    <mergeCell ref="AB36:AC36"/>
    <mergeCell ref="AQ36:AR36"/>
    <mergeCell ref="B30:C31"/>
    <mergeCell ref="E30:G30"/>
    <mergeCell ref="AQ30:AR30"/>
    <mergeCell ref="E31:G31"/>
    <mergeCell ref="O31:Q31"/>
    <mergeCell ref="AQ31:AR31"/>
    <mergeCell ref="E29:G29"/>
    <mergeCell ref="H29:I29"/>
    <mergeCell ref="M29:N34"/>
    <mergeCell ref="O29:Q29"/>
    <mergeCell ref="AB29:AC29"/>
    <mergeCell ref="AQ29:AR29"/>
    <mergeCell ref="AQ32:AR32"/>
    <mergeCell ref="B33:I35"/>
    <mergeCell ref="O33:Q33"/>
    <mergeCell ref="AQ33:AR33"/>
    <mergeCell ref="AP25:AP26"/>
    <mergeCell ref="AQ25:AR26"/>
    <mergeCell ref="B26:I26"/>
    <mergeCell ref="U26:Z26"/>
    <mergeCell ref="B27:C28"/>
    <mergeCell ref="E27:G27"/>
    <mergeCell ref="AP27:AP36"/>
    <mergeCell ref="AQ27:AR27"/>
    <mergeCell ref="E28:G28"/>
    <mergeCell ref="AQ28:AR28"/>
    <mergeCell ref="AL18:AL20"/>
    <mergeCell ref="AM18:AM20"/>
    <mergeCell ref="AQ18:AR18"/>
    <mergeCell ref="AQ19:AR19"/>
    <mergeCell ref="B20:E20"/>
    <mergeCell ref="V20:X20"/>
    <mergeCell ref="AQ20:AR20"/>
    <mergeCell ref="AP16:AP17"/>
    <mergeCell ref="AQ16:AR17"/>
    <mergeCell ref="AV16:AV17"/>
    <mergeCell ref="U17:X19"/>
    <mergeCell ref="Y17:AD20"/>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Q10:AR11"/>
    <mergeCell ref="AV10:AV11"/>
    <mergeCell ref="C11:I11"/>
    <mergeCell ref="C12:I12"/>
    <mergeCell ref="AF12:AF14"/>
    <mergeCell ref="AJ12:AJ14"/>
    <mergeCell ref="AK12:AK14"/>
    <mergeCell ref="AL12:AL14"/>
    <mergeCell ref="AM12:AM14"/>
    <mergeCell ref="AQ12:AR12"/>
    <mergeCell ref="AG8:AH8"/>
    <mergeCell ref="AI8:AJ8"/>
    <mergeCell ref="AQ8:AR8"/>
    <mergeCell ref="B9:I9"/>
    <mergeCell ref="AF9:AF11"/>
    <mergeCell ref="AJ9:AJ11"/>
    <mergeCell ref="AK9:AK11"/>
    <mergeCell ref="AL9:AL11"/>
    <mergeCell ref="AM9:AM11"/>
    <mergeCell ref="AP10:AP11"/>
    <mergeCell ref="AP4:AP5"/>
    <mergeCell ref="AQ4:AR5"/>
    <mergeCell ref="AV4:AV5"/>
    <mergeCell ref="V6:X6"/>
    <mergeCell ref="AQ6:AR6"/>
    <mergeCell ref="Z7:AB7"/>
    <mergeCell ref="AF7:AM7"/>
    <mergeCell ref="AQ7:AR7"/>
    <mergeCell ref="M2:R2"/>
    <mergeCell ref="U3:X5"/>
    <mergeCell ref="Y3:AD6"/>
    <mergeCell ref="K4:L4"/>
    <mergeCell ref="M4:N25"/>
    <mergeCell ref="O4:P4"/>
    <mergeCell ref="AD8:AD11"/>
    <mergeCell ref="Z21:AB21"/>
    <mergeCell ref="AD22:AD23"/>
  </mergeCells>
  <dataValidations count="5">
    <dataValidation type="list" allowBlank="1" showInputMessage="1" showErrorMessage="1" sqref="O42:Q42">
      <formula1>$AK$29:$AK$38</formula1>
    </dataValidation>
    <dataValidation type="list" allowBlank="1" showInputMessage="1" showErrorMessage="1" sqref="Q79:Q81 Q87:Q89 Q71:Q73 Q47 Q50">
      <formula1>$AI$29:$AI$40</formula1>
    </dataValidation>
    <dataValidation type="list" allowBlank="1" showInputMessage="1" showErrorMessage="1" sqref="P39:Q39">
      <formula1>$AE$31:$AE$33</formula1>
    </dataValidation>
    <dataValidation type="list" allowBlank="1" showInputMessage="1" showErrorMessage="1" sqref="O60">
      <formula1>$AG$29:$AG$30</formula1>
    </dataValidation>
    <dataValidation type="list" allowBlank="1" showInputMessage="1" showErrorMessage="1" sqref="O102:Q106">
      <formula1>$V$170:$V$179</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(1)'!$C$104:$C$113</xm:f>
          </x14:formula1>
          <xm:sqref>O56:Q56</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(1)'!$C$3:$C$62</xm:f>
          </x14:formula1>
          <xm:sqref>O71:P73 O79:P81 O87:P89 O117:P143</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E222"/>
  <sheetViews>
    <sheetView zoomScale="55" zoomScaleNormal="55" workbookViewId="0">
      <selection activeCell="K4" sqref="K4:L4"/>
    </sheetView>
  </sheetViews>
  <sheetFormatPr defaultRowHeight="19.5" customHeight="1" outlineLevelCol="1" x14ac:dyDescent="0.25"/>
  <cols>
    <col min="1" max="1" width="5.7109375" style="206" customWidth="1"/>
    <col min="2" max="2" width="37.28515625" style="206" customWidth="1"/>
    <col min="3" max="3" width="29.5703125" style="206" customWidth="1"/>
    <col min="4" max="4" width="21.7109375" style="206" bestFit="1" customWidth="1"/>
    <col min="5" max="7" width="16.7109375" style="206" customWidth="1"/>
    <col min="8" max="8" width="29.42578125" style="206" bestFit="1" customWidth="1"/>
    <col min="9" max="9" width="21.7109375" style="206" bestFit="1" customWidth="1"/>
    <col min="10" max="12" width="13" style="206" customWidth="1"/>
    <col min="13" max="13" width="36.5703125" style="206" customWidth="1"/>
    <col min="14" max="14" width="13.140625" style="206" bestFit="1" customWidth="1"/>
    <col min="15" max="15" width="29.7109375" style="206" customWidth="1"/>
    <col min="16" max="16" width="18.42578125" style="206" customWidth="1"/>
    <col min="17" max="17" width="49.140625" style="206" customWidth="1"/>
    <col min="18" max="18" width="8" style="206" customWidth="1"/>
    <col min="19" max="19" width="11.42578125" style="206" bestFit="1" customWidth="1"/>
    <col min="20" max="20" width="30.140625" style="206" hidden="1" customWidth="1" outlineLevel="1"/>
    <col min="21" max="21" width="43.42578125" style="206" hidden="1" customWidth="1" outlineLevel="1"/>
    <col min="22" max="22" width="65" style="206" hidden="1" customWidth="1" outlineLevel="1"/>
    <col min="23" max="23" width="21.28515625" style="206" hidden="1" customWidth="1" outlineLevel="1"/>
    <col min="24" max="24" width="27.42578125" style="206" hidden="1" customWidth="1" outlineLevel="1"/>
    <col min="25" max="25" width="22.42578125" style="206" hidden="1" customWidth="1" outlineLevel="1"/>
    <col min="26" max="26" width="22" style="206" hidden="1" customWidth="1" outlineLevel="1"/>
    <col min="27" max="27" width="16.85546875" style="206" hidden="1" customWidth="1" outlineLevel="1"/>
    <col min="28" max="28" width="21.5703125" style="206" hidden="1" customWidth="1" outlineLevel="1"/>
    <col min="29" max="29" width="16.85546875" style="206" hidden="1" customWidth="1" outlineLevel="1"/>
    <col min="30" max="30" width="24.42578125" style="206" hidden="1" customWidth="1" outlineLevel="1"/>
    <col min="31" max="31" width="36.140625" style="206" hidden="1" customWidth="1" outlineLevel="1"/>
    <col min="32" max="32" width="25.5703125" style="206" hidden="1" customWidth="1" outlineLevel="1"/>
    <col min="33" max="33" width="22" style="206" hidden="1" customWidth="1" outlineLevel="1"/>
    <col min="34" max="34" width="21.5703125" style="206" hidden="1" customWidth="1" outlineLevel="1"/>
    <col min="35" max="35" width="24.7109375" style="206" hidden="1" customWidth="1" outlineLevel="1"/>
    <col min="36" max="36" width="14.28515625" style="206" hidden="1" customWidth="1" outlineLevel="1"/>
    <col min="37" max="37" width="32.42578125" style="206" hidden="1" customWidth="1" outlineLevel="1"/>
    <col min="38" max="38" width="14.7109375" style="206" hidden="1" customWidth="1" outlineLevel="1"/>
    <col min="39" max="39" width="34.28515625" style="206" hidden="1" customWidth="1" outlineLevel="1"/>
    <col min="40" max="40" width="20.85546875" style="206" hidden="1" customWidth="1" outlineLevel="1"/>
    <col min="41" max="41" width="21.28515625" style="206" hidden="1" customWidth="1" outlineLevel="1"/>
    <col min="42" max="42" width="65" style="206" hidden="1" customWidth="1" outlineLevel="1"/>
    <col min="43" max="43" width="16.7109375" style="206" hidden="1" customWidth="1" outlineLevel="1"/>
    <col min="44" max="44" width="45.85546875" style="206" hidden="1" customWidth="1" outlineLevel="1"/>
    <col min="45" max="45" width="16.7109375" style="206" hidden="1" customWidth="1" outlineLevel="1"/>
    <col min="46" max="46" width="13.7109375" style="206" hidden="1" customWidth="1" outlineLevel="1"/>
    <col min="47" max="47" width="31.42578125" style="206" hidden="1" customWidth="1" outlineLevel="1"/>
    <col min="48" max="48" width="11.85546875" style="206" hidden="1" customWidth="1" outlineLevel="1"/>
    <col min="49" max="49" width="23.5703125" style="206" hidden="1" customWidth="1" outlineLevel="1"/>
    <col min="50" max="50" width="22.42578125" style="206" hidden="1" customWidth="1" outlineLevel="1"/>
    <col min="51" max="51" width="28.5703125" style="206" hidden="1" customWidth="1" outlineLevel="1"/>
    <col min="52" max="52" width="23" style="206" hidden="1" customWidth="1" outlineLevel="1"/>
    <col min="53" max="54" width="16.7109375" style="206" hidden="1" customWidth="1" outlineLevel="1"/>
    <col min="55" max="55" width="9.140625" style="206" hidden="1" customWidth="1" outlineLevel="1"/>
    <col min="56" max="56" width="9.140625" style="206" collapsed="1"/>
    <col min="57" max="16384" width="9.140625" style="206"/>
  </cols>
  <sheetData>
    <row r="1" spans="1:54" ht="19.5" customHeight="1" thickBot="1" x14ac:dyDescent="0.3"/>
    <row r="2" spans="1:54" ht="19.5" customHeight="1" thickBot="1" x14ac:dyDescent="0.3">
      <c r="M2" s="308" t="s">
        <v>245</v>
      </c>
      <c r="N2" s="309"/>
      <c r="O2" s="309"/>
      <c r="P2" s="309"/>
      <c r="Q2" s="309"/>
      <c r="R2" s="310"/>
      <c r="AO2" s="7"/>
      <c r="AP2" s="7"/>
      <c r="AQ2" s="7"/>
      <c r="AR2" s="7"/>
      <c r="AS2" s="7"/>
      <c r="AT2" s="7"/>
      <c r="AU2" s="7"/>
      <c r="AV2" s="7"/>
      <c r="AW2" s="7"/>
      <c r="AX2" s="7"/>
      <c r="AY2" s="7"/>
      <c r="AZ2" s="7"/>
      <c r="BA2" s="7"/>
      <c r="BB2" s="7"/>
    </row>
    <row r="3" spans="1:54" ht="19.5" customHeight="1" x14ac:dyDescent="0.25">
      <c r="M3" s="207"/>
      <c r="N3" s="201"/>
      <c r="O3" s="201"/>
      <c r="P3" s="201"/>
      <c r="Q3" s="201"/>
      <c r="R3" s="208"/>
      <c r="U3" s="311" t="s">
        <v>56</v>
      </c>
      <c r="V3" s="311"/>
      <c r="W3" s="311"/>
      <c r="X3" s="311"/>
      <c r="Y3" s="301" t="s">
        <v>59</v>
      </c>
      <c r="Z3" s="301"/>
      <c r="AA3" s="301"/>
      <c r="AB3" s="301"/>
      <c r="AC3" s="301"/>
      <c r="AD3" s="301"/>
      <c r="AO3" s="7"/>
      <c r="AP3" s="7"/>
      <c r="AQ3" s="7"/>
      <c r="AR3" s="7"/>
      <c r="AS3" s="7"/>
      <c r="AT3" s="7"/>
      <c r="AU3" s="7"/>
      <c r="AV3" s="7"/>
      <c r="AW3" s="7"/>
      <c r="AX3" s="7"/>
      <c r="AY3" s="7"/>
      <c r="AZ3" s="7"/>
      <c r="BA3" s="7"/>
      <c r="BB3" s="7"/>
    </row>
    <row r="4" spans="1:54" ht="19.5" customHeight="1" x14ac:dyDescent="0.25">
      <c r="K4" s="416" t="s">
        <v>280</v>
      </c>
      <c r="L4" s="416"/>
      <c r="M4" s="303" t="s">
        <v>186</v>
      </c>
      <c r="N4" s="304"/>
      <c r="O4" s="312" t="s">
        <v>177</v>
      </c>
      <c r="P4" s="312"/>
      <c r="Q4" s="202" t="s">
        <v>0</v>
      </c>
      <c r="R4" s="209"/>
      <c r="U4" s="311"/>
      <c r="V4" s="311"/>
      <c r="W4" s="311"/>
      <c r="X4" s="311"/>
      <c r="Y4" s="301"/>
      <c r="Z4" s="301"/>
      <c r="AA4" s="301"/>
      <c r="AB4" s="301"/>
      <c r="AC4" s="301"/>
      <c r="AD4" s="301"/>
      <c r="AO4" s="7"/>
      <c r="AP4" s="295" t="s">
        <v>232</v>
      </c>
      <c r="AQ4" s="295" t="s">
        <v>233</v>
      </c>
      <c r="AR4" s="295"/>
      <c r="AS4" s="186" t="s">
        <v>33</v>
      </c>
      <c r="AT4" s="186" t="s">
        <v>198</v>
      </c>
      <c r="AU4" s="186" t="s">
        <v>199</v>
      </c>
      <c r="AV4" s="296" t="s">
        <v>234</v>
      </c>
      <c r="AW4" s="7"/>
      <c r="AX4" s="7"/>
      <c r="AY4" s="7"/>
      <c r="AZ4" s="7"/>
      <c r="BA4" s="7"/>
      <c r="BB4" s="7"/>
    </row>
    <row r="5" spans="1:54" ht="19.5" customHeight="1" x14ac:dyDescent="0.25">
      <c r="M5" s="303"/>
      <c r="N5" s="304"/>
      <c r="O5" s="191" t="s">
        <v>1</v>
      </c>
      <c r="P5" s="5">
        <v>6.9</v>
      </c>
      <c r="Q5" s="191" t="s">
        <v>2</v>
      </c>
      <c r="R5" s="209"/>
      <c r="U5" s="311"/>
      <c r="V5" s="311"/>
      <c r="W5" s="311"/>
      <c r="X5" s="311"/>
      <c r="Y5" s="301"/>
      <c r="Z5" s="301"/>
      <c r="AA5" s="301"/>
      <c r="AB5" s="301"/>
      <c r="AC5" s="301"/>
      <c r="AD5" s="301"/>
      <c r="AO5" s="7"/>
      <c r="AP5" s="295"/>
      <c r="AQ5" s="295"/>
      <c r="AR5" s="295"/>
      <c r="AS5" s="9">
        <f>$AC$30</f>
        <v>720</v>
      </c>
      <c r="AT5" s="9">
        <f>$AC$31</f>
        <v>176</v>
      </c>
      <c r="AU5" s="9">
        <f>$AC$32</f>
        <v>200</v>
      </c>
      <c r="AV5" s="297"/>
      <c r="AW5" s="7"/>
      <c r="AX5" s="7"/>
      <c r="AY5" s="7"/>
      <c r="AZ5" s="7"/>
      <c r="BA5" s="7"/>
      <c r="BB5" s="7"/>
    </row>
    <row r="6" spans="1:54" ht="19.5" customHeight="1" x14ac:dyDescent="0.25">
      <c r="M6" s="303"/>
      <c r="N6" s="304"/>
      <c r="O6" s="191" t="s">
        <v>3</v>
      </c>
      <c r="P6" s="6">
        <v>2.9</v>
      </c>
      <c r="Q6" s="191" t="s">
        <v>55</v>
      </c>
      <c r="R6" s="209"/>
      <c r="U6" s="191" t="s">
        <v>29</v>
      </c>
      <c r="V6" s="301" t="s">
        <v>51</v>
      </c>
      <c r="W6" s="301"/>
      <c r="X6" s="301"/>
      <c r="Y6" s="301"/>
      <c r="Z6" s="301"/>
      <c r="AA6" s="301"/>
      <c r="AB6" s="301"/>
      <c r="AC6" s="301"/>
      <c r="AD6" s="301"/>
      <c r="AO6" s="7"/>
      <c r="AP6" s="186">
        <v>1</v>
      </c>
      <c r="AQ6" s="305">
        <f>O71</f>
        <v>0</v>
      </c>
      <c r="AR6" s="306"/>
      <c r="AS6" s="9">
        <f>IFERROR((VLOOKUP(AQ6,$V$100:$AB$179,3,0)*0.01)*AV6,0)</f>
        <v>0</v>
      </c>
      <c r="AT6" s="9">
        <f>IFERROR((VLOOKUP(AQ6,$V$100:$AB$179,5,0)*0.01)*AV6,0)</f>
        <v>0</v>
      </c>
      <c r="AU6" s="9">
        <f>IFERROR((VLOOKUP(AQ6,$V$100:$AB$179,7,0)*0.01)*AV6,0)</f>
        <v>0</v>
      </c>
      <c r="AV6" s="9">
        <f>IFERROR($AT$5*Q71/(VLOOKUP(AQ6,$V$100:$AB$179,5,0)/100),0)</f>
        <v>0</v>
      </c>
      <c r="AW6" s="7"/>
      <c r="AX6" s="7"/>
      <c r="AY6" s="7"/>
      <c r="AZ6" s="7"/>
      <c r="BA6" s="7"/>
      <c r="BB6" s="7"/>
    </row>
    <row r="7" spans="1:54" ht="19.5" customHeight="1" x14ac:dyDescent="0.25">
      <c r="M7" s="303"/>
      <c r="N7" s="304"/>
      <c r="O7" s="191" t="s">
        <v>4</v>
      </c>
      <c r="P7" s="5">
        <v>0.5</v>
      </c>
      <c r="Q7" s="191" t="s">
        <v>55</v>
      </c>
      <c r="R7" s="209"/>
      <c r="U7" s="191" t="s">
        <v>23</v>
      </c>
      <c r="V7" s="191" t="s">
        <v>25</v>
      </c>
      <c r="W7" s="191" t="s">
        <v>26</v>
      </c>
      <c r="X7" s="191" t="s">
        <v>31</v>
      </c>
      <c r="Y7" s="191" t="s">
        <v>53</v>
      </c>
      <c r="Z7" s="301" t="s">
        <v>54</v>
      </c>
      <c r="AA7" s="301"/>
      <c r="AB7" s="301"/>
      <c r="AC7" s="191" t="s">
        <v>57</v>
      </c>
      <c r="AD7" s="191" t="s">
        <v>58</v>
      </c>
      <c r="AF7" s="307" t="s">
        <v>221</v>
      </c>
      <c r="AG7" s="307"/>
      <c r="AH7" s="307"/>
      <c r="AI7" s="307"/>
      <c r="AJ7" s="307"/>
      <c r="AK7" s="307"/>
      <c r="AL7" s="307"/>
      <c r="AM7" s="307"/>
      <c r="AO7" s="7"/>
      <c r="AP7" s="186">
        <v>2</v>
      </c>
      <c r="AQ7" s="305" t="str">
        <f>O72</f>
        <v>Termofosfato YOORIN</v>
      </c>
      <c r="AR7" s="306"/>
      <c r="AS7" s="9">
        <f>IFERROR((VLOOKUP(AQ7,$V$100:$AB$179,3,0)*0.01)*AV7,0)</f>
        <v>0</v>
      </c>
      <c r="AT7" s="9">
        <f>IFERROR((VLOOKUP(AQ7,$V$100:$AB$179,5,0)*0.01)*AV7,0)</f>
        <v>176.00000000000003</v>
      </c>
      <c r="AU7" s="9">
        <f>IFERROR((VLOOKUP(AQ7,$V$100:$AB$179,7,0)*0.01)*AV7,0)</f>
        <v>0</v>
      </c>
      <c r="AV7" s="9">
        <f>IFERROR($AT$5*Q72/(VLOOKUP(AQ7,$V$100:$AB$179,5,0)/100),0)</f>
        <v>1005.7142857142858</v>
      </c>
      <c r="AW7" s="7"/>
      <c r="AX7" s="7"/>
      <c r="AY7" s="7"/>
      <c r="AZ7" s="7"/>
      <c r="BA7" s="7"/>
      <c r="BB7" s="7"/>
    </row>
    <row r="8" spans="1:54" ht="19.5" customHeight="1" thickBot="1" x14ac:dyDescent="0.3">
      <c r="M8" s="303"/>
      <c r="N8" s="304"/>
      <c r="O8" s="191" t="s">
        <v>5</v>
      </c>
      <c r="P8" s="6">
        <v>0.33</v>
      </c>
      <c r="Q8" s="191" t="s">
        <v>55</v>
      </c>
      <c r="R8" s="209"/>
      <c r="U8" s="191" t="s">
        <v>37</v>
      </c>
      <c r="V8" s="191" t="s">
        <v>39</v>
      </c>
      <c r="W8" s="191" t="s">
        <v>30</v>
      </c>
      <c r="X8" s="191" t="s">
        <v>43</v>
      </c>
      <c r="Y8" s="191" t="str">
        <f>IF($P$21&lt;=15.99,"correto","erro")</f>
        <v>erro</v>
      </c>
      <c r="Z8" s="191" t="str">
        <f>IF($P$13&lt;=12,"baixo","erro")</f>
        <v>baixo</v>
      </c>
      <c r="AA8" s="191" t="str">
        <f>IF(AND($P$13&gt;=12.01,$P$13&lt;=18),"medio","erro")</f>
        <v>erro</v>
      </c>
      <c r="AB8" s="191" t="str">
        <f>IF($P$13&gt;18,"adequado","erro")</f>
        <v>erro</v>
      </c>
      <c r="AC8" s="191" t="str">
        <f>IF(Z8="baixo","baixo",IF(AA8="medio","medio",IF(AB8="adequado","adequado",0)))</f>
        <v>baixo</v>
      </c>
      <c r="AD8" s="301" t="str">
        <f>VLOOKUP("correto",Y8:AC11,5,0)</f>
        <v>baixo</v>
      </c>
      <c r="AF8" s="191" t="s">
        <v>224</v>
      </c>
      <c r="AG8" s="307" t="s">
        <v>222</v>
      </c>
      <c r="AH8" s="307"/>
      <c r="AI8" s="301" t="s">
        <v>223</v>
      </c>
      <c r="AJ8" s="301"/>
      <c r="AK8" s="191" t="s">
        <v>58</v>
      </c>
      <c r="AL8" s="191" t="s">
        <v>237</v>
      </c>
      <c r="AM8" s="191" t="s">
        <v>240</v>
      </c>
      <c r="AO8" s="7"/>
      <c r="AP8" s="186">
        <v>3</v>
      </c>
      <c r="AQ8" s="305">
        <f>O73</f>
        <v>0</v>
      </c>
      <c r="AR8" s="306"/>
      <c r="AS8" s="9">
        <f>IFERROR((VLOOKUP(AQ8,$V$100:$AB$179,3,0)*0.01)*AV8,0)</f>
        <v>0</v>
      </c>
      <c r="AT8" s="9">
        <f>IFERROR((VLOOKUP(AQ8,$V$100:$AB$179,5,0)*0.01)*AV8,0)</f>
        <v>0</v>
      </c>
      <c r="AU8" s="9">
        <f>IFERROR((VLOOKUP(AQ8,$V$100:$AB$179,7,0)*0.01)*AV8,0)</f>
        <v>0</v>
      </c>
      <c r="AV8" s="9">
        <f>IFERROR($AT$5*Q73/(VLOOKUP(AQ8,$V$100:$AB$179,5,0)/100),0)</f>
        <v>0</v>
      </c>
      <c r="AW8" s="7"/>
      <c r="AX8" s="7"/>
      <c r="AY8" s="7"/>
      <c r="AZ8" s="7"/>
      <c r="BA8" s="7"/>
      <c r="BB8" s="7"/>
    </row>
    <row r="9" spans="1:54" ht="19.5" customHeight="1" thickBot="1" x14ac:dyDescent="0.3">
      <c r="A9" s="14"/>
      <c r="B9" s="292" t="s">
        <v>107</v>
      </c>
      <c r="C9" s="293"/>
      <c r="D9" s="293"/>
      <c r="E9" s="293"/>
      <c r="F9" s="293"/>
      <c r="G9" s="293"/>
      <c r="H9" s="293"/>
      <c r="I9" s="294"/>
      <c r="M9" s="303"/>
      <c r="N9" s="304"/>
      <c r="O9" s="191" t="s">
        <v>6</v>
      </c>
      <c r="P9" s="5">
        <v>0.05</v>
      </c>
      <c r="Q9" s="191" t="s">
        <v>55</v>
      </c>
      <c r="R9" s="209"/>
      <c r="U9" s="191" t="s">
        <v>27</v>
      </c>
      <c r="V9" s="191" t="s">
        <v>40</v>
      </c>
      <c r="W9" s="191" t="s">
        <v>44</v>
      </c>
      <c r="X9" s="191" t="s">
        <v>47</v>
      </c>
      <c r="Y9" s="191" t="str">
        <f>IF(AND($P$21&gt;15.99,P21&lt;34.99),"correto","erro")</f>
        <v>erro</v>
      </c>
      <c r="Z9" s="191" t="str">
        <f>IF($P$13&lt;=10,"baixo","erro")</f>
        <v>baixo</v>
      </c>
      <c r="AA9" s="191" t="str">
        <f>IF(AND($P$13&gt;=10.01,$P$13&lt;=15),"medio","erro")</f>
        <v>erro</v>
      </c>
      <c r="AB9" s="191" t="str">
        <f>IF($P$13&gt;15,"adequado","erro")</f>
        <v>erro</v>
      </c>
      <c r="AC9" s="191" t="str">
        <f>IF(Z9="baixo","baixo",IF(AA9="medio","medio",IF(AB9="adequado","adequado",0)))</f>
        <v>baixo</v>
      </c>
      <c r="AD9" s="301"/>
      <c r="AF9" s="307" t="s">
        <v>220</v>
      </c>
      <c r="AG9" s="203" t="s">
        <v>25</v>
      </c>
      <c r="AH9" s="203" t="s">
        <v>216</v>
      </c>
      <c r="AI9" s="191" t="str">
        <f>IF($P$14&lt;=0.2,"baixo","erro")</f>
        <v>baixo</v>
      </c>
      <c r="AJ9" s="301" t="str">
        <f>IF($AI$9="baixo","baixo",IF($AI$10="medio","medio",IF($AI$11="adequado","adequado",0)))</f>
        <v>baixo</v>
      </c>
      <c r="AK9" s="301">
        <f>IF(AJ9="Baixo",AL9,0)</f>
        <v>8</v>
      </c>
      <c r="AL9" s="301">
        <f>(AM9*1000)/$E$18</f>
        <v>8</v>
      </c>
      <c r="AM9" s="302">
        <v>1</v>
      </c>
      <c r="AO9" s="7"/>
      <c r="AP9" s="7"/>
      <c r="AQ9" s="7"/>
      <c r="AR9" s="7"/>
      <c r="AS9" s="28">
        <f>AS5-(SUM(AS6:AS8))</f>
        <v>720</v>
      </c>
      <c r="AT9" s="28">
        <f>AT5-(SUM(AT6:AT8))</f>
        <v>0</v>
      </c>
      <c r="AU9" s="28">
        <f>AU5-(SUM(AU6:AU8))</f>
        <v>200</v>
      </c>
      <c r="AV9" s="28"/>
      <c r="AW9" s="7"/>
      <c r="AX9" s="7"/>
      <c r="AY9" s="7"/>
      <c r="AZ9" s="7"/>
      <c r="BA9" s="7"/>
      <c r="BB9" s="7"/>
    </row>
    <row r="10" spans="1:54" ht="19.5" customHeight="1" x14ac:dyDescent="0.25">
      <c r="M10" s="303"/>
      <c r="N10" s="304"/>
      <c r="O10" s="191" t="s">
        <v>7</v>
      </c>
      <c r="P10" s="6">
        <v>0</v>
      </c>
      <c r="Q10" s="191" t="s">
        <v>55</v>
      </c>
      <c r="R10" s="209"/>
      <c r="U10" s="191" t="s">
        <v>28</v>
      </c>
      <c r="V10" s="191" t="s">
        <v>41</v>
      </c>
      <c r="W10" s="191" t="s">
        <v>45</v>
      </c>
      <c r="X10" s="191" t="s">
        <v>48</v>
      </c>
      <c r="Y10" s="191" t="str">
        <f>IF(AND($P$21&gt;34.99,P21&lt;59.99),"correto","erro")</f>
        <v>correto</v>
      </c>
      <c r="Z10" s="191" t="str">
        <f>IF($P$13&lt;=5,"baixo","erro")</f>
        <v>baixo</v>
      </c>
      <c r="AA10" s="191" t="str">
        <f>IF(AND($P$13&gt;=5.01,$P$13&lt;=8),"medio","erro")</f>
        <v>erro</v>
      </c>
      <c r="AB10" s="191" t="str">
        <f>IF($P$13&gt;8,"adequado","erro")</f>
        <v>erro</v>
      </c>
      <c r="AC10" s="191" t="str">
        <f>IF(Z10="baixo","baixo",IF(AA10="medio","medio",IF(AB10="adequado","adequado",0)))</f>
        <v>baixo</v>
      </c>
      <c r="AD10" s="301"/>
      <c r="AF10" s="307"/>
      <c r="AG10" s="203" t="s">
        <v>26</v>
      </c>
      <c r="AH10" s="203" t="s">
        <v>212</v>
      </c>
      <c r="AI10" s="191" t="str">
        <f>IF(AND($P$14&gt;=0.201,$P$14&lt;=0.5),"medio","erro")</f>
        <v>erro</v>
      </c>
      <c r="AJ10" s="301"/>
      <c r="AK10" s="301"/>
      <c r="AL10" s="301"/>
      <c r="AM10" s="302"/>
      <c r="AO10" s="7"/>
      <c r="AP10" s="295" t="s">
        <v>232</v>
      </c>
      <c r="AQ10" s="295" t="s">
        <v>233</v>
      </c>
      <c r="AR10" s="295"/>
      <c r="AS10" s="186" t="s">
        <v>33</v>
      </c>
      <c r="AT10" s="186" t="s">
        <v>198</v>
      </c>
      <c r="AU10" s="186" t="s">
        <v>199</v>
      </c>
      <c r="AV10" s="296" t="s">
        <v>234</v>
      </c>
      <c r="AW10" s="7"/>
      <c r="AX10" s="7"/>
      <c r="AY10" s="7"/>
      <c r="AZ10" s="7"/>
      <c r="BA10" s="7"/>
      <c r="BB10" s="7"/>
    </row>
    <row r="11" spans="1:54" ht="19.5" customHeight="1" x14ac:dyDescent="0.25">
      <c r="B11" s="191" t="s">
        <v>108</v>
      </c>
      <c r="C11" s="298"/>
      <c r="D11" s="298"/>
      <c r="E11" s="298"/>
      <c r="F11" s="298"/>
      <c r="G11" s="298"/>
      <c r="H11" s="298"/>
      <c r="I11" s="299"/>
      <c r="M11" s="303"/>
      <c r="N11" s="304"/>
      <c r="O11" s="191" t="s">
        <v>8</v>
      </c>
      <c r="P11" s="5">
        <v>4</v>
      </c>
      <c r="Q11" s="191" t="s">
        <v>55</v>
      </c>
      <c r="R11" s="209"/>
      <c r="U11" s="191" t="s">
        <v>38</v>
      </c>
      <c r="V11" s="191" t="s">
        <v>42</v>
      </c>
      <c r="W11" s="191" t="s">
        <v>46</v>
      </c>
      <c r="X11" s="191" t="s">
        <v>49</v>
      </c>
      <c r="Y11" s="191" t="str">
        <f>IF($P$21&gt;59.99,"correto","erro")</f>
        <v>erro</v>
      </c>
      <c r="Z11" s="191" t="str">
        <f>IF($P$13&lt;=3,"baixo","erro")</f>
        <v>baixo</v>
      </c>
      <c r="AA11" s="191" t="str">
        <f>IF(AND($P$13&gt;=3.01,$P$13&lt;=6),"medio","erro")</f>
        <v>erro</v>
      </c>
      <c r="AB11" s="191" t="str">
        <f>IF($P$13&gt;6,"adequado","erro")</f>
        <v>erro</v>
      </c>
      <c r="AC11" s="191" t="str">
        <f>IF(Z11="baixo","baixo",IF(AA11="medio","medio",IF(AB11="adequado","adequado",0)))</f>
        <v>baixo</v>
      </c>
      <c r="AD11" s="301"/>
      <c r="AF11" s="307"/>
      <c r="AG11" s="203" t="s">
        <v>208</v>
      </c>
      <c r="AH11" s="203" t="s">
        <v>207</v>
      </c>
      <c r="AI11" s="191" t="str">
        <f>IF($P$14&gt;0.5,"adequado","erro")</f>
        <v>erro</v>
      </c>
      <c r="AJ11" s="301"/>
      <c r="AK11" s="301"/>
      <c r="AL11" s="301"/>
      <c r="AM11" s="302"/>
      <c r="AO11" s="7"/>
      <c r="AP11" s="295"/>
      <c r="AQ11" s="295"/>
      <c r="AR11" s="295"/>
      <c r="AS11" s="9">
        <f>AS9</f>
        <v>720</v>
      </c>
      <c r="AT11" s="9">
        <f t="shared" ref="AT11:AU11" si="0">AT9</f>
        <v>0</v>
      </c>
      <c r="AU11" s="9">
        <f t="shared" si="0"/>
        <v>200</v>
      </c>
      <c r="AV11" s="297"/>
      <c r="AW11" s="7"/>
      <c r="AX11" s="7"/>
      <c r="AY11" s="7"/>
      <c r="AZ11" s="7"/>
      <c r="BA11" s="7"/>
      <c r="BB11" s="7"/>
    </row>
    <row r="12" spans="1:54" ht="19.5" customHeight="1" x14ac:dyDescent="0.25">
      <c r="B12" s="192" t="s">
        <v>109</v>
      </c>
      <c r="C12" s="300"/>
      <c r="D12" s="298"/>
      <c r="E12" s="298"/>
      <c r="F12" s="298"/>
      <c r="G12" s="298"/>
      <c r="H12" s="298"/>
      <c r="I12" s="299"/>
      <c r="M12" s="303"/>
      <c r="N12" s="304"/>
      <c r="O12" s="191" t="s">
        <v>9</v>
      </c>
      <c r="P12" s="6">
        <v>18.7</v>
      </c>
      <c r="Q12" s="191" t="s">
        <v>10</v>
      </c>
      <c r="R12" s="209"/>
      <c r="AF12" s="307" t="s">
        <v>219</v>
      </c>
      <c r="AG12" s="203" t="s">
        <v>25</v>
      </c>
      <c r="AH12" s="203" t="s">
        <v>215</v>
      </c>
      <c r="AI12" s="191" t="str">
        <f>IF($P$16&lt;=0.4,"baixo","erro")</f>
        <v>erro</v>
      </c>
      <c r="AJ12" s="301" t="str">
        <f>IF($AI$12="baixo","baixo",IF($AI$13="medio","medio",IF($AI$14="adequado","adequado",0)))</f>
        <v>medio</v>
      </c>
      <c r="AK12" s="301">
        <f>IF(AJ12="Baixo",AL12,0)</f>
        <v>0</v>
      </c>
      <c r="AL12" s="301">
        <f>(AM12*1000)/$E$18</f>
        <v>4</v>
      </c>
      <c r="AM12" s="302">
        <v>0.5</v>
      </c>
      <c r="AO12" s="7"/>
      <c r="AP12" s="186">
        <v>7</v>
      </c>
      <c r="AQ12" s="295" t="str">
        <f>O79</f>
        <v>Kmag</v>
      </c>
      <c r="AR12" s="295"/>
      <c r="AS12" s="9">
        <f>IFERROR((VLOOKUP(AQ12,$V$100:$AB$179,3,0)*0.01)*AV12,0)</f>
        <v>0</v>
      </c>
      <c r="AT12" s="9">
        <f>IFERROR((VLOOKUP(AQ12,$V$100:$AB$179,5,0)*0.01)*AV12,0)</f>
        <v>0</v>
      </c>
      <c r="AU12" s="9">
        <f>IFERROR((VLOOKUP(AQ12,$V$100:$AB$179,7,0)*0.01)*AV12,0)</f>
        <v>200</v>
      </c>
      <c r="AV12" s="9">
        <f>IFERROR($AU$11*Q79/(VLOOKUP(AQ12,$V$100:$AB$179,7,0)/100),0)</f>
        <v>952.38095238095241</v>
      </c>
      <c r="AW12" s="7"/>
      <c r="AX12" s="7"/>
      <c r="AY12" s="7"/>
      <c r="AZ12" s="7"/>
      <c r="BA12" s="7"/>
      <c r="BB12" s="7"/>
    </row>
    <row r="13" spans="1:54" ht="19.5" customHeight="1" x14ac:dyDescent="0.25">
      <c r="B13" s="192" t="s">
        <v>110</v>
      </c>
      <c r="C13" s="300"/>
      <c r="D13" s="298"/>
      <c r="E13" s="298"/>
      <c r="F13" s="298"/>
      <c r="G13" s="298"/>
      <c r="H13" s="298"/>
      <c r="I13" s="299"/>
      <c r="M13" s="303"/>
      <c r="N13" s="304"/>
      <c r="O13" s="191" t="s">
        <v>11</v>
      </c>
      <c r="P13" s="5">
        <v>2.5</v>
      </c>
      <c r="Q13" s="191" t="s">
        <v>12</v>
      </c>
      <c r="R13" s="209"/>
      <c r="AF13" s="307"/>
      <c r="AG13" s="203" t="s">
        <v>26</v>
      </c>
      <c r="AH13" s="203" t="s">
        <v>211</v>
      </c>
      <c r="AI13" s="191" t="str">
        <f>IF(AND($P$16&gt;=0.401,$P$16&lt;=0.8),"medio","erro")</f>
        <v>medio</v>
      </c>
      <c r="AJ13" s="301"/>
      <c r="AK13" s="301"/>
      <c r="AL13" s="301"/>
      <c r="AM13" s="302"/>
      <c r="AO13" s="7"/>
      <c r="AP13" s="186">
        <v>8</v>
      </c>
      <c r="AQ13" s="295">
        <f>O80</f>
        <v>0</v>
      </c>
      <c r="AR13" s="295"/>
      <c r="AS13" s="9">
        <f>IFERROR((VLOOKUP(AQ13,$V$100:$AB$179,3,0)*0.01)*AV13,0)</f>
        <v>0</v>
      </c>
      <c r="AT13" s="9">
        <f>IFERROR((VLOOKUP(AQ13,$V$100:$AB$179,5,0)*0.01)*AV13,0)</f>
        <v>0</v>
      </c>
      <c r="AU13" s="9">
        <f>IFERROR((VLOOKUP(AQ13,$V$100:$AB$179,7,0)*0.01)*AV13,0)</f>
        <v>0</v>
      </c>
      <c r="AV13" s="9">
        <f>IFERROR($AU$11*Q80/(VLOOKUP(AQ13,$V$100:$AB$179,7,0)/100),0)</f>
        <v>0</v>
      </c>
      <c r="AW13" s="7"/>
      <c r="AX13" s="7"/>
      <c r="AY13" s="7"/>
      <c r="AZ13" s="7"/>
      <c r="BA13" s="7"/>
      <c r="BB13" s="7"/>
    </row>
    <row r="14" spans="1:54" ht="19.5" customHeight="1" x14ac:dyDescent="0.25">
      <c r="B14" s="192" t="s">
        <v>111</v>
      </c>
      <c r="C14" s="300"/>
      <c r="D14" s="298"/>
      <c r="E14" s="298"/>
      <c r="F14" s="298"/>
      <c r="G14" s="299"/>
      <c r="H14" s="191" t="s">
        <v>112</v>
      </c>
      <c r="I14" s="90">
        <f ca="1">TODAY()</f>
        <v>44010</v>
      </c>
      <c r="M14" s="303"/>
      <c r="N14" s="304"/>
      <c r="O14" s="191" t="s">
        <v>13</v>
      </c>
      <c r="P14" s="6">
        <v>0.05</v>
      </c>
      <c r="Q14" s="191" t="s">
        <v>12</v>
      </c>
      <c r="R14" s="209"/>
      <c r="AF14" s="307"/>
      <c r="AG14" s="203" t="s">
        <v>208</v>
      </c>
      <c r="AH14" s="203" t="s">
        <v>206</v>
      </c>
      <c r="AI14" s="191" t="str">
        <f>IF($P$16&gt;0.8,"adequado","erro")</f>
        <v>erro</v>
      </c>
      <c r="AJ14" s="301"/>
      <c r="AK14" s="301"/>
      <c r="AL14" s="301"/>
      <c r="AM14" s="302"/>
      <c r="AO14" s="7"/>
      <c r="AP14" s="186">
        <v>9</v>
      </c>
      <c r="AQ14" s="295">
        <f>O81</f>
        <v>0</v>
      </c>
      <c r="AR14" s="295"/>
      <c r="AS14" s="9">
        <f>IFERROR((VLOOKUP(AQ14,$V$100:$AB$179,3,0)*0.01)*AV14,0)</f>
        <v>0</v>
      </c>
      <c r="AT14" s="9">
        <f>IFERROR((VLOOKUP(AQ14,$V$100:$AB$179,5,0)*0.01)*AV14,0)</f>
        <v>0</v>
      </c>
      <c r="AU14" s="9">
        <f>IFERROR((VLOOKUP(AQ14,$V$100:$AB$179,7,0)*0.01)*AV14,0)</f>
        <v>0</v>
      </c>
      <c r="AV14" s="9">
        <f>IFERROR($AU$11*Q81/(VLOOKUP(AQ14,$V$100:$AB$179,7,0)/100),0)</f>
        <v>0</v>
      </c>
      <c r="AW14" s="7"/>
      <c r="AX14" s="7"/>
      <c r="AY14" s="7"/>
      <c r="AZ14" s="7"/>
      <c r="BA14" s="7"/>
      <c r="BB14" s="7"/>
    </row>
    <row r="15" spans="1:54" ht="19.5" customHeight="1" thickBot="1" x14ac:dyDescent="0.3">
      <c r="M15" s="303"/>
      <c r="N15" s="304"/>
      <c r="O15" s="191" t="s">
        <v>14</v>
      </c>
      <c r="P15" s="5">
        <v>2.2999999999999998</v>
      </c>
      <c r="Q15" s="191" t="s">
        <v>12</v>
      </c>
      <c r="R15" s="209"/>
      <c r="AF15" s="307" t="s">
        <v>218</v>
      </c>
      <c r="AG15" s="203" t="s">
        <v>25</v>
      </c>
      <c r="AH15" s="203" t="s">
        <v>214</v>
      </c>
      <c r="AI15" s="191" t="str">
        <f>IF($P$18&lt;=1.9,"baixo","erro")</f>
        <v>erro</v>
      </c>
      <c r="AJ15" s="301" t="str">
        <f>IF($AI$15="baixo","baixo",IF($AI$16="medio","medio",IF($AI$17="adequado","adequado",0)))</f>
        <v>adequado</v>
      </c>
      <c r="AK15" s="301">
        <f>IF(AJ15="Baixo",AL15,0)</f>
        <v>0</v>
      </c>
      <c r="AL15" s="301">
        <f>(AM15*1000)/$E$18</f>
        <v>8</v>
      </c>
      <c r="AM15" s="302">
        <v>1</v>
      </c>
      <c r="AO15" s="7"/>
      <c r="AP15" s="7"/>
      <c r="AQ15" s="7"/>
      <c r="AR15" s="7"/>
      <c r="AS15" s="28">
        <f>AS11-(SUM(AS12:AS14))</f>
        <v>720</v>
      </c>
      <c r="AT15" s="28">
        <f>AT11-(SUM(AT12:AT14))</f>
        <v>0</v>
      </c>
      <c r="AU15" s="28">
        <f>AU11-(SUM(AU12:AU14))</f>
        <v>0</v>
      </c>
      <c r="AV15" s="7"/>
      <c r="AW15" s="7"/>
      <c r="AX15" s="7"/>
      <c r="AY15" s="7"/>
      <c r="AZ15" s="7"/>
      <c r="BA15" s="7"/>
      <c r="BB15" s="7"/>
    </row>
    <row r="16" spans="1:54" ht="19.5" customHeight="1" thickBot="1" x14ac:dyDescent="0.3">
      <c r="B16" s="313" t="s">
        <v>279</v>
      </c>
      <c r="C16" s="314"/>
      <c r="D16" s="314"/>
      <c r="E16" s="314"/>
      <c r="F16" s="314"/>
      <c r="G16" s="314"/>
      <c r="H16" s="314"/>
      <c r="I16" s="315"/>
      <c r="M16" s="303"/>
      <c r="N16" s="304"/>
      <c r="O16" s="191" t="s">
        <v>15</v>
      </c>
      <c r="P16" s="6">
        <v>0.6</v>
      </c>
      <c r="Q16" s="191" t="s">
        <v>12</v>
      </c>
      <c r="R16" s="209"/>
      <c r="AF16" s="307"/>
      <c r="AG16" s="203" t="s">
        <v>26</v>
      </c>
      <c r="AH16" s="203" t="s">
        <v>210</v>
      </c>
      <c r="AI16" s="191" t="str">
        <f>IF(AND($P$18&gt;=1.901,$P$18&lt;=5),"medio","erro")</f>
        <v>erro</v>
      </c>
      <c r="AJ16" s="301"/>
      <c r="AK16" s="301"/>
      <c r="AL16" s="301"/>
      <c r="AM16" s="302"/>
      <c r="AO16" s="7"/>
      <c r="AP16" s="295" t="s">
        <v>232</v>
      </c>
      <c r="AQ16" s="295" t="s">
        <v>233</v>
      </c>
      <c r="AR16" s="295"/>
      <c r="AS16" s="186" t="s">
        <v>33</v>
      </c>
      <c r="AT16" s="186" t="s">
        <v>198</v>
      </c>
      <c r="AU16" s="186" t="s">
        <v>199</v>
      </c>
      <c r="AV16" s="296" t="s">
        <v>234</v>
      </c>
      <c r="AW16" s="7"/>
      <c r="AX16" s="7"/>
      <c r="AY16" s="7"/>
      <c r="AZ16" s="7"/>
      <c r="BA16" s="7"/>
      <c r="BB16" s="7"/>
    </row>
    <row r="17" spans="2:54" ht="19.5" customHeight="1" x14ac:dyDescent="0.25">
      <c r="M17" s="303"/>
      <c r="N17" s="304"/>
      <c r="O17" s="191" t="s">
        <v>16</v>
      </c>
      <c r="P17" s="5">
        <v>84.8</v>
      </c>
      <c r="Q17" s="191" t="s">
        <v>12</v>
      </c>
      <c r="R17" s="209"/>
      <c r="U17" s="311" t="s">
        <v>60</v>
      </c>
      <c r="V17" s="311"/>
      <c r="W17" s="311"/>
      <c r="X17" s="311"/>
      <c r="Y17" s="301" t="s">
        <v>59</v>
      </c>
      <c r="Z17" s="301"/>
      <c r="AA17" s="301"/>
      <c r="AB17" s="301"/>
      <c r="AC17" s="301"/>
      <c r="AD17" s="301"/>
      <c r="AF17" s="307"/>
      <c r="AG17" s="203" t="s">
        <v>208</v>
      </c>
      <c r="AH17" s="203" t="s">
        <v>205</v>
      </c>
      <c r="AI17" s="191" t="str">
        <f>IF($P$18&gt;5,"adequado","erro")</f>
        <v>adequado</v>
      </c>
      <c r="AJ17" s="301"/>
      <c r="AK17" s="301"/>
      <c r="AL17" s="301"/>
      <c r="AM17" s="302"/>
      <c r="AO17" s="7"/>
      <c r="AP17" s="295"/>
      <c r="AQ17" s="295"/>
      <c r="AR17" s="295"/>
      <c r="AS17" s="9">
        <f>AS15</f>
        <v>720</v>
      </c>
      <c r="AT17" s="9">
        <f t="shared" ref="AT17:AU17" si="1">AT15</f>
        <v>0</v>
      </c>
      <c r="AU17" s="9">
        <f t="shared" si="1"/>
        <v>0</v>
      </c>
      <c r="AV17" s="297"/>
      <c r="AW17" s="7"/>
      <c r="AX17" s="7"/>
      <c r="AY17" s="7"/>
      <c r="AZ17" s="7"/>
      <c r="BA17" s="7"/>
      <c r="BB17" s="7"/>
    </row>
    <row r="18" spans="2:54" ht="19.5" customHeight="1" x14ac:dyDescent="0.25">
      <c r="B18" s="316" t="s">
        <v>122</v>
      </c>
      <c r="C18" s="316"/>
      <c r="D18" s="316"/>
      <c r="E18" s="91">
        <f>$O$35</f>
        <v>125</v>
      </c>
      <c r="F18" s="301" t="s">
        <v>113</v>
      </c>
      <c r="G18" s="301"/>
      <c r="H18" s="301"/>
      <c r="I18" s="191">
        <f>O34</f>
        <v>1</v>
      </c>
      <c r="M18" s="303"/>
      <c r="N18" s="304"/>
      <c r="O18" s="191" t="s">
        <v>17</v>
      </c>
      <c r="P18" s="6">
        <v>14.9</v>
      </c>
      <c r="Q18" s="191" t="s">
        <v>12</v>
      </c>
      <c r="R18" s="209"/>
      <c r="U18" s="311"/>
      <c r="V18" s="311"/>
      <c r="W18" s="311"/>
      <c r="X18" s="311"/>
      <c r="Y18" s="301"/>
      <c r="Z18" s="301"/>
      <c r="AA18" s="301"/>
      <c r="AB18" s="301"/>
      <c r="AC18" s="301"/>
      <c r="AD18" s="301"/>
      <c r="AF18" s="307" t="s">
        <v>217</v>
      </c>
      <c r="AG18" s="203" t="s">
        <v>25</v>
      </c>
      <c r="AH18" s="203" t="s">
        <v>213</v>
      </c>
      <c r="AI18" s="191" t="str">
        <f>IF($P$19&lt;=1,"baixo","erro")</f>
        <v>erro</v>
      </c>
      <c r="AJ18" s="301" t="str">
        <f>IF($AI$18="baixo","baixo",IF($AI$19="medio","medio",IF($AI$20="adequado","adequado",0)))</f>
        <v>adequado</v>
      </c>
      <c r="AK18" s="301">
        <f>IF(AJ18="Baixo",AL18,0)</f>
        <v>0</v>
      </c>
      <c r="AL18" s="301">
        <f>(AM18*1000)/$E$18</f>
        <v>40</v>
      </c>
      <c r="AM18" s="302">
        <v>5</v>
      </c>
      <c r="AO18" s="7"/>
      <c r="AP18" s="186">
        <v>13</v>
      </c>
      <c r="AQ18" s="295" t="str">
        <f>O87</f>
        <v>Torta de mamona Hortibraz</v>
      </c>
      <c r="AR18" s="295"/>
      <c r="AS18" s="9">
        <f>IFERROR((VLOOKUP(AQ18,$V$100:$AB$179,3,0)*0.01)*AV18,0)</f>
        <v>720</v>
      </c>
      <c r="AT18" s="9">
        <f>IFERROR((VLOOKUP(AQ18,$V$100:$AB$179,5,0)*0.01)*AV18,0)</f>
        <v>0</v>
      </c>
      <c r="AU18" s="9">
        <f>IFERROR((VLOOKUP(AQ18,$V$100:$AB$179,7,0)*0.01)*AV18,0)</f>
        <v>0</v>
      </c>
      <c r="AV18" s="9">
        <f>IFERROR($AS$17*Q87/(VLOOKUP(AQ18,$V$100:$AB$179,3,0)/100),0)</f>
        <v>12000</v>
      </c>
      <c r="AW18" s="7"/>
      <c r="AX18" s="7"/>
      <c r="AY18" s="7"/>
      <c r="AZ18" s="7"/>
      <c r="BA18" s="7"/>
      <c r="BB18" s="7"/>
    </row>
    <row r="19" spans="2:54" ht="19.5" customHeight="1" x14ac:dyDescent="0.25">
      <c r="M19" s="303"/>
      <c r="N19" s="304"/>
      <c r="O19" s="191" t="s">
        <v>18</v>
      </c>
      <c r="P19" s="5">
        <v>1.7</v>
      </c>
      <c r="Q19" s="191" t="s">
        <v>12</v>
      </c>
      <c r="R19" s="209"/>
      <c r="S19" s="11"/>
      <c r="U19" s="311"/>
      <c r="V19" s="311"/>
      <c r="W19" s="311"/>
      <c r="X19" s="311"/>
      <c r="Y19" s="301"/>
      <c r="Z19" s="301"/>
      <c r="AA19" s="301"/>
      <c r="AB19" s="301"/>
      <c r="AC19" s="301"/>
      <c r="AD19" s="301"/>
      <c r="AF19" s="307"/>
      <c r="AG19" s="203" t="s">
        <v>26</v>
      </c>
      <c r="AH19" s="203" t="s">
        <v>209</v>
      </c>
      <c r="AI19" s="191" t="str">
        <f>IF(AND($P$19&gt;=1.01,$P$19&lt;=1.6),"medio","erro")</f>
        <v>erro</v>
      </c>
      <c r="AJ19" s="301"/>
      <c r="AK19" s="301"/>
      <c r="AL19" s="301"/>
      <c r="AM19" s="302"/>
      <c r="AO19" s="7"/>
      <c r="AP19" s="186">
        <v>14</v>
      </c>
      <c r="AQ19" s="295">
        <f>O88</f>
        <v>0</v>
      </c>
      <c r="AR19" s="295"/>
      <c r="AS19" s="9">
        <f>IFERROR((VLOOKUP(AQ19,$V$100:$AB$179,3,0)*0.01)*AV19,0)</f>
        <v>0</v>
      </c>
      <c r="AT19" s="9">
        <f>IFERROR((VLOOKUP(AQ19,$V$100:$AB$179,5,0)*0.01)*AV19,0)</f>
        <v>0</v>
      </c>
      <c r="AU19" s="9">
        <f>IFERROR((VLOOKUP(AQ19,$V$100:$AB$179,7,0)*0.01)*AV19,0)</f>
        <v>0</v>
      </c>
      <c r="AV19" s="9">
        <f>IFERROR($AS$17*Q88/(VLOOKUP(AQ19,$V$100:$AB$179,3,0)/100),0)</f>
        <v>0</v>
      </c>
      <c r="AW19" s="7"/>
      <c r="AX19" s="7"/>
      <c r="AY19" s="7"/>
      <c r="AZ19" s="7"/>
      <c r="BA19" s="7"/>
      <c r="BB19" s="7"/>
    </row>
    <row r="20" spans="2:54" ht="19.5" customHeight="1" x14ac:dyDescent="0.25">
      <c r="B20" s="300" t="s">
        <v>164</v>
      </c>
      <c r="C20" s="298"/>
      <c r="D20" s="298"/>
      <c r="E20" s="299"/>
      <c r="F20" s="2" t="s">
        <v>114</v>
      </c>
      <c r="G20" s="2">
        <f>P24</f>
        <v>48.586118251928028</v>
      </c>
      <c r="H20" s="2" t="s">
        <v>52</v>
      </c>
      <c r="I20" s="91">
        <f>P21</f>
        <v>47.5</v>
      </c>
      <c r="M20" s="303"/>
      <c r="N20" s="304"/>
      <c r="O20" s="191" t="s">
        <v>19</v>
      </c>
      <c r="P20" s="6">
        <v>35</v>
      </c>
      <c r="Q20" s="191" t="s">
        <v>23</v>
      </c>
      <c r="R20" s="209"/>
      <c r="U20" s="191" t="s">
        <v>29</v>
      </c>
      <c r="V20" s="301" t="s">
        <v>74</v>
      </c>
      <c r="W20" s="301"/>
      <c r="X20" s="301"/>
      <c r="Y20" s="301"/>
      <c r="Z20" s="301"/>
      <c r="AA20" s="301"/>
      <c r="AB20" s="301"/>
      <c r="AC20" s="301"/>
      <c r="AD20" s="301"/>
      <c r="AF20" s="307"/>
      <c r="AG20" s="203" t="s">
        <v>208</v>
      </c>
      <c r="AH20" s="203" t="s">
        <v>204</v>
      </c>
      <c r="AI20" s="191" t="str">
        <f>IF($P$19&gt;1.6,"adequado","erro")</f>
        <v>adequado</v>
      </c>
      <c r="AJ20" s="301"/>
      <c r="AK20" s="301"/>
      <c r="AL20" s="301"/>
      <c r="AM20" s="302"/>
      <c r="AO20" s="7"/>
      <c r="AP20" s="186">
        <v>15</v>
      </c>
      <c r="AQ20" s="295">
        <f>O89</f>
        <v>0</v>
      </c>
      <c r="AR20" s="295"/>
      <c r="AS20" s="9">
        <f>IFERROR((VLOOKUP(AQ20,$V$100:$AB$179,3,0)*0.01)*AV20,0)</f>
        <v>0</v>
      </c>
      <c r="AT20" s="9">
        <f>IFERROR((VLOOKUP(AQ20,$V$100:$AB$179,5,0)*0.01)*AV20,0)</f>
        <v>0</v>
      </c>
      <c r="AU20" s="9">
        <f>IFERROR((VLOOKUP(AQ20,$V$100:$AB$179,7,0)*0.01)*AV20,0)</f>
        <v>0</v>
      </c>
      <c r="AV20" s="9">
        <f>IFERROR($AS$17*Q89/(VLOOKUP(AQ20,$V$100:$AB$179,3,0)/100),0)</f>
        <v>0</v>
      </c>
      <c r="AW20" s="7"/>
      <c r="AX20" s="7"/>
      <c r="AY20" s="7"/>
      <c r="AZ20" s="7"/>
      <c r="BA20" s="7"/>
      <c r="BB20" s="7"/>
    </row>
    <row r="21" spans="2:54" ht="19.5" customHeight="1" x14ac:dyDescent="0.25">
      <c r="B21" s="92" t="s">
        <v>1</v>
      </c>
      <c r="C21" s="93">
        <f>P5</f>
        <v>6.9</v>
      </c>
      <c r="D21" s="2" t="s">
        <v>115</v>
      </c>
      <c r="E21" s="2">
        <f>P9</f>
        <v>0.05</v>
      </c>
      <c r="F21" s="2" t="s">
        <v>116</v>
      </c>
      <c r="G21" s="2">
        <f>P23</f>
        <v>16.899999999999999</v>
      </c>
      <c r="H21" s="2" t="s">
        <v>85</v>
      </c>
      <c r="I21" s="2">
        <f>P18</f>
        <v>14.9</v>
      </c>
      <c r="M21" s="303"/>
      <c r="N21" s="304"/>
      <c r="O21" s="191" t="s">
        <v>52</v>
      </c>
      <c r="P21" s="5">
        <v>47.5</v>
      </c>
      <c r="Q21" s="191" t="s">
        <v>23</v>
      </c>
      <c r="R21" s="209"/>
      <c r="S21" s="11"/>
      <c r="U21" s="191" t="s">
        <v>23</v>
      </c>
      <c r="V21" s="191" t="s">
        <v>25</v>
      </c>
      <c r="W21" s="191" t="s">
        <v>26</v>
      </c>
      <c r="X21" s="191" t="s">
        <v>31</v>
      </c>
      <c r="Y21" s="191" t="s">
        <v>53</v>
      </c>
      <c r="Z21" s="301" t="s">
        <v>62</v>
      </c>
      <c r="AA21" s="301"/>
      <c r="AB21" s="301"/>
      <c r="AC21" s="191" t="s">
        <v>57</v>
      </c>
      <c r="AD21" s="191" t="s">
        <v>58</v>
      </c>
      <c r="AO21" s="7"/>
      <c r="AP21" s="7"/>
      <c r="AQ21" s="7"/>
      <c r="AR21" s="7"/>
      <c r="AS21" s="28">
        <f>AS17-(SUM(AS18:AS20))</f>
        <v>0</v>
      </c>
      <c r="AT21" s="28">
        <f t="shared" ref="AT21:AU21" si="2">AT17-(SUM(AT18:AT20))</f>
        <v>0</v>
      </c>
      <c r="AU21" s="28">
        <f t="shared" si="2"/>
        <v>0</v>
      </c>
      <c r="AV21" s="28"/>
      <c r="AW21" s="7"/>
      <c r="AX21" s="7"/>
      <c r="AY21" s="7"/>
      <c r="AZ21" s="7"/>
      <c r="BA21" s="7"/>
      <c r="BB21" s="7"/>
    </row>
    <row r="22" spans="2:54" ht="19.5" customHeight="1" x14ac:dyDescent="0.25">
      <c r="B22" s="92" t="s">
        <v>81</v>
      </c>
      <c r="C22" s="93">
        <f>P6</f>
        <v>2.9</v>
      </c>
      <c r="D22" s="2" t="s">
        <v>79</v>
      </c>
      <c r="E22" s="2">
        <f>P13</f>
        <v>2.5</v>
      </c>
      <c r="F22" s="2" t="s">
        <v>84</v>
      </c>
      <c r="G22" s="2">
        <f>P14</f>
        <v>0.05</v>
      </c>
      <c r="H22" s="2" t="s">
        <v>86</v>
      </c>
      <c r="I22" s="2">
        <f>P19</f>
        <v>1.7</v>
      </c>
      <c r="M22" s="303"/>
      <c r="N22" s="304"/>
      <c r="O22" s="191" t="s">
        <v>20</v>
      </c>
      <c r="P22" s="5">
        <v>17.5</v>
      </c>
      <c r="Q22" s="191" t="s">
        <v>23</v>
      </c>
      <c r="R22" s="209"/>
      <c r="U22" s="191" t="s">
        <v>50</v>
      </c>
      <c r="V22" s="191" t="s">
        <v>248</v>
      </c>
      <c r="W22" s="191" t="s">
        <v>250</v>
      </c>
      <c r="X22" s="191" t="s">
        <v>251</v>
      </c>
      <c r="Y22" s="191" t="str">
        <f>IF($P$21&lt;=20,"correto","erro")</f>
        <v>erro</v>
      </c>
      <c r="Z22" s="191" t="str">
        <f>IF($P$8&lt;=0.04,"baixo","erro")</f>
        <v>erro</v>
      </c>
      <c r="AA22" s="191" t="str">
        <f>IF(AND($P$8&gt;=0.041,$P$8&lt;=0.1),"medio","erro")</f>
        <v>erro</v>
      </c>
      <c r="AB22" s="191" t="str">
        <f>IF($P$8&gt;0.101,"adequado","erro")</f>
        <v>adequado</v>
      </c>
      <c r="AC22" s="191" t="str">
        <f>IF(Z22="baixo","baixo",IF(AA22="medio","medio",IF(AB22="adequado","adequado",0)))</f>
        <v>adequado</v>
      </c>
      <c r="AD22" s="324" t="str">
        <f>VLOOKUP("correto",Y22:AC23,5,0)</f>
        <v>adequado</v>
      </c>
      <c r="AO22" s="7"/>
      <c r="AP22" s="7"/>
      <c r="AQ22" s="7"/>
      <c r="AR22" s="7"/>
      <c r="AS22" s="7"/>
      <c r="AT22" s="7"/>
      <c r="AU22" s="7"/>
      <c r="AV22" s="7"/>
      <c r="AW22" s="7"/>
      <c r="AX22" s="7"/>
      <c r="AY22" s="7"/>
      <c r="AZ22" s="7"/>
      <c r="BA22" s="7"/>
      <c r="BB22" s="7"/>
    </row>
    <row r="23" spans="2:54" ht="19.5" customHeight="1" x14ac:dyDescent="0.25">
      <c r="B23" s="92" t="s">
        <v>82</v>
      </c>
      <c r="C23" s="93">
        <f>P7</f>
        <v>0.5</v>
      </c>
      <c r="D23" s="2" t="s">
        <v>117</v>
      </c>
      <c r="E23" s="2">
        <f>P11</f>
        <v>4</v>
      </c>
      <c r="F23" s="2" t="s">
        <v>87</v>
      </c>
      <c r="G23" s="2">
        <f>P16</f>
        <v>0.6</v>
      </c>
      <c r="H23" s="2" t="s">
        <v>83</v>
      </c>
      <c r="I23" s="2">
        <f>P15</f>
        <v>2.2999999999999998</v>
      </c>
      <c r="M23" s="303"/>
      <c r="N23" s="304"/>
      <c r="O23" s="191" t="s">
        <v>21</v>
      </c>
      <c r="P23" s="5">
        <v>16.899999999999999</v>
      </c>
      <c r="Q23" s="191" t="s">
        <v>10</v>
      </c>
      <c r="R23" s="209"/>
      <c r="U23" s="191" t="s">
        <v>61</v>
      </c>
      <c r="V23" s="191" t="s">
        <v>249</v>
      </c>
      <c r="W23" s="191" t="s">
        <v>252</v>
      </c>
      <c r="X23" s="191" t="s">
        <v>253</v>
      </c>
      <c r="Y23" s="191" t="str">
        <f>IF($P$21&gt;20,"correto","erro")</f>
        <v>correto</v>
      </c>
      <c r="Z23" s="191" t="str">
        <f>IF($P$8&lt;=0.06,"baixo","erro")</f>
        <v>erro</v>
      </c>
      <c r="AA23" s="191" t="str">
        <f>IF(AND($P$8&gt;=0.061,$P$8&lt;=0.2),"medio","erro")</f>
        <v>erro</v>
      </c>
      <c r="AB23" s="191" t="str">
        <f>IF($P$8&gt;0.201,"adequado","erro")</f>
        <v>adequado</v>
      </c>
      <c r="AC23" s="191" t="str">
        <f>IF(Z23="baixo","baixo",IF(AA23="medio","medio",IF(AB23="adequado","adequado",0)))</f>
        <v>adequado</v>
      </c>
      <c r="AD23" s="325"/>
      <c r="AO23" s="7"/>
      <c r="AP23" s="7"/>
      <c r="AQ23" s="7"/>
      <c r="AR23" s="7"/>
      <c r="AS23" s="7"/>
      <c r="AT23" s="7"/>
      <c r="AU23" s="7"/>
      <c r="AV23" s="7"/>
      <c r="AW23" s="7"/>
      <c r="AX23" s="7"/>
      <c r="AY23" s="7"/>
      <c r="AZ23" s="7"/>
      <c r="BA23" s="7"/>
      <c r="BB23" s="7"/>
    </row>
    <row r="24" spans="2:54" ht="19.5" customHeight="1" x14ac:dyDescent="0.25">
      <c r="B24" s="92" t="s">
        <v>80</v>
      </c>
      <c r="C24" s="93">
        <f>P8</f>
        <v>0.33</v>
      </c>
      <c r="D24" s="2" t="s">
        <v>118</v>
      </c>
      <c r="E24" s="2">
        <f>P10</f>
        <v>0</v>
      </c>
      <c r="F24" s="2" t="s">
        <v>89</v>
      </c>
      <c r="G24" s="2">
        <f>P17</f>
        <v>84.8</v>
      </c>
      <c r="H24" s="2" t="s">
        <v>119</v>
      </c>
      <c r="I24" s="2">
        <f>P25</f>
        <v>7.7799999999999994</v>
      </c>
      <c r="M24" s="303"/>
      <c r="N24" s="304"/>
      <c r="O24" s="191" t="s">
        <v>22</v>
      </c>
      <c r="P24" s="2">
        <f>100*(P6+P7+P8+P9)/P25</f>
        <v>48.586118251928028</v>
      </c>
      <c r="Q24" s="191" t="s">
        <v>23</v>
      </c>
      <c r="R24" s="209"/>
      <c r="AO24" s="7"/>
      <c r="AP24" s="7"/>
      <c r="AQ24" s="7"/>
      <c r="AR24" s="7"/>
      <c r="AS24" s="28">
        <f>AS26-(SUM(AS27:AS36))</f>
        <v>8</v>
      </c>
      <c r="AT24" s="28">
        <f t="shared" ref="AT24:AV24" si="3">AT26-(SUM(AT27:AT36))</f>
        <v>0</v>
      </c>
      <c r="AU24" s="28">
        <f t="shared" si="3"/>
        <v>0</v>
      </c>
      <c r="AV24" s="28">
        <f t="shared" si="3"/>
        <v>0</v>
      </c>
      <c r="AW24" s="7"/>
      <c r="AX24" s="7"/>
      <c r="AY24" s="7"/>
      <c r="AZ24" s="7"/>
      <c r="BA24" s="7"/>
      <c r="BB24" s="7"/>
    </row>
    <row r="25" spans="2:54" ht="19.5" customHeight="1" thickBot="1" x14ac:dyDescent="0.3">
      <c r="M25" s="303"/>
      <c r="N25" s="304"/>
      <c r="O25" s="191" t="s">
        <v>24</v>
      </c>
      <c r="P25" s="1">
        <f>(P6+P7+P8+P9+P11)</f>
        <v>7.7799999999999994</v>
      </c>
      <c r="Q25" s="191" t="s">
        <v>55</v>
      </c>
      <c r="R25" s="209"/>
      <c r="AO25" s="7"/>
      <c r="AP25" s="326" t="s">
        <v>232</v>
      </c>
      <c r="AQ25" s="326" t="s">
        <v>233</v>
      </c>
      <c r="AR25" s="326"/>
      <c r="AS25" s="194" t="s">
        <v>84</v>
      </c>
      <c r="AT25" s="194" t="s">
        <v>87</v>
      </c>
      <c r="AU25" s="194" t="s">
        <v>85</v>
      </c>
      <c r="AV25" s="194" t="s">
        <v>86</v>
      </c>
      <c r="AW25" s="7"/>
      <c r="AX25" s="7"/>
      <c r="AY25" s="7"/>
      <c r="AZ25" s="7"/>
      <c r="BA25" s="7"/>
      <c r="BB25" s="7"/>
    </row>
    <row r="26" spans="2:54" ht="19.5" customHeight="1" thickBot="1" x14ac:dyDescent="0.3">
      <c r="B26" s="321" t="s">
        <v>246</v>
      </c>
      <c r="C26" s="322"/>
      <c r="D26" s="322"/>
      <c r="E26" s="322"/>
      <c r="F26" s="322"/>
      <c r="G26" s="322"/>
      <c r="H26" s="322"/>
      <c r="I26" s="323"/>
      <c r="J26" s="12"/>
      <c r="M26" s="210"/>
      <c r="N26" s="200"/>
      <c r="O26" s="200"/>
      <c r="P26" s="200"/>
      <c r="Q26" s="200"/>
      <c r="R26" s="211"/>
      <c r="U26" s="300" t="s">
        <v>281</v>
      </c>
      <c r="V26" s="298"/>
      <c r="W26" s="298"/>
      <c r="X26" s="298"/>
      <c r="Y26" s="298"/>
      <c r="Z26" s="299"/>
      <c r="AO26" s="7"/>
      <c r="AP26" s="326"/>
      <c r="AQ26" s="326"/>
      <c r="AR26" s="326"/>
      <c r="AS26" s="3">
        <f>AK9</f>
        <v>8</v>
      </c>
      <c r="AT26" s="3">
        <f>AK12</f>
        <v>0</v>
      </c>
      <c r="AU26" s="3">
        <f>AK15</f>
        <v>0</v>
      </c>
      <c r="AV26" s="3">
        <f>AK18</f>
        <v>0</v>
      </c>
      <c r="AW26" s="7"/>
      <c r="AX26" s="7"/>
      <c r="AY26" s="7"/>
      <c r="AZ26" s="7"/>
      <c r="BA26" s="7"/>
      <c r="BB26" s="7"/>
    </row>
    <row r="27" spans="2:54" ht="19.5" customHeight="1" thickBot="1" x14ac:dyDescent="0.3">
      <c r="B27" s="327" t="str">
        <f>IF($O$47&gt;0,$O$47,"-")</f>
        <v>AGROSILICIO</v>
      </c>
      <c r="C27" s="327"/>
      <c r="D27" s="94">
        <f>IF(J27&gt;0,J27,"-")</f>
        <v>1.3746130030959745</v>
      </c>
      <c r="E27" s="329" t="str">
        <f>IF(J27&gt;0,"toneladas por hectare ou,","-")</f>
        <v>toneladas por hectare ou,</v>
      </c>
      <c r="F27" s="329"/>
      <c r="G27" s="329"/>
      <c r="H27" s="101" t="s">
        <v>447</v>
      </c>
      <c r="I27" s="101">
        <f>IFERROR((D27*1000*VLOOKUP(B27,$V$56:$W$68,2,0)*$O$34),0)</f>
        <v>769.78328173374575</v>
      </c>
      <c r="J27" s="32">
        <f>V51</f>
        <v>1.3746130030959745</v>
      </c>
      <c r="U27" s="191" t="s">
        <v>271</v>
      </c>
      <c r="V27" s="191" t="s">
        <v>282</v>
      </c>
      <c r="W27" s="191" t="s">
        <v>75</v>
      </c>
      <c r="X27" s="191" t="s">
        <v>71</v>
      </c>
      <c r="Y27" s="191" t="s">
        <v>283</v>
      </c>
      <c r="Z27" s="191" t="s">
        <v>284</v>
      </c>
      <c r="AO27" s="7"/>
      <c r="AP27" s="295" t="s">
        <v>235</v>
      </c>
      <c r="AQ27" s="295" t="str">
        <f>B30</f>
        <v xml:space="preserve">Pó de brita Fmx (62) 3924 8565 </v>
      </c>
      <c r="AR27" s="295"/>
      <c r="AS27" s="9">
        <f t="shared" ref="AS27:AS36" si="4">IFERROR(VLOOKUP(AQ27,$V$100:$AL$179,11,0)*0.01*VLOOKUP(AQ27,$B$27:$J$52,9,0),0)</f>
        <v>0</v>
      </c>
      <c r="AT27" s="9">
        <f t="shared" ref="AT27:AT36" si="5">IFERROR(VLOOKUP(AQ27,$V$100:$AL$179,12,0)*0.01*VLOOKUP(AQ27,$B$27:$J$52,9,0),0)</f>
        <v>0</v>
      </c>
      <c r="AU27" s="9">
        <f t="shared" ref="AU27:AU36" si="6">IFERROR(VLOOKUP(AQ27,$V$100:$AL$179,13,0)*0.01*VLOOKUP(AQ27,$B$27:$J$52,9,0),0)</f>
        <v>0</v>
      </c>
      <c r="AV27" s="9">
        <f t="shared" ref="AV27:AV36" si="7">IFERROR(VLOOKUP(AQ27,$V$100:$AL$179,14,0)*0.01*VLOOKUP(AQ27,$B$27:$J$52,9,0),0)</f>
        <v>0</v>
      </c>
      <c r="AW27" s="7"/>
      <c r="AX27" s="7"/>
      <c r="AY27" s="7"/>
      <c r="AZ27" s="7"/>
      <c r="BA27" s="7"/>
      <c r="BB27" s="7"/>
    </row>
    <row r="28" spans="2:54" ht="19.5" customHeight="1" x14ac:dyDescent="0.25">
      <c r="B28" s="327"/>
      <c r="C28" s="327"/>
      <c r="D28" s="95">
        <f>IF(J28&gt;0,J28,"-")</f>
        <v>0.13746130030959744</v>
      </c>
      <c r="E28" s="332" t="str">
        <f>IF(J28&gt;0,"gramas por metro quadrado","-")</f>
        <v>gramas por metro quadrado</v>
      </c>
      <c r="F28" s="332"/>
      <c r="G28" s="332"/>
      <c r="H28" s="102" t="s">
        <v>419</v>
      </c>
      <c r="I28" s="102">
        <f>I27/$E$18</f>
        <v>6.1582662538699662</v>
      </c>
      <c r="J28" s="32">
        <f>J27/10</f>
        <v>0.13746130030959744</v>
      </c>
      <c r="M28" s="207"/>
      <c r="N28" s="201"/>
      <c r="O28" s="201"/>
      <c r="P28" s="201"/>
      <c r="Q28" s="201"/>
      <c r="R28" s="208"/>
      <c r="U28" s="191" t="s">
        <v>40</v>
      </c>
      <c r="V28" s="191">
        <v>90000</v>
      </c>
      <c r="W28" s="191" t="s">
        <v>68</v>
      </c>
      <c r="X28" s="191" t="str">
        <f>CONCATENATE(U28," - ",W28)</f>
        <v>&lt; 10 - baixo</v>
      </c>
      <c r="Y28" s="191">
        <v>22000</v>
      </c>
      <c r="Z28" s="191">
        <v>98000</v>
      </c>
      <c r="AE28" s="190" t="s">
        <v>63</v>
      </c>
      <c r="AG28" s="191" t="s">
        <v>63</v>
      </c>
      <c r="AI28" s="15" t="s">
        <v>63</v>
      </c>
      <c r="AK28" s="15" t="s">
        <v>63</v>
      </c>
      <c r="AL28" s="191" t="s">
        <v>77</v>
      </c>
      <c r="AO28" s="7"/>
      <c r="AP28" s="295"/>
      <c r="AQ28" s="295" t="str">
        <f>B48</f>
        <v>-</v>
      </c>
      <c r="AR28" s="295"/>
      <c r="AS28" s="9">
        <f t="shared" si="4"/>
        <v>0</v>
      </c>
      <c r="AT28" s="9">
        <f t="shared" si="5"/>
        <v>0</v>
      </c>
      <c r="AU28" s="9">
        <f t="shared" si="6"/>
        <v>0</v>
      </c>
      <c r="AV28" s="9">
        <f t="shared" si="7"/>
        <v>0</v>
      </c>
      <c r="AW28" s="7"/>
      <c r="AX28" s="7"/>
      <c r="AY28" s="7"/>
      <c r="AZ28" s="7"/>
      <c r="BA28" s="7"/>
      <c r="BB28" s="7"/>
    </row>
    <row r="29" spans="2:54" ht="19.5" customHeight="1" x14ac:dyDescent="0.25">
      <c r="D29" s="95"/>
      <c r="E29" s="332"/>
      <c r="F29" s="332"/>
      <c r="G29" s="332"/>
      <c r="H29" s="317"/>
      <c r="I29" s="317"/>
      <c r="J29" s="12"/>
      <c r="M29" s="303" t="s">
        <v>187</v>
      </c>
      <c r="N29" s="304"/>
      <c r="O29" s="318" t="s">
        <v>396</v>
      </c>
      <c r="P29" s="319"/>
      <c r="Q29" s="320"/>
      <c r="R29" s="209"/>
      <c r="U29" s="191" t="s">
        <v>40</v>
      </c>
      <c r="V29" s="191">
        <v>90000</v>
      </c>
      <c r="W29" s="191" t="s">
        <v>69</v>
      </c>
      <c r="X29" s="191" t="str">
        <f t="shared" ref="X29:X39" si="8">CONCATENATE(U29," - ",W29)</f>
        <v>&lt; 10 - medio</v>
      </c>
      <c r="Y29" s="191">
        <v>11000</v>
      </c>
      <c r="Z29" s="191">
        <v>49000</v>
      </c>
      <c r="AB29" s="312" t="s">
        <v>65</v>
      </c>
      <c r="AC29" s="312"/>
      <c r="AE29" s="190" t="s">
        <v>271</v>
      </c>
      <c r="AG29" s="191" t="s">
        <v>170</v>
      </c>
      <c r="AI29" s="15"/>
      <c r="AK29" s="73" t="str">
        <f>'Adubos e corretivos (1)'!E120</f>
        <v>Composto de lixo (COL)</v>
      </c>
      <c r="AL29" s="105">
        <f>'Adubos e corretivos (1)'!F120</f>
        <v>0.15</v>
      </c>
      <c r="AO29" s="7"/>
      <c r="AP29" s="295"/>
      <c r="AQ29" s="295" t="str">
        <f>B51</f>
        <v>Termofosfato YOORIN</v>
      </c>
      <c r="AR29" s="295"/>
      <c r="AS29" s="9">
        <f t="shared" si="4"/>
        <v>0</v>
      </c>
      <c r="AT29" s="9">
        <f t="shared" si="5"/>
        <v>0</v>
      </c>
      <c r="AU29" s="9">
        <f t="shared" si="6"/>
        <v>0</v>
      </c>
      <c r="AV29" s="9">
        <f t="shared" si="7"/>
        <v>0</v>
      </c>
      <c r="AW29" s="7"/>
      <c r="AX29" s="7"/>
      <c r="AY29" s="7"/>
      <c r="AZ29" s="7"/>
      <c r="BA29" s="7"/>
      <c r="BB29" s="7"/>
    </row>
    <row r="30" spans="2:54" ht="19.5" customHeight="1" x14ac:dyDescent="0.25">
      <c r="B30" s="327" t="str">
        <f>IF($O$50&gt;0,$O$50,"-")</f>
        <v xml:space="preserve">Pó de brita Fmx (62) 3924 8565 </v>
      </c>
      <c r="C30" s="327"/>
      <c r="D30" s="94" t="str">
        <f>IF(J30&gt;0,J30,"-")</f>
        <v>-</v>
      </c>
      <c r="E30" s="332" t="str">
        <f>IF(J30&gt;0,"toneladas por hectare ou,","-")</f>
        <v>-</v>
      </c>
      <c r="F30" s="332"/>
      <c r="G30" s="332"/>
      <c r="H30" s="102" t="s">
        <v>447</v>
      </c>
      <c r="I30" s="102">
        <f>IFERROR((D30*1000*VLOOKUP(B30,$V$87:$W$95,2,0)*$O$34),0)</f>
        <v>0</v>
      </c>
      <c r="J30" s="32">
        <f>Z49</f>
        <v>0</v>
      </c>
      <c r="M30" s="303"/>
      <c r="N30" s="304"/>
      <c r="O30" s="5">
        <v>10</v>
      </c>
      <c r="P30" s="4" t="s">
        <v>179</v>
      </c>
      <c r="Q30" s="5">
        <v>8</v>
      </c>
      <c r="R30" s="209"/>
      <c r="U30" s="191" t="s">
        <v>40</v>
      </c>
      <c r="V30" s="191">
        <v>90000</v>
      </c>
      <c r="W30" s="191" t="s">
        <v>70</v>
      </c>
      <c r="X30" s="191" t="str">
        <f t="shared" si="8"/>
        <v>&lt; 10 - adequado</v>
      </c>
      <c r="Y30" s="191">
        <v>6000</v>
      </c>
      <c r="Z30" s="191">
        <v>25000</v>
      </c>
      <c r="AB30" s="202" t="s">
        <v>33</v>
      </c>
      <c r="AC30" s="4">
        <f>(VLOOKUP($P$39,$U$28:$V$39,2,0)/$E$18)/AD30</f>
        <v>720</v>
      </c>
      <c r="AD30" s="184">
        <f>'Abacate produção (1)'!AD30</f>
        <v>1</v>
      </c>
      <c r="AE30" s="190" t="s">
        <v>34</v>
      </c>
      <c r="AG30" s="191" t="s">
        <v>171</v>
      </c>
      <c r="AI30" s="15">
        <v>0</v>
      </c>
      <c r="AK30" s="76" t="str">
        <f>'Adubos e corretivos (1)'!E121</f>
        <v>Cama de frango corte</v>
      </c>
      <c r="AL30" s="106">
        <f>'Adubos e corretivos (1)'!F121</f>
        <v>0.25</v>
      </c>
      <c r="AO30" s="7"/>
      <c r="AP30" s="295"/>
      <c r="AQ30" s="295" t="str">
        <f>B54</f>
        <v>-</v>
      </c>
      <c r="AR30" s="295"/>
      <c r="AS30" s="9">
        <f t="shared" si="4"/>
        <v>0</v>
      </c>
      <c r="AT30" s="9">
        <f t="shared" si="5"/>
        <v>0</v>
      </c>
      <c r="AU30" s="9">
        <f t="shared" si="6"/>
        <v>0</v>
      </c>
      <c r="AV30" s="9">
        <f t="shared" si="7"/>
        <v>0</v>
      </c>
      <c r="AW30" s="7"/>
      <c r="AX30" s="7"/>
      <c r="AY30" s="7"/>
      <c r="AZ30" s="7"/>
      <c r="BA30" s="7"/>
      <c r="BB30" s="7"/>
    </row>
    <row r="31" spans="2:54" ht="19.5" customHeight="1" x14ac:dyDescent="0.25">
      <c r="B31" s="327"/>
      <c r="C31" s="327"/>
      <c r="D31" s="95" t="str">
        <f>IF(J31&gt;0,J31,"-")</f>
        <v>-</v>
      </c>
      <c r="E31" s="332" t="str">
        <f>IF(J31&gt;0,"gramas por metro quadrado","-")</f>
        <v>-</v>
      </c>
      <c r="F31" s="332"/>
      <c r="G31" s="332"/>
      <c r="H31" s="102" t="s">
        <v>419</v>
      </c>
      <c r="I31" s="102">
        <f>I30/E18</f>
        <v>0</v>
      </c>
      <c r="J31" s="32">
        <f>J30/10</f>
        <v>0</v>
      </c>
      <c r="M31" s="303"/>
      <c r="N31" s="304"/>
      <c r="O31" s="318" t="s">
        <v>397</v>
      </c>
      <c r="P31" s="319"/>
      <c r="Q31" s="320"/>
      <c r="R31" s="209"/>
      <c r="U31" s="191" t="s">
        <v>286</v>
      </c>
      <c r="V31" s="191">
        <v>120000</v>
      </c>
      <c r="W31" s="191" t="s">
        <v>68</v>
      </c>
      <c r="X31" s="191" t="str">
        <f t="shared" si="8"/>
        <v>10,1 - 20 - baixo</v>
      </c>
      <c r="Y31" s="191">
        <v>33000</v>
      </c>
      <c r="Z31" s="191">
        <v>147000</v>
      </c>
      <c r="AB31" s="202" t="s">
        <v>66</v>
      </c>
      <c r="AC31" s="202">
        <f>(VLOOKUP(AB36,X28:Z39,2,0)/$E$18)/AD31</f>
        <v>176</v>
      </c>
      <c r="AD31" s="184">
        <f>'Abacate produção (1)'!AD31</f>
        <v>1</v>
      </c>
      <c r="AE31" s="190" t="s">
        <v>40</v>
      </c>
      <c r="AG31" s="16" t="e">
        <f>10000/((($O$32/2)+($P$32/2))*$Q$32)</f>
        <v>#DIV/0!</v>
      </c>
      <c r="AI31" s="15">
        <v>0.1</v>
      </c>
      <c r="AK31" s="73" t="str">
        <f>'Adubos e corretivos (1)'!E122</f>
        <v>Esterco de galinha</v>
      </c>
      <c r="AL31" s="105">
        <f>'Adubos e corretivos (1)'!F122</f>
        <v>0.25</v>
      </c>
      <c r="AO31" s="7"/>
      <c r="AP31" s="295"/>
      <c r="AQ31" s="295" t="str">
        <f>B57</f>
        <v>Kmag</v>
      </c>
      <c r="AR31" s="295"/>
      <c r="AS31" s="9">
        <f t="shared" si="4"/>
        <v>0</v>
      </c>
      <c r="AT31" s="9">
        <f t="shared" si="5"/>
        <v>0</v>
      </c>
      <c r="AU31" s="9">
        <f t="shared" si="6"/>
        <v>0</v>
      </c>
      <c r="AV31" s="9">
        <f t="shared" si="7"/>
        <v>0</v>
      </c>
      <c r="AW31" s="7"/>
      <c r="AX31" s="7"/>
      <c r="AY31" s="7"/>
      <c r="AZ31" s="7"/>
      <c r="BA31" s="7"/>
      <c r="BB31" s="7"/>
    </row>
    <row r="32" spans="2:54" ht="19.5" customHeight="1" x14ac:dyDescent="0.25">
      <c r="M32" s="303"/>
      <c r="N32" s="304"/>
      <c r="O32" s="5"/>
      <c r="P32" s="5"/>
      <c r="Q32" s="5"/>
      <c r="R32" s="209"/>
      <c r="U32" s="191" t="s">
        <v>286</v>
      </c>
      <c r="V32" s="191">
        <v>120000</v>
      </c>
      <c r="W32" s="191" t="s">
        <v>69</v>
      </c>
      <c r="X32" s="191" t="str">
        <f t="shared" si="8"/>
        <v>10,1 - 20 - medio</v>
      </c>
      <c r="Y32" s="191">
        <v>22000</v>
      </c>
      <c r="Z32" s="191">
        <v>98000</v>
      </c>
      <c r="AB32" s="202" t="s">
        <v>67</v>
      </c>
      <c r="AC32" s="202">
        <f>(VLOOKUP($AB$39,X28:Z39,3,0)/$E$18)/AD32</f>
        <v>200</v>
      </c>
      <c r="AD32" s="184">
        <f>'Abacate produção (1)'!AD32</f>
        <v>1</v>
      </c>
      <c r="AE32" s="190" t="s">
        <v>286</v>
      </c>
      <c r="AI32" s="15">
        <v>0.2</v>
      </c>
      <c r="AK32" s="76" t="str">
        <f>'Adubos e corretivos (1)'!E123</f>
        <v>Esterco Bovino curtido</v>
      </c>
      <c r="AL32" s="106">
        <f>'Adubos e corretivos (1)'!F123</f>
        <v>0.25</v>
      </c>
      <c r="AO32" s="7"/>
      <c r="AP32" s="295"/>
      <c r="AQ32" s="295" t="str">
        <f>B60</f>
        <v>-</v>
      </c>
      <c r="AR32" s="295"/>
      <c r="AS32" s="9">
        <f t="shared" si="4"/>
        <v>0</v>
      </c>
      <c r="AT32" s="9">
        <f t="shared" si="5"/>
        <v>0</v>
      </c>
      <c r="AU32" s="9">
        <f t="shared" si="6"/>
        <v>0</v>
      </c>
      <c r="AV32" s="9">
        <f t="shared" si="7"/>
        <v>0</v>
      </c>
      <c r="AW32" s="7"/>
      <c r="AX32" s="7"/>
      <c r="AY32" s="7"/>
      <c r="AZ32" s="7"/>
      <c r="BA32" s="7"/>
      <c r="BB32" s="7"/>
    </row>
    <row r="33" spans="2:57" ht="19.5" customHeight="1" x14ac:dyDescent="0.25">
      <c r="B33" s="328" t="s">
        <v>403</v>
      </c>
      <c r="C33" s="328"/>
      <c r="D33" s="328"/>
      <c r="E33" s="328"/>
      <c r="F33" s="328"/>
      <c r="G33" s="328"/>
      <c r="H33" s="328"/>
      <c r="I33" s="328"/>
      <c r="M33" s="303"/>
      <c r="N33" s="304"/>
      <c r="O33" s="318" t="s">
        <v>418</v>
      </c>
      <c r="P33" s="319"/>
      <c r="Q33" s="320"/>
      <c r="R33" s="209"/>
      <c r="U33" s="191" t="s">
        <v>286</v>
      </c>
      <c r="V33" s="191">
        <v>120000</v>
      </c>
      <c r="W33" s="191" t="s">
        <v>70</v>
      </c>
      <c r="X33" s="191" t="str">
        <f t="shared" si="8"/>
        <v>10,1 - 20 - adequado</v>
      </c>
      <c r="Y33" s="191">
        <v>11000</v>
      </c>
      <c r="Z33" s="191">
        <v>49000</v>
      </c>
      <c r="AE33" s="190" t="s">
        <v>270</v>
      </c>
      <c r="AI33" s="15">
        <v>0.3</v>
      </c>
      <c r="AK33" s="73" t="str">
        <f>'Adubos e corretivos (1)'!E124</f>
        <v>Esterco de equino</v>
      </c>
      <c r="AL33" s="105">
        <f>'Adubos e corretivos (1)'!F124</f>
        <v>0.12</v>
      </c>
      <c r="AO33" s="7"/>
      <c r="AP33" s="295"/>
      <c r="AQ33" s="295" t="str">
        <f>B63</f>
        <v>-</v>
      </c>
      <c r="AR33" s="295"/>
      <c r="AS33" s="9">
        <f t="shared" si="4"/>
        <v>0</v>
      </c>
      <c r="AT33" s="9">
        <f t="shared" si="5"/>
        <v>0</v>
      </c>
      <c r="AU33" s="9">
        <f t="shared" si="6"/>
        <v>0</v>
      </c>
      <c r="AV33" s="9">
        <f t="shared" si="7"/>
        <v>0</v>
      </c>
      <c r="AW33" s="7"/>
      <c r="AX33" s="7"/>
      <c r="AY33" s="7"/>
      <c r="AZ33" s="7"/>
      <c r="BA33" s="7"/>
      <c r="BB33" s="7"/>
    </row>
    <row r="34" spans="2:57" ht="19.5" customHeight="1" x14ac:dyDescent="0.25">
      <c r="B34" s="328"/>
      <c r="C34" s="328"/>
      <c r="D34" s="328"/>
      <c r="E34" s="328"/>
      <c r="F34" s="328"/>
      <c r="G34" s="328"/>
      <c r="H34" s="328"/>
      <c r="I34" s="328"/>
      <c r="J34" s="35"/>
      <c r="K34" s="35"/>
      <c r="M34" s="303"/>
      <c r="N34" s="304"/>
      <c r="O34" s="330">
        <v>1</v>
      </c>
      <c r="P34" s="330"/>
      <c r="Q34" s="330"/>
      <c r="R34" s="209"/>
      <c r="U34" s="191" t="s">
        <v>270</v>
      </c>
      <c r="V34" s="191">
        <v>150000</v>
      </c>
      <c r="W34" s="191" t="s">
        <v>68</v>
      </c>
      <c r="X34" s="191" t="str">
        <f t="shared" si="8"/>
        <v>20,1 - 30 - baixo</v>
      </c>
      <c r="Y34" s="191">
        <v>44000</v>
      </c>
      <c r="Z34" s="191">
        <v>196000</v>
      </c>
      <c r="AE34" s="190" t="s">
        <v>287</v>
      </c>
      <c r="AI34" s="15">
        <v>0.4</v>
      </c>
      <c r="AK34" s="76" t="str">
        <f>'Adubos e corretivos (1)'!E125</f>
        <v>Esterco de suínos</v>
      </c>
      <c r="AL34" s="106">
        <f>'Adubos e corretivos (1)'!F125</f>
        <v>0.04</v>
      </c>
      <c r="AO34" s="7"/>
      <c r="AP34" s="295"/>
      <c r="AQ34" s="295" t="str">
        <f>B66</f>
        <v>Torta de mamona Hortibraz</v>
      </c>
      <c r="AR34" s="295"/>
      <c r="AS34" s="9">
        <f t="shared" si="4"/>
        <v>0</v>
      </c>
      <c r="AT34" s="9">
        <f t="shared" si="5"/>
        <v>0</v>
      </c>
      <c r="AU34" s="9">
        <f t="shared" si="6"/>
        <v>0</v>
      </c>
      <c r="AV34" s="9">
        <f t="shared" si="7"/>
        <v>0</v>
      </c>
      <c r="AW34" s="7"/>
      <c r="AX34" s="7"/>
      <c r="AY34" s="7"/>
      <c r="AZ34" s="7"/>
      <c r="BA34" s="7"/>
      <c r="BB34" s="7"/>
    </row>
    <row r="35" spans="2:57" ht="19.5" customHeight="1" thickBot="1" x14ac:dyDescent="0.3">
      <c r="B35" s="328"/>
      <c r="C35" s="328"/>
      <c r="D35" s="328"/>
      <c r="E35" s="328"/>
      <c r="F35" s="328"/>
      <c r="G35" s="328"/>
      <c r="H35" s="328"/>
      <c r="I35" s="328"/>
      <c r="J35" s="35"/>
      <c r="K35" s="35"/>
      <c r="M35" s="210"/>
      <c r="N35" s="200"/>
      <c r="O35" s="103">
        <f>IFERROR(IF(ISERR(P35),Q35,IF(ISERR(Q35),P35)),"-")</f>
        <v>125</v>
      </c>
      <c r="P35" s="17">
        <f>10000/($O$30*$Q$30)</f>
        <v>125</v>
      </c>
      <c r="Q35" s="17" t="e">
        <f>10000/((($O$32/2)+($P$32/2))*$Q$32)</f>
        <v>#DIV/0!</v>
      </c>
      <c r="R35" s="211"/>
      <c r="U35" s="191" t="s">
        <v>270</v>
      </c>
      <c r="V35" s="191">
        <v>150000</v>
      </c>
      <c r="W35" s="191" t="s">
        <v>69</v>
      </c>
      <c r="X35" s="191" t="str">
        <f t="shared" si="8"/>
        <v>20,1 - 30 - medio</v>
      </c>
      <c r="Y35" s="191">
        <v>33000</v>
      </c>
      <c r="Z35" s="191">
        <v>147000</v>
      </c>
      <c r="AB35" s="301" t="s">
        <v>72</v>
      </c>
      <c r="AC35" s="301"/>
      <c r="AI35" s="15">
        <v>0.5</v>
      </c>
      <c r="AK35" s="73" t="str">
        <f>'Adubos e corretivos (1)'!E126</f>
        <v>Esterco de ovinos</v>
      </c>
      <c r="AL35" s="105">
        <f>'Adubos e corretivos (1)'!F126</f>
        <v>0.04</v>
      </c>
      <c r="AO35" s="7"/>
      <c r="AP35" s="295"/>
      <c r="AQ35" s="295" t="str">
        <f>B69</f>
        <v>-</v>
      </c>
      <c r="AR35" s="295"/>
      <c r="AS35" s="9">
        <f t="shared" si="4"/>
        <v>0</v>
      </c>
      <c r="AT35" s="9">
        <f t="shared" si="5"/>
        <v>0</v>
      </c>
      <c r="AU35" s="9">
        <f t="shared" si="6"/>
        <v>0</v>
      </c>
      <c r="AV35" s="9">
        <f t="shared" si="7"/>
        <v>0</v>
      </c>
      <c r="AW35" s="7"/>
      <c r="AX35" s="7"/>
      <c r="AY35" s="7"/>
      <c r="AZ35" s="7"/>
      <c r="BA35" s="7"/>
      <c r="BB35" s="7"/>
    </row>
    <row r="36" spans="2:57" ht="19.5" customHeight="1" thickBot="1" x14ac:dyDescent="0.3">
      <c r="J36" s="12"/>
      <c r="K36" s="35"/>
      <c r="M36" s="331"/>
      <c r="N36" s="331"/>
      <c r="O36" s="331"/>
      <c r="P36" s="331"/>
      <c r="Q36" s="331"/>
      <c r="R36" s="331"/>
      <c r="U36" s="191" t="s">
        <v>270</v>
      </c>
      <c r="V36" s="191">
        <v>150000</v>
      </c>
      <c r="W36" s="191" t="s">
        <v>70</v>
      </c>
      <c r="X36" s="191" t="str">
        <f t="shared" si="8"/>
        <v>20,1 - 30 - adequado</v>
      </c>
      <c r="Y36" s="191">
        <v>22000</v>
      </c>
      <c r="Z36" s="191">
        <v>98000</v>
      </c>
      <c r="AB36" s="301" t="str">
        <f>CONCATENATE($P$39," - ",$AD$8)</f>
        <v>&lt; 10 - baixo</v>
      </c>
      <c r="AC36" s="301"/>
      <c r="AI36" s="15">
        <v>0.6</v>
      </c>
      <c r="AK36" s="76" t="str">
        <f>'Adubos e corretivos (1)'!E127</f>
        <v>Lodo de esgosto</v>
      </c>
      <c r="AL36" s="106">
        <f>'Adubos e corretivos (1)'!F127</f>
        <v>0.1</v>
      </c>
      <c r="AO36" s="7"/>
      <c r="AP36" s="295"/>
      <c r="AQ36" s="295" t="str">
        <f>B72</f>
        <v>-</v>
      </c>
      <c r="AR36" s="295"/>
      <c r="AS36" s="9">
        <f t="shared" si="4"/>
        <v>0</v>
      </c>
      <c r="AT36" s="9">
        <f t="shared" si="5"/>
        <v>0</v>
      </c>
      <c r="AU36" s="9">
        <f t="shared" si="6"/>
        <v>0</v>
      </c>
      <c r="AV36" s="9">
        <f t="shared" si="7"/>
        <v>0</v>
      </c>
      <c r="AW36" s="7"/>
      <c r="AX36" s="7"/>
      <c r="AY36" s="7"/>
      <c r="AZ36" s="7"/>
      <c r="BA36" s="7"/>
      <c r="BB36" s="7"/>
    </row>
    <row r="37" spans="2:57" ht="19.5" customHeight="1" thickBot="1" x14ac:dyDescent="0.3">
      <c r="B37" s="321" t="s">
        <v>165</v>
      </c>
      <c r="C37" s="322"/>
      <c r="D37" s="322"/>
      <c r="E37" s="322"/>
      <c r="F37" s="322"/>
      <c r="G37" s="322"/>
      <c r="H37" s="322"/>
      <c r="I37" s="323"/>
      <c r="J37" s="12"/>
      <c r="K37" s="35"/>
      <c r="M37" s="207"/>
      <c r="N37" s="201"/>
      <c r="O37" s="201"/>
      <c r="P37" s="201"/>
      <c r="Q37" s="201"/>
      <c r="R37" s="208"/>
      <c r="U37" s="191" t="s">
        <v>297</v>
      </c>
      <c r="V37" s="191">
        <v>180000</v>
      </c>
      <c r="W37" s="191" t="s">
        <v>68</v>
      </c>
      <c r="X37" s="191" t="str">
        <f t="shared" si="8"/>
        <v>&gt; 30 - baixo</v>
      </c>
      <c r="Y37" s="191">
        <v>55000</v>
      </c>
      <c r="Z37" s="191">
        <v>245000</v>
      </c>
      <c r="AI37" s="15">
        <v>0.7</v>
      </c>
      <c r="AK37" s="73" t="str">
        <f>'Adubos e corretivos (1)'!E128</f>
        <v>Compostos orgânicos</v>
      </c>
      <c r="AL37" s="105">
        <f>'Adubos e corretivos (1)'!F128</f>
        <v>0.7</v>
      </c>
      <c r="AO37" s="29"/>
      <c r="AP37" s="29"/>
      <c r="AQ37" s="29"/>
      <c r="AR37" s="29"/>
      <c r="AS37" s="28">
        <f>IF(AS24&gt;0,AS24,0)</f>
        <v>8</v>
      </c>
      <c r="AT37" s="28">
        <f>IF(AT24&gt;0,AT24,0)</f>
        <v>0</v>
      </c>
      <c r="AU37" s="28">
        <f>IF(AU24&gt;0,AU24,0)</f>
        <v>0</v>
      </c>
      <c r="AV37" s="28">
        <f>IF(AV24&gt;0,AV24,0)</f>
        <v>0</v>
      </c>
      <c r="AW37" s="7"/>
      <c r="AX37" s="7"/>
      <c r="AY37" s="7"/>
      <c r="AZ37" s="7"/>
      <c r="BA37" s="7"/>
      <c r="BB37" s="7"/>
    </row>
    <row r="38" spans="2:57" ht="19.5" customHeight="1" x14ac:dyDescent="0.25">
      <c r="B38" s="327" t="str">
        <f>IF($O$56&gt;0,$O$56,"-")</f>
        <v>Gesso Agronelli</v>
      </c>
      <c r="C38" s="327"/>
      <c r="D38" s="107">
        <f>IF(J38&gt;0,J38,"-")</f>
        <v>356.25</v>
      </c>
      <c r="E38" s="329" t="str">
        <f>IF(J38&gt;0,"quilos por hectare ou,","-")</f>
        <v>quilos por hectare ou,</v>
      </c>
      <c r="F38" s="329"/>
      <c r="G38" s="329"/>
      <c r="H38" s="101" t="s">
        <v>447</v>
      </c>
      <c r="I38" s="101">
        <f>IFERROR((D38*VLOOKUP(B38,$V$73:$W$82,2,0)*$O$34),0)</f>
        <v>270.75</v>
      </c>
      <c r="J38" s="33">
        <f>IF(O60="Não",P21*7.5, AE46)</f>
        <v>356.25</v>
      </c>
      <c r="K38" s="35"/>
      <c r="M38" s="303" t="s">
        <v>188</v>
      </c>
      <c r="N38" s="332"/>
      <c r="O38" s="312" t="s">
        <v>272</v>
      </c>
      <c r="P38" s="312"/>
      <c r="Q38" s="312"/>
      <c r="R38" s="209"/>
      <c r="U38" s="191" t="s">
        <v>297</v>
      </c>
      <c r="V38" s="191">
        <v>180000</v>
      </c>
      <c r="W38" s="191" t="s">
        <v>69</v>
      </c>
      <c r="X38" s="191" t="str">
        <f t="shared" si="8"/>
        <v>&gt; 30 - medio</v>
      </c>
      <c r="Y38" s="191">
        <v>44000</v>
      </c>
      <c r="Z38" s="191">
        <v>196000</v>
      </c>
      <c r="AB38" s="301" t="s">
        <v>73</v>
      </c>
      <c r="AC38" s="301"/>
      <c r="AI38" s="15">
        <v>0.8</v>
      </c>
      <c r="AO38" s="7"/>
      <c r="AP38" s="7"/>
      <c r="AQ38" s="7"/>
      <c r="AR38" s="7"/>
      <c r="AS38" s="7"/>
      <c r="AT38" s="7"/>
      <c r="AU38" s="7"/>
      <c r="AV38" s="7"/>
      <c r="AW38" s="7"/>
      <c r="AX38" s="7"/>
      <c r="AY38" s="7"/>
      <c r="AZ38" s="7"/>
      <c r="BA38" s="7"/>
      <c r="BB38" s="7"/>
    </row>
    <row r="39" spans="2:57" ht="19.5" customHeight="1" x14ac:dyDescent="0.25">
      <c r="B39" s="327"/>
      <c r="C39" s="327"/>
      <c r="D39" s="107">
        <f>IF(J39&gt;0,J39,"-")</f>
        <v>35.625</v>
      </c>
      <c r="E39" s="332" t="str">
        <f>IF(J39&gt;0,"gramas por metro quadrado","-")</f>
        <v>gramas por metro quadrado</v>
      </c>
      <c r="F39" s="332"/>
      <c r="G39" s="332"/>
      <c r="H39" s="102" t="s">
        <v>446</v>
      </c>
      <c r="I39" s="102">
        <f>I38/$E$18</f>
        <v>2.1659999999999999</v>
      </c>
      <c r="J39" s="33">
        <f>J38/10</f>
        <v>35.625</v>
      </c>
      <c r="K39" s="35"/>
      <c r="M39" s="303"/>
      <c r="N39" s="332"/>
      <c r="O39" s="191" t="s">
        <v>274</v>
      </c>
      <c r="P39" s="330" t="s">
        <v>40</v>
      </c>
      <c r="Q39" s="330"/>
      <c r="R39" s="209"/>
      <c r="U39" s="191" t="s">
        <v>297</v>
      </c>
      <c r="V39" s="191">
        <v>180000</v>
      </c>
      <c r="W39" s="191" t="s">
        <v>70</v>
      </c>
      <c r="X39" s="191" t="str">
        <f t="shared" si="8"/>
        <v>&gt; 30 - adequado</v>
      </c>
      <c r="Y39" s="191">
        <v>33000</v>
      </c>
      <c r="Z39" s="191">
        <v>147000</v>
      </c>
      <c r="AB39" s="301" t="str">
        <f>CONCATENATE($P$39," - ",$AD$22)</f>
        <v>&lt; 10 - adequado</v>
      </c>
      <c r="AC39" s="301"/>
      <c r="AI39" s="15">
        <v>0.9</v>
      </c>
      <c r="AO39" s="7"/>
      <c r="AP39" s="295" t="s">
        <v>235</v>
      </c>
      <c r="AQ39" s="295"/>
      <c r="AR39" s="186" t="s">
        <v>84</v>
      </c>
      <c r="AS39" s="186" t="s">
        <v>87</v>
      </c>
      <c r="AT39" s="186" t="s">
        <v>85</v>
      </c>
      <c r="AU39" s="186" t="s">
        <v>86</v>
      </c>
      <c r="AV39" s="186" t="s">
        <v>200</v>
      </c>
      <c r="AW39" s="186" t="s">
        <v>84</v>
      </c>
      <c r="AX39" s="186" t="s">
        <v>87</v>
      </c>
      <c r="AY39" s="186" t="s">
        <v>85</v>
      </c>
      <c r="AZ39" s="186" t="s">
        <v>86</v>
      </c>
      <c r="BA39" s="7"/>
      <c r="BB39" s="7"/>
    </row>
    <row r="40" spans="2:57" ht="19.5" customHeight="1" x14ac:dyDescent="0.25">
      <c r="J40" s="12"/>
      <c r="K40" s="35"/>
      <c r="M40" s="303"/>
      <c r="N40" s="332"/>
      <c r="O40" s="188"/>
      <c r="P40" s="188"/>
      <c r="Q40" s="188"/>
      <c r="R40" s="209"/>
      <c r="AI40" s="15">
        <v>1</v>
      </c>
      <c r="AO40" s="7"/>
      <c r="AP40" s="295" t="str">
        <f>O102</f>
        <v>Ácido Bórico</v>
      </c>
      <c r="AQ40" s="295"/>
      <c r="AR40" s="9">
        <f>IFERROR($AS$37/((VLOOKUP(AP40,$V$100:$AO$179,11,0)*0.01)),0)</f>
        <v>45.714285714285708</v>
      </c>
      <c r="AS40" s="9">
        <f>IFERROR($AT$37/((VLOOKUP(AP40,$V$100:$AO$179,14,0)*0.01)),0)</f>
        <v>0</v>
      </c>
      <c r="AT40" s="9">
        <f>IFERROR($AU$37/((VLOOKUP(AP40,$V$100:$AO$179,12,0)*0.01)),0)</f>
        <v>0</v>
      </c>
      <c r="AU40" s="9">
        <f>IFERROR($AV$37/((VLOOKUP(AP40,$V$100:$AO$179,13,0)*0.01)),0)</f>
        <v>0</v>
      </c>
      <c r="AV40" s="9">
        <f>MAX(AR40:AU40)</f>
        <v>45.714285714285708</v>
      </c>
      <c r="AW40" s="9">
        <f>IFERROR(AV40*(VLOOKUP(AP40,$V$100:$AO$179,11,0)*0.01),0)</f>
        <v>8</v>
      </c>
      <c r="AX40" s="9">
        <f>IFERROR(AV40*(VLOOKUP(AP40,$V$100:$AO$179,14,0)*0.01),0)</f>
        <v>0</v>
      </c>
      <c r="AY40" s="9">
        <f>IFERROR(AV40*(VLOOKUP(AP40,$V$100:$AO$179,12,0)*0.01),0)</f>
        <v>0</v>
      </c>
      <c r="AZ40" s="9">
        <f>IFERROR(AV40*(VLOOKUP(AP40,$V$100:$AO$179,13,0)*0.01),0)</f>
        <v>0</v>
      </c>
      <c r="BA40" s="7"/>
      <c r="BB40" s="7"/>
    </row>
    <row r="41" spans="2:57" ht="19.5" customHeight="1" x14ac:dyDescent="0.25">
      <c r="B41" s="328" t="s">
        <v>404</v>
      </c>
      <c r="C41" s="328"/>
      <c r="D41" s="328"/>
      <c r="E41" s="328"/>
      <c r="F41" s="328"/>
      <c r="G41" s="328"/>
      <c r="H41" s="328"/>
      <c r="I41" s="328"/>
      <c r="J41" s="12"/>
      <c r="K41" s="35"/>
      <c r="M41" s="303"/>
      <c r="N41" s="332"/>
      <c r="O41" s="312" t="s">
        <v>278</v>
      </c>
      <c r="P41" s="312"/>
      <c r="Q41" s="312"/>
      <c r="R41" s="209"/>
      <c r="AO41" s="7"/>
      <c r="AP41" s="295" t="str">
        <f>O103</f>
        <v>Sulfato de cobre</v>
      </c>
      <c r="AQ41" s="295"/>
      <c r="AR41" s="9">
        <f>IFERROR($AS$37/((VLOOKUP(AP41,$V$100:$AO$179,11,0)*0.01)),0)</f>
        <v>0</v>
      </c>
      <c r="AS41" s="9">
        <f>IFERROR($AT$37/((VLOOKUP(AP41,$V$100:$AO$179,14,0)*0.01)),0)</f>
        <v>0</v>
      </c>
      <c r="AT41" s="9">
        <f>IFERROR($AU$37/((VLOOKUP(AP41,$V$100:$AO$179,12,0)*0.01)),0)</f>
        <v>0</v>
      </c>
      <c r="AU41" s="9">
        <f>IFERROR($AV$37/((VLOOKUP(AP41,$V$100:$AO$179,13,0)*0.01)),0)</f>
        <v>0</v>
      </c>
      <c r="AV41" s="9">
        <f t="shared" ref="AV41:AV43" si="9">MAX(AR41:AU41)</f>
        <v>0</v>
      </c>
      <c r="AW41" s="9">
        <f>IFERROR(AV41*(VLOOKUP(AP41,$V$100:$AO$179,11,0)*0.01),0)</f>
        <v>0</v>
      </c>
      <c r="AX41" s="9">
        <f>IFERROR(AV41*(VLOOKUP(AP41,$V$100:$AO$179,14,0)*0.01),0)</f>
        <v>0</v>
      </c>
      <c r="AY41" s="9">
        <f>IFERROR(AV41*(VLOOKUP(AP41,$V$100:$AO$179,12,0)*0.01),0)</f>
        <v>0</v>
      </c>
      <c r="AZ41" s="9">
        <f>IFERROR(AV41*(VLOOKUP(AP41,$V$100:$AO$179,13,0)*0.01),0)</f>
        <v>0</v>
      </c>
      <c r="BA41" s="7"/>
      <c r="BB41" s="8"/>
      <c r="BC41" s="188"/>
      <c r="BD41" s="188"/>
      <c r="BE41" s="188"/>
    </row>
    <row r="42" spans="2:57" ht="19.5" customHeight="1" x14ac:dyDescent="0.25">
      <c r="B42" s="328"/>
      <c r="C42" s="328"/>
      <c r="D42" s="328"/>
      <c r="E42" s="328"/>
      <c r="F42" s="328"/>
      <c r="G42" s="328"/>
      <c r="H42" s="328"/>
      <c r="I42" s="328"/>
      <c r="J42" s="12"/>
      <c r="K42" s="35"/>
      <c r="M42" s="303"/>
      <c r="N42" s="332"/>
      <c r="O42" s="333"/>
      <c r="P42" s="334"/>
      <c r="Q42" s="335"/>
      <c r="R42" s="209"/>
      <c r="AO42" s="7"/>
      <c r="AP42" s="295" t="str">
        <f>O104</f>
        <v>Sulfato de zinco</v>
      </c>
      <c r="AQ42" s="295"/>
      <c r="AR42" s="9">
        <f>IFERROR($AS$37/((VLOOKUP(AP42,$V$100:$AO$179,11,0)*0.01)),0)</f>
        <v>0</v>
      </c>
      <c r="AS42" s="9">
        <f>IFERROR($AT$37/((VLOOKUP(AP42,$V$100:$AO$179,14,0)*0.01)),0)</f>
        <v>0</v>
      </c>
      <c r="AT42" s="9">
        <f>IFERROR($AU$37/((VLOOKUP(AP42,$V$100:$AO$179,12,0)*0.01)),0)</f>
        <v>0</v>
      </c>
      <c r="AU42" s="9">
        <f>IFERROR($AV$37/((VLOOKUP(AP42,$V$100:$AO$179,13,0)*0.01)),0)</f>
        <v>0</v>
      </c>
      <c r="AV42" s="9">
        <f t="shared" si="9"/>
        <v>0</v>
      </c>
      <c r="AW42" s="9">
        <f>IFERROR(AV42*(VLOOKUP(AP42,$V$100:$AO$179,11,0)*0.01),0)</f>
        <v>0</v>
      </c>
      <c r="AX42" s="9">
        <f>IFERROR(AV42*(VLOOKUP(AP42,$V$100:$AO$179,14,0)*0.01),0)</f>
        <v>0</v>
      </c>
      <c r="AY42" s="9">
        <f>IFERROR(AV42*(VLOOKUP(AP42,$V$100:$AO$179,12,0)*0.01),0)</f>
        <v>0</v>
      </c>
      <c r="AZ42" s="9">
        <f>IFERROR(AV42*(VLOOKUP(AP42,$V$100:$AO$179,13,0)*0.01),0)</f>
        <v>0</v>
      </c>
      <c r="BA42" s="7"/>
      <c r="BB42" s="7"/>
    </row>
    <row r="43" spans="2:57" ht="19.5" customHeight="1" thickBot="1" x14ac:dyDescent="0.3">
      <c r="J43" s="12"/>
      <c r="K43" s="35"/>
      <c r="M43" s="210"/>
      <c r="N43" s="200"/>
      <c r="O43" s="200"/>
      <c r="P43" s="200"/>
      <c r="Q43" s="200"/>
      <c r="R43" s="211"/>
      <c r="AO43" s="7"/>
      <c r="AP43" s="295" t="str">
        <f>O105</f>
        <v>Sulfato de manganês</v>
      </c>
      <c r="AQ43" s="295"/>
      <c r="AR43" s="9">
        <f>IFERROR($AS$37/((VLOOKUP(AP43,$V$100:$AO$179,11,0)*0.01)),0)</f>
        <v>0</v>
      </c>
      <c r="AS43" s="9">
        <f>IFERROR($AT$37/((VLOOKUP(AP43,$V$100:$AO$179,14,0)*0.01)),0)</f>
        <v>0</v>
      </c>
      <c r="AT43" s="9">
        <f>IFERROR($AU$37/((VLOOKUP(AP43,$V$100:$AO$179,12,0)*0.01)),0)</f>
        <v>0</v>
      </c>
      <c r="AU43" s="9">
        <f>IFERROR($AV$37/((VLOOKUP(AP43,$V$100:$AO$179,13,0)*0.01)),0)</f>
        <v>0</v>
      </c>
      <c r="AV43" s="9">
        <f t="shared" si="9"/>
        <v>0</v>
      </c>
      <c r="AW43" s="9">
        <f>IFERROR(AV43*(VLOOKUP(AP43,$V$100:$AO$179,11,0)*0.01),0)</f>
        <v>0</v>
      </c>
      <c r="AX43" s="9">
        <f>IFERROR(AV43*(VLOOKUP(AP43,$V$100:$AO$179,14,0)*0.01),0)</f>
        <v>0</v>
      </c>
      <c r="AY43" s="9">
        <f>IFERROR(AV43*(VLOOKUP(AP43,$V$100:$AO$179,12,0)*0.01),0)</f>
        <v>0</v>
      </c>
      <c r="AZ43" s="9">
        <f>IFERROR(AV43*(VLOOKUP(AP43,$V$100:$AO$179,13,0)*0.01),0)</f>
        <v>0</v>
      </c>
      <c r="BA43" s="7"/>
      <c r="BB43" s="7"/>
    </row>
    <row r="44" spans="2:57" ht="19.5" customHeight="1" thickBot="1" x14ac:dyDescent="0.3">
      <c r="B44" s="313" t="s">
        <v>241</v>
      </c>
      <c r="C44" s="314"/>
      <c r="D44" s="314"/>
      <c r="E44" s="314"/>
      <c r="F44" s="314"/>
      <c r="G44" s="314"/>
      <c r="H44" s="314"/>
      <c r="I44" s="315"/>
      <c r="J44" s="33">
        <f>AV6</f>
        <v>0</v>
      </c>
      <c r="K44" s="35"/>
      <c r="M44" s="329"/>
      <c r="N44" s="329"/>
      <c r="O44" s="329"/>
      <c r="P44" s="329"/>
      <c r="Q44" s="329"/>
      <c r="R44" s="329"/>
      <c r="AO44" s="7"/>
      <c r="AP44" s="295">
        <f>O106</f>
        <v>0</v>
      </c>
      <c r="AQ44" s="295"/>
      <c r="AR44" s="9">
        <f>IFERROR($AS$37/((VLOOKUP(AP44,$V$100:$AO$179,11,0)*0.01)),0)</f>
        <v>0</v>
      </c>
      <c r="AS44" s="9">
        <f>IFERROR($AT$37/((VLOOKUP(AP44,$V$100:$AO$179,14,0)*0.01)),0)</f>
        <v>0</v>
      </c>
      <c r="AT44" s="9">
        <f>IFERROR($AU$37/((VLOOKUP(AP44,$V$100:$AO$179,12,0)*0.01)),0)</f>
        <v>0</v>
      </c>
      <c r="AU44" s="9">
        <f>IFERROR($AV$37/((VLOOKUP(AP44,$V$100:$AO$179,13,0)*0.01)),0)</f>
        <v>0</v>
      </c>
      <c r="AV44" s="9">
        <f>MAX(AR44:AU44)</f>
        <v>0</v>
      </c>
      <c r="AW44" s="9">
        <f>IFERROR(AV44*(VLOOKUP(AP44,$V$100:$AO$179,11,0)*0.01),0)</f>
        <v>0</v>
      </c>
      <c r="AX44" s="9">
        <f>IFERROR(AV44*(VLOOKUP(AP44,$V$100:$AO$179,14,0)*0.01),0)</f>
        <v>0</v>
      </c>
      <c r="AY44" s="9">
        <f>IFERROR(AV44*(VLOOKUP(AP44,$V$100:$AO$179,12,0)*0.01),0)</f>
        <v>0</v>
      </c>
      <c r="AZ44" s="9">
        <f>IFERROR(AV44*(VLOOKUP(AP44,$V$100:$AO$179,13,0)*0.01),0)</f>
        <v>0</v>
      </c>
      <c r="BA44" s="7"/>
      <c r="BB44" s="7"/>
    </row>
    <row r="45" spans="2:57" ht="19.5" customHeight="1" x14ac:dyDescent="0.25">
      <c r="B45" s="365" t="str">
        <f>IF(O42&gt;0,O42,"-")</f>
        <v>-</v>
      </c>
      <c r="C45" s="365"/>
      <c r="D45" s="108">
        <f>IFERROR((D46*$E$18),0)</f>
        <v>0</v>
      </c>
      <c r="E45" s="329" t="str">
        <f>IF(AQ58&gt;0,"quilos para área total","-")</f>
        <v>-</v>
      </c>
      <c r="F45" s="329"/>
      <c r="G45" s="329"/>
      <c r="H45" s="101" t="s">
        <v>447</v>
      </c>
      <c r="I45" s="102">
        <f>I46*$E$18*$I$18</f>
        <v>0</v>
      </c>
      <c r="J45" s="33">
        <f>AV7</f>
        <v>1005.7142857142858</v>
      </c>
      <c r="K45" s="35"/>
      <c r="M45" s="207"/>
      <c r="N45" s="201"/>
      <c r="O45" s="337" t="s">
        <v>275</v>
      </c>
      <c r="P45" s="337"/>
      <c r="Q45" s="337"/>
      <c r="R45" s="208"/>
      <c r="U45" s="300" t="s">
        <v>101</v>
      </c>
      <c r="V45" s="299"/>
      <c r="X45" s="301" t="s">
        <v>181</v>
      </c>
      <c r="Y45" s="301"/>
      <c r="Z45" s="301"/>
      <c r="AB45" s="191" t="s">
        <v>399</v>
      </c>
      <c r="AC45" s="191" t="str">
        <f>IF($P$63&lt;=0.5,"Sim","Não")</f>
        <v>Não</v>
      </c>
      <c r="AD45" s="191" t="s">
        <v>171</v>
      </c>
      <c r="AE45" s="191">
        <f>P21*7.5</f>
        <v>356.25</v>
      </c>
      <c r="AO45" s="7"/>
      <c r="AP45" s="7"/>
      <c r="AQ45" s="7"/>
      <c r="AR45" s="7"/>
      <c r="AS45" s="7"/>
      <c r="AT45" s="7"/>
      <c r="AU45" s="7"/>
      <c r="AV45" s="7"/>
      <c r="AW45" s="28">
        <f>AS37-(SUM(AW40:AW44))</f>
        <v>0</v>
      </c>
      <c r="AX45" s="28">
        <f>AT37-(SUM(AX40:AX44))</f>
        <v>0</v>
      </c>
      <c r="AY45" s="28">
        <f>AU37-(SUM(AY40:AY44))</f>
        <v>0</v>
      </c>
      <c r="AZ45" s="28">
        <f>AV37-(SUM(AZ40:AZ44))</f>
        <v>0</v>
      </c>
      <c r="BA45" s="7"/>
      <c r="BB45" s="7"/>
    </row>
    <row r="46" spans="2:57" ht="19.5" customHeight="1" x14ac:dyDescent="0.25">
      <c r="B46" s="327"/>
      <c r="C46" s="327"/>
      <c r="D46" s="109" t="str">
        <f>IF(AQ58&gt;0,AQ58,"-")</f>
        <v>-</v>
      </c>
      <c r="E46" s="332" t="str">
        <f>IF(AQ58&gt;0,"quilos por cova ou planta","-")</f>
        <v>-</v>
      </c>
      <c r="F46" s="332"/>
      <c r="G46" s="332"/>
      <c r="H46" s="102" t="s">
        <v>446</v>
      </c>
      <c r="I46" s="102">
        <f>IFERROR(D46*VLOOKUP(B45,$AK$29:$AL$38,2,0),0)</f>
        <v>0</v>
      </c>
      <c r="J46" s="33">
        <f>AV8</f>
        <v>0</v>
      </c>
      <c r="K46" s="35"/>
      <c r="M46" s="303" t="s">
        <v>189</v>
      </c>
      <c r="N46" s="332"/>
      <c r="O46" s="338"/>
      <c r="P46" s="338"/>
      <c r="Q46" s="338"/>
      <c r="R46" s="209"/>
      <c r="U46" s="191" t="s">
        <v>102</v>
      </c>
      <c r="V46" s="31">
        <f>'Adubos e corretivos (1)'!C129</f>
        <v>60</v>
      </c>
      <c r="X46" s="336" t="s">
        <v>242</v>
      </c>
      <c r="Y46" s="336"/>
      <c r="Z46" s="2">
        <f>IFERROR(VLOOKUP(O50,$V$87:$AE$95,10,0),0)</f>
        <v>9.1197279464721319</v>
      </c>
      <c r="AB46" s="191" t="s">
        <v>400</v>
      </c>
      <c r="AC46" s="191" t="str">
        <f>IF($P$64&gt;=0.5,"Sim","Não")</f>
        <v>Não</v>
      </c>
      <c r="AD46" s="191" t="s">
        <v>170</v>
      </c>
      <c r="AE46" s="191">
        <f>IF(OR(AC45="Sim",AC46="Sim",AC47="Sim"),P21*7.5,0)</f>
        <v>356.25</v>
      </c>
      <c r="AO46" s="7"/>
      <c r="AP46" s="7"/>
      <c r="AQ46" s="7"/>
      <c r="AR46" s="7"/>
      <c r="AS46" s="7"/>
      <c r="AT46" s="7"/>
      <c r="AU46" s="7"/>
      <c r="AV46" s="7"/>
      <c r="AW46" s="7"/>
      <c r="AX46" s="7"/>
      <c r="AY46" s="7"/>
      <c r="AZ46" s="7"/>
      <c r="BA46" s="7"/>
      <c r="BB46" s="7"/>
    </row>
    <row r="47" spans="2:57" ht="19.5" customHeight="1" x14ac:dyDescent="0.25">
      <c r="D47" s="110"/>
      <c r="J47" s="33">
        <f>AV12</f>
        <v>952.38095238095241</v>
      </c>
      <c r="K47" s="35"/>
      <c r="M47" s="303"/>
      <c r="N47" s="332"/>
      <c r="O47" s="333" t="s">
        <v>442</v>
      </c>
      <c r="P47" s="335"/>
      <c r="Q47" s="18">
        <v>1</v>
      </c>
      <c r="R47" s="209"/>
      <c r="U47" s="191" t="s">
        <v>104</v>
      </c>
      <c r="V47" s="2">
        <f>IFERROR((((V46-P24)*P25)/V49),0)</f>
        <v>1.3746130030959745</v>
      </c>
      <c r="X47" s="336" t="s">
        <v>182</v>
      </c>
      <c r="Y47" s="336"/>
      <c r="Z47" s="2">
        <f>IFERROR((($V$50/$Z$46)*$V$47),0)</f>
        <v>6.7828322842950355</v>
      </c>
      <c r="AB47" s="191" t="s">
        <v>401</v>
      </c>
      <c r="AC47" s="191" t="str">
        <f>IF($P$65&gt;=20,"Sim","Não")</f>
        <v>Sim</v>
      </c>
      <c r="AD47" s="191"/>
      <c r="AE47" s="191"/>
      <c r="AO47" s="7"/>
      <c r="BA47" s="7"/>
      <c r="BB47" s="7"/>
    </row>
    <row r="48" spans="2:57" ht="19.5" customHeight="1" x14ac:dyDescent="0.25">
      <c r="B48" s="327" t="str">
        <f>IF(AQ6&gt;0,AQ6,"-")</f>
        <v>-</v>
      </c>
      <c r="C48" s="327"/>
      <c r="D48" s="108">
        <f>IFERROR(((D49/1000)*$E$18),0)</f>
        <v>0</v>
      </c>
      <c r="E48" s="332" t="str">
        <f>IF(J44&gt;0,"quilos para área total","-")</f>
        <v>-</v>
      </c>
      <c r="F48" s="332"/>
      <c r="G48" s="332"/>
      <c r="H48" s="102" t="s">
        <v>447</v>
      </c>
      <c r="I48" s="102">
        <f>I49*$E$18*$I$18</f>
        <v>0</v>
      </c>
      <c r="J48" s="33">
        <f>AV13</f>
        <v>0</v>
      </c>
      <c r="K48" s="35"/>
      <c r="M48" s="303"/>
      <c r="N48" s="332"/>
      <c r="O48" s="339" t="s">
        <v>276</v>
      </c>
      <c r="P48" s="339"/>
      <c r="Q48" s="339"/>
      <c r="R48" s="209"/>
      <c r="U48" s="191" t="s">
        <v>180</v>
      </c>
      <c r="V48" s="2">
        <f>IF(V47&lt;0,(0),IF(V47&gt;=0,(V47)))</f>
        <v>1.3746130030959745</v>
      </c>
      <c r="X48" s="336" t="s">
        <v>180</v>
      </c>
      <c r="Y48" s="336"/>
      <c r="Z48" s="2">
        <f>IFERROR(IF(Z47&lt;0,(0),IF(Z47&gt;=0,(Z47))),0)</f>
        <v>6.7828322842950355</v>
      </c>
    </row>
    <row r="49" spans="2:50" ht="19.5" customHeight="1" x14ac:dyDescent="0.25">
      <c r="B49" s="327"/>
      <c r="C49" s="327"/>
      <c r="D49" s="109" t="str">
        <f>IF(J44&gt;0,J44,"-")</f>
        <v>-</v>
      </c>
      <c r="E49" s="332" t="str">
        <f>IF(J44&gt;0,"gramas por cova ou planta","-")</f>
        <v>-</v>
      </c>
      <c r="F49" s="332"/>
      <c r="G49" s="332"/>
      <c r="H49" s="102" t="s">
        <v>446</v>
      </c>
      <c r="I49" s="102">
        <f>IFERROR((D49/1000)*VLOOKUP(B48,$V$100:$W$179,2,0),0)</f>
        <v>0</v>
      </c>
      <c r="J49" s="33">
        <f>AV14</f>
        <v>0</v>
      </c>
      <c r="K49" s="35"/>
      <c r="M49" s="303"/>
      <c r="N49" s="332"/>
      <c r="O49" s="338"/>
      <c r="P49" s="338"/>
      <c r="Q49" s="338"/>
      <c r="R49" s="209"/>
      <c r="U49" s="191" t="s">
        <v>103</v>
      </c>
      <c r="V49" s="2">
        <f>IFERROR(VLOOKUP($O$47,$V$56:$AA$68,5,0),0)</f>
        <v>64.599999999999994</v>
      </c>
      <c r="X49" s="336" t="s">
        <v>247</v>
      </c>
      <c r="Y49" s="336"/>
      <c r="Z49" s="2">
        <f>Z48*$Q$50</f>
        <v>0</v>
      </c>
    </row>
    <row r="50" spans="2:50" ht="19.5" customHeight="1" x14ac:dyDescent="0.25">
      <c r="J50" s="33">
        <f>AV18</f>
        <v>12000</v>
      </c>
      <c r="K50" s="35"/>
      <c r="L50" s="188"/>
      <c r="M50" s="303"/>
      <c r="N50" s="332"/>
      <c r="O50" s="333" t="s">
        <v>144</v>
      </c>
      <c r="P50" s="335"/>
      <c r="Q50" s="18"/>
      <c r="R50" s="209"/>
      <c r="U50" s="191" t="s">
        <v>174</v>
      </c>
      <c r="V50" s="2">
        <f>IFERROR(VLOOKUP($O$47,$V$56:$AA$68,6,0),0)</f>
        <v>45</v>
      </c>
      <c r="AT50" s="301" t="s">
        <v>254</v>
      </c>
      <c r="AU50" s="301"/>
      <c r="AV50" s="301"/>
    </row>
    <row r="51" spans="2:50" ht="19.5" customHeight="1" thickBot="1" x14ac:dyDescent="0.3">
      <c r="B51" s="327" t="str">
        <f>IF(AQ7&gt;0,AQ7,"-")</f>
        <v>Termofosfato YOORIN</v>
      </c>
      <c r="C51" s="327"/>
      <c r="D51" s="108">
        <f>IFERROR(((D52/1000)*$E$18),0)</f>
        <v>125.71428571428572</v>
      </c>
      <c r="E51" s="332" t="str">
        <f>IF(J45&gt;0,"quilos para área total","-")</f>
        <v>quilos para área total</v>
      </c>
      <c r="F51" s="332"/>
      <c r="G51" s="332"/>
      <c r="H51" s="102" t="s">
        <v>447</v>
      </c>
      <c r="I51" s="102">
        <f>I52*$E$18*$I$18</f>
        <v>292.28571428571433</v>
      </c>
      <c r="J51" s="33">
        <f>AV19</f>
        <v>0</v>
      </c>
      <c r="K51" s="35"/>
      <c r="L51" s="188"/>
      <c r="M51" s="210"/>
      <c r="N51" s="200"/>
      <c r="O51" s="200"/>
      <c r="P51" s="200"/>
      <c r="Q51" s="200"/>
      <c r="R51" s="211"/>
      <c r="U51" s="191" t="s">
        <v>247</v>
      </c>
      <c r="V51" s="2">
        <f>V48*$Q$47</f>
        <v>1.3746130030959745</v>
      </c>
      <c r="AT51" s="187" t="s">
        <v>264</v>
      </c>
      <c r="AU51" s="96" t="str">
        <f>AK29</f>
        <v>Composto de lixo (COL)</v>
      </c>
      <c r="AV51" s="187">
        <v>12</v>
      </c>
    </row>
    <row r="52" spans="2:50" ht="19.5" customHeight="1" x14ac:dyDescent="0.25">
      <c r="B52" s="327"/>
      <c r="C52" s="327"/>
      <c r="D52" s="109">
        <f>IF(J45&gt;0,J45,"-")</f>
        <v>1005.7142857142858</v>
      </c>
      <c r="E52" s="332" t="str">
        <f>IF(J45&gt;0,"gramas por planta","-")</f>
        <v>gramas por planta</v>
      </c>
      <c r="F52" s="332"/>
      <c r="G52" s="332"/>
      <c r="H52" s="102" t="s">
        <v>446</v>
      </c>
      <c r="I52" s="102">
        <f>IFERROR((D52/1000)*VLOOKUP(B51,$V$100:$W$179,2,0),0)</f>
        <v>2.3382857142857145</v>
      </c>
      <c r="J52" s="33">
        <f>AV20</f>
        <v>0</v>
      </c>
      <c r="K52" s="35"/>
      <c r="L52" s="188"/>
      <c r="AT52" s="187" t="s">
        <v>264</v>
      </c>
      <c r="AU52" s="96" t="str">
        <f t="shared" ref="AU52:AU59" si="10">AK30</f>
        <v>Cama de frango corte</v>
      </c>
      <c r="AV52" s="187">
        <v>4</v>
      </c>
    </row>
    <row r="53" spans="2:50" ht="19.5" customHeight="1" thickBot="1" x14ac:dyDescent="0.3">
      <c r="J53" s="34"/>
      <c r="K53" s="35"/>
      <c r="L53" s="188"/>
      <c r="AP53" s="188"/>
      <c r="AQ53" s="188"/>
      <c r="AS53" s="188"/>
      <c r="AT53" s="187" t="s">
        <v>264</v>
      </c>
      <c r="AU53" s="96" t="str">
        <f t="shared" si="10"/>
        <v>Esterco de galinha</v>
      </c>
      <c r="AV53" s="187">
        <v>4</v>
      </c>
    </row>
    <row r="54" spans="2:50" ht="19.5" customHeight="1" x14ac:dyDescent="0.25">
      <c r="B54" s="327" t="str">
        <f>IF(AQ8&gt;0,AQ8,"-")</f>
        <v>-</v>
      </c>
      <c r="C54" s="327"/>
      <c r="D54" s="108">
        <f>IFERROR(((D55/1000)*$E$18),0)</f>
        <v>0</v>
      </c>
      <c r="E54" s="332" t="str">
        <f>IF(J46&gt;0,"quilos para área total","-")</f>
        <v>-</v>
      </c>
      <c r="F54" s="332"/>
      <c r="G54" s="332"/>
      <c r="H54" s="102" t="s">
        <v>447</v>
      </c>
      <c r="I54" s="102">
        <f>I55*$E$18*$I$18</f>
        <v>0</v>
      </c>
      <c r="J54" s="35"/>
      <c r="K54" s="35"/>
      <c r="M54" s="207"/>
      <c r="N54" s="201"/>
      <c r="O54" s="201"/>
      <c r="P54" s="201"/>
      <c r="Q54" s="201"/>
      <c r="R54" s="208"/>
      <c r="U54" s="340" t="s">
        <v>124</v>
      </c>
      <c r="V54" s="340" t="s">
        <v>76</v>
      </c>
      <c r="W54" s="340" t="s">
        <v>77</v>
      </c>
      <c r="X54" s="340" t="s">
        <v>78</v>
      </c>
      <c r="Y54" s="340"/>
      <c r="Z54" s="340"/>
      <c r="AA54" s="340"/>
      <c r="AP54" s="341"/>
      <c r="AQ54" s="341"/>
      <c r="AS54" s="341"/>
      <c r="AT54" s="187" t="s">
        <v>264</v>
      </c>
      <c r="AU54" s="96" t="str">
        <f t="shared" si="10"/>
        <v>Esterco Bovino curtido</v>
      </c>
      <c r="AV54" s="187">
        <v>12</v>
      </c>
    </row>
    <row r="55" spans="2:50" ht="19.5" customHeight="1" x14ac:dyDescent="0.25">
      <c r="B55" s="327"/>
      <c r="C55" s="327"/>
      <c r="D55" s="109" t="str">
        <f>IF(J46&gt;0,J46,"-")</f>
        <v>-</v>
      </c>
      <c r="E55" s="332" t="str">
        <f>IF(J46&gt;0,"gramas por planta","-")</f>
        <v>-</v>
      </c>
      <c r="F55" s="332"/>
      <c r="G55" s="332"/>
      <c r="H55" s="102" t="s">
        <v>446</v>
      </c>
      <c r="I55" s="102">
        <f>IFERROR((D55/1000)*VLOOKUP(B54,$V$100:$W$179,2,0),0)</f>
        <v>0</v>
      </c>
      <c r="J55" s="35"/>
      <c r="K55" s="35"/>
      <c r="M55" s="303" t="s">
        <v>190</v>
      </c>
      <c r="N55" s="332"/>
      <c r="O55" s="318" t="s">
        <v>277</v>
      </c>
      <c r="P55" s="319"/>
      <c r="Q55" s="320"/>
      <c r="R55" s="209"/>
      <c r="U55" s="340"/>
      <c r="V55" s="340"/>
      <c r="W55" s="340"/>
      <c r="X55" s="196" t="s">
        <v>98</v>
      </c>
      <c r="Y55" s="196" t="s">
        <v>99</v>
      </c>
      <c r="Z55" s="196" t="s">
        <v>100</v>
      </c>
      <c r="AA55" s="196" t="s">
        <v>176</v>
      </c>
      <c r="AP55" s="341"/>
      <c r="AQ55" s="341"/>
      <c r="AS55" s="341"/>
      <c r="AT55" s="187" t="s">
        <v>264</v>
      </c>
      <c r="AU55" s="96" t="str">
        <f t="shared" si="10"/>
        <v>Esterco de equino</v>
      </c>
      <c r="AV55" s="187">
        <v>12</v>
      </c>
    </row>
    <row r="56" spans="2:50" ht="19.5" customHeight="1" x14ac:dyDescent="0.25">
      <c r="J56" s="35"/>
      <c r="K56" s="35"/>
      <c r="M56" s="303"/>
      <c r="N56" s="332"/>
      <c r="O56" s="330" t="s">
        <v>169</v>
      </c>
      <c r="P56" s="330"/>
      <c r="Q56" s="330"/>
      <c r="R56" s="209"/>
      <c r="U56" s="343" t="s">
        <v>166</v>
      </c>
      <c r="V56" s="19" t="str">
        <f>'Adubos e corretivos (1)'!C87</f>
        <v>ARAGUAIA Calcítico</v>
      </c>
      <c r="W56" s="19">
        <f>'Adubos e corretivos (1)'!D87</f>
        <v>0</v>
      </c>
      <c r="X56" s="19">
        <f>'Adubos e corretivos (1)'!E87</f>
        <v>51.8</v>
      </c>
      <c r="Y56" s="19">
        <f>'Adubos e corretivos (1)'!F87</f>
        <v>1</v>
      </c>
      <c r="Z56" s="19">
        <f>'Adubos e corretivos (1)'!G87</f>
        <v>90.16</v>
      </c>
      <c r="AA56" s="19">
        <f>'Adubos e corretivos (1)'!H87</f>
        <v>52.8</v>
      </c>
      <c r="AP56" s="188"/>
      <c r="AQ56" s="188"/>
      <c r="AS56" s="188"/>
      <c r="AT56" s="187" t="s">
        <v>264</v>
      </c>
      <c r="AU56" s="96" t="str">
        <f t="shared" si="10"/>
        <v>Esterco de suínos</v>
      </c>
      <c r="AV56" s="187">
        <v>4</v>
      </c>
    </row>
    <row r="57" spans="2:50" ht="19.5" customHeight="1" x14ac:dyDescent="0.25">
      <c r="B57" s="327" t="str">
        <f>IF(AQ12&gt;0,AQ12,"-")</f>
        <v>Kmag</v>
      </c>
      <c r="C57" s="327"/>
      <c r="D57" s="108">
        <f>IFERROR(((D58/1000)*$E$18),0)</f>
        <v>119.04761904761905</v>
      </c>
      <c r="E57" s="354" t="str">
        <f>IF(J47&gt;0,"quilos para área total","-")</f>
        <v>quilos para área total</v>
      </c>
      <c r="F57" s="354"/>
      <c r="G57" s="354"/>
      <c r="H57" s="102" t="s">
        <v>447</v>
      </c>
      <c r="I57" s="102">
        <f>I58*$E$18*$I$18</f>
        <v>345.23809523809524</v>
      </c>
      <c r="J57" s="35"/>
      <c r="K57" s="35"/>
      <c r="M57" s="303"/>
      <c r="N57" s="332"/>
      <c r="R57" s="209"/>
      <c r="U57" s="343"/>
      <c r="V57" s="19" t="str">
        <f>'Adubos e corretivos (1)'!C88</f>
        <v>ARAGUAIA Dolomítico</v>
      </c>
      <c r="W57" s="19">
        <f>'Adubos e corretivos (1)'!D88</f>
        <v>0</v>
      </c>
      <c r="X57" s="19">
        <f>'Adubos e corretivos (1)'!E88</f>
        <v>28.8</v>
      </c>
      <c r="Y57" s="19">
        <f>'Adubos e corretivos (1)'!F88</f>
        <v>17.399999999999999</v>
      </c>
      <c r="Z57" s="19">
        <f>'Adubos e corretivos (1)'!G88</f>
        <v>89.01</v>
      </c>
      <c r="AA57" s="19">
        <f>'Adubos e corretivos (1)'!H88</f>
        <v>46.2</v>
      </c>
      <c r="AP57" s="188"/>
      <c r="AQ57" s="330" t="s">
        <v>273</v>
      </c>
      <c r="AR57" s="330"/>
      <c r="AS57" s="188"/>
      <c r="AT57" s="187" t="s">
        <v>264</v>
      </c>
      <c r="AU57" s="96" t="str">
        <f t="shared" si="10"/>
        <v>Esterco de ovinos</v>
      </c>
      <c r="AV57" s="187">
        <v>4</v>
      </c>
    </row>
    <row r="58" spans="2:50" ht="19.5" customHeight="1" x14ac:dyDescent="0.25">
      <c r="B58" s="327"/>
      <c r="C58" s="327"/>
      <c r="D58" s="108">
        <f>IF(J47&gt;0,J47,"-")</f>
        <v>952.38095238095241</v>
      </c>
      <c r="E58" s="332" t="str">
        <f>IF(J47&gt;0,"gramas por planta","-")</f>
        <v>gramas por planta</v>
      </c>
      <c r="F58" s="332"/>
      <c r="G58" s="332"/>
      <c r="H58" s="102" t="s">
        <v>446</v>
      </c>
      <c r="I58" s="102">
        <f>IFERROR((D58/1000)*VLOOKUP(B57,$V$100:$W$179,2,0),0)</f>
        <v>2.7619047619047619</v>
      </c>
      <c r="J58" s="35"/>
      <c r="K58" s="35"/>
      <c r="M58" s="303"/>
      <c r="N58" s="332"/>
      <c r="O58" s="355" t="s">
        <v>398</v>
      </c>
      <c r="P58" s="356"/>
      <c r="Q58" s="357"/>
      <c r="R58" s="209"/>
      <c r="U58" s="343"/>
      <c r="V58" s="19" t="str">
        <f>'Adubos e corretivos (1)'!C89</f>
        <v>BRICCAL Calcítico</v>
      </c>
      <c r="W58" s="19">
        <f>'Adubos e corretivos (1)'!D89</f>
        <v>0</v>
      </c>
      <c r="X58" s="19">
        <f>'Adubos e corretivos (1)'!E89</f>
        <v>41.78</v>
      </c>
      <c r="Y58" s="19">
        <f>'Adubos e corretivos (1)'!F89</f>
        <v>2.2200000000000002</v>
      </c>
      <c r="Z58" s="19">
        <f>'Adubos e corretivos (1)'!G89</f>
        <v>80.239999999999995</v>
      </c>
      <c r="AA58" s="19">
        <f>'Adubos e corretivos (1)'!H89</f>
        <v>44</v>
      </c>
      <c r="AP58" s="188"/>
      <c r="AQ58" s="330">
        <f>IFERROR(VLOOKUP($O$42,AU51:AV59,2,0),0)</f>
        <v>0</v>
      </c>
      <c r="AR58" s="330"/>
      <c r="AS58" s="188"/>
      <c r="AT58" s="187" t="s">
        <v>264</v>
      </c>
      <c r="AU58" s="96" t="str">
        <f t="shared" si="10"/>
        <v>Lodo de esgosto</v>
      </c>
      <c r="AV58" s="187">
        <v>4</v>
      </c>
    </row>
    <row r="59" spans="2:50" ht="19.5" customHeight="1" x14ac:dyDescent="0.25">
      <c r="J59" s="35"/>
      <c r="K59" s="35"/>
      <c r="M59" s="303"/>
      <c r="N59" s="332"/>
      <c r="O59" s="358"/>
      <c r="P59" s="359"/>
      <c r="Q59" s="360"/>
      <c r="R59" s="209"/>
      <c r="U59" s="343"/>
      <c r="V59" s="19" t="str">
        <f>'Adubos e corretivos (1)'!C90</f>
        <v>BRITACAL Dolomítico</v>
      </c>
      <c r="W59" s="19">
        <f>'Adubos e corretivos (1)'!D90</f>
        <v>0</v>
      </c>
      <c r="X59" s="19">
        <f>'Adubos e corretivos (1)'!E90</f>
        <v>28</v>
      </c>
      <c r="Y59" s="19">
        <f>'Adubos e corretivos (1)'!F90</f>
        <v>15</v>
      </c>
      <c r="Z59" s="19">
        <f>'Adubos e corretivos (1)'!G90</f>
        <v>80</v>
      </c>
      <c r="AA59" s="19">
        <f>'Adubos e corretivos (1)'!H90</f>
        <v>43</v>
      </c>
      <c r="AP59" s="188"/>
      <c r="AS59" s="188"/>
      <c r="AT59" s="187" t="s">
        <v>264</v>
      </c>
      <c r="AU59" s="96" t="str">
        <f t="shared" si="10"/>
        <v>Compostos orgânicos</v>
      </c>
      <c r="AV59" s="187">
        <v>4</v>
      </c>
    </row>
    <row r="60" spans="2:50" ht="19.5" customHeight="1" x14ac:dyDescent="0.25">
      <c r="B60" s="327" t="str">
        <f>IF(AQ13&gt;0,AQ13,"-")</f>
        <v>-</v>
      </c>
      <c r="C60" s="327"/>
      <c r="D60" s="108">
        <f>IFERROR(((D61/1000)*$E$18),0)</f>
        <v>0</v>
      </c>
      <c r="E60" s="354" t="str">
        <f>IF(J48&gt;0,"quilos para área total","-")</f>
        <v>-</v>
      </c>
      <c r="F60" s="354"/>
      <c r="G60" s="354"/>
      <c r="H60" s="102" t="s">
        <v>447</v>
      </c>
      <c r="I60" s="102">
        <f>I61*$E$18*$I$18</f>
        <v>0</v>
      </c>
      <c r="J60" s="35"/>
      <c r="K60" s="35"/>
      <c r="M60" s="303"/>
      <c r="N60" s="332"/>
      <c r="O60" s="333" t="s">
        <v>170</v>
      </c>
      <c r="P60" s="334"/>
      <c r="Q60" s="335"/>
      <c r="R60" s="209"/>
      <c r="U60" s="343"/>
      <c r="V60" s="19" t="str">
        <f>'Adubos e corretivos (1)'!C91</f>
        <v>BRITACAL Filler</v>
      </c>
      <c r="W60" s="19">
        <f>'Adubos e corretivos (1)'!D91</f>
        <v>0</v>
      </c>
      <c r="X60" s="19">
        <f>'Adubos e corretivos (1)'!E91</f>
        <v>32</v>
      </c>
      <c r="Y60" s="19">
        <f>'Adubos e corretivos (1)'!F91</f>
        <v>15</v>
      </c>
      <c r="Z60" s="19">
        <f>'Adubos e corretivos (1)'!G91</f>
        <v>94</v>
      </c>
      <c r="AA60" s="19">
        <f>'Adubos e corretivos (1)'!H91</f>
        <v>47</v>
      </c>
      <c r="AP60" s="188"/>
      <c r="AQ60" s="188"/>
      <c r="AS60" s="188"/>
      <c r="AT60" s="188"/>
      <c r="AU60" s="188"/>
      <c r="AV60" s="188"/>
      <c r="AW60" s="188"/>
      <c r="AX60" s="188"/>
    </row>
    <row r="61" spans="2:50" ht="19.5" customHeight="1" x14ac:dyDescent="0.25">
      <c r="B61" s="327"/>
      <c r="C61" s="327"/>
      <c r="D61" s="108" t="str">
        <f>IF(J48&gt;0,J48,"-")</f>
        <v>-</v>
      </c>
      <c r="E61" s="332" t="str">
        <f>IF(J48&gt;0,"gramas por planta","-")</f>
        <v>-</v>
      </c>
      <c r="F61" s="332"/>
      <c r="G61" s="332"/>
      <c r="H61" s="102" t="s">
        <v>446</v>
      </c>
      <c r="I61" s="102">
        <f>IFERROR((D61/1000)*VLOOKUP(B60,$V$100:$W$179,2,0),0)</f>
        <v>0</v>
      </c>
      <c r="J61" s="35"/>
      <c r="K61" s="35"/>
      <c r="M61" s="303"/>
      <c r="N61" s="332"/>
      <c r="R61" s="209"/>
      <c r="U61" s="343"/>
      <c r="V61" s="19" t="str">
        <f>'Adubos e corretivos (1)'!C92</f>
        <v>BRITACAL Calcítico</v>
      </c>
      <c r="W61" s="19">
        <f>'Adubos e corretivos (1)'!D92</f>
        <v>0</v>
      </c>
      <c r="X61" s="19">
        <f>'Adubos e corretivos (1)'!E92</f>
        <v>51.6</v>
      </c>
      <c r="Y61" s="19">
        <f>'Adubos e corretivos (1)'!F92</f>
        <v>2</v>
      </c>
      <c r="Z61" s="19">
        <f>'Adubos e corretivos (1)'!G92</f>
        <v>82.1</v>
      </c>
      <c r="AA61" s="19">
        <f>'Adubos e corretivos (1)'!H92</f>
        <v>53.6</v>
      </c>
      <c r="AP61" s="188"/>
      <c r="AQ61" s="188"/>
      <c r="AS61" s="188"/>
      <c r="AT61" s="188"/>
      <c r="AU61" s="188"/>
      <c r="AV61" s="188"/>
      <c r="AW61" s="188"/>
      <c r="AX61" s="188"/>
    </row>
    <row r="62" spans="2:50" ht="19.5" customHeight="1" x14ac:dyDescent="0.25">
      <c r="J62" s="35"/>
      <c r="K62" s="35"/>
      <c r="M62" s="303"/>
      <c r="N62" s="332"/>
      <c r="O62" s="318" t="s">
        <v>407</v>
      </c>
      <c r="P62" s="319"/>
      <c r="Q62" s="320"/>
      <c r="R62" s="209"/>
      <c r="U62" s="343"/>
      <c r="V62" s="19" t="str">
        <f>'Adubos e corretivos (1)'!C93</f>
        <v>PIRECAL Dolomítico</v>
      </c>
      <c r="W62" s="19">
        <f>'Adubos e corretivos (1)'!D93</f>
        <v>0</v>
      </c>
      <c r="X62" s="19">
        <f>'Adubos e corretivos (1)'!E93</f>
        <v>29.7</v>
      </c>
      <c r="Y62" s="19">
        <f>'Adubos e corretivos (1)'!F93</f>
        <v>21.6</v>
      </c>
      <c r="Z62" s="19">
        <f>'Adubos e corretivos (1)'!G93</f>
        <v>99.3</v>
      </c>
      <c r="AA62" s="19">
        <f>'Adubos e corretivos (1)'!H93</f>
        <v>51.3</v>
      </c>
      <c r="AS62" s="188"/>
      <c r="AT62" s="188"/>
      <c r="AU62" s="188"/>
      <c r="AV62" s="188"/>
      <c r="AW62" s="188"/>
      <c r="AX62" s="188"/>
    </row>
    <row r="63" spans="2:50" ht="19.5" customHeight="1" x14ac:dyDescent="0.25">
      <c r="B63" s="327" t="str">
        <f>IF(AQ14&gt;0,AQ14,"-")</f>
        <v>-</v>
      </c>
      <c r="C63" s="327"/>
      <c r="D63" s="108">
        <f>IFERROR(((D64/1000)*$E$18),0)</f>
        <v>0</v>
      </c>
      <c r="E63" s="354" t="str">
        <f>IF(J49&gt;0,"quilos para área total","-")</f>
        <v>-</v>
      </c>
      <c r="F63" s="354"/>
      <c r="G63" s="354"/>
      <c r="H63" s="102" t="s">
        <v>447</v>
      </c>
      <c r="I63" s="102">
        <f>I64*$E$18*$I$18</f>
        <v>0</v>
      </c>
      <c r="J63" s="35"/>
      <c r="K63" s="35"/>
      <c r="M63" s="303"/>
      <c r="N63" s="332"/>
      <c r="O63" s="191" t="s">
        <v>3</v>
      </c>
      <c r="P63" s="6">
        <v>2</v>
      </c>
      <c r="Q63" s="191" t="s">
        <v>55</v>
      </c>
      <c r="R63" s="209"/>
      <c r="U63" s="343"/>
      <c r="V63" s="19" t="str">
        <f>'Adubos e corretivos (1)'!C94</f>
        <v>ITAU Calcario Filler</v>
      </c>
      <c r="W63" s="19">
        <f>'Adubos e corretivos (1)'!D94</f>
        <v>0</v>
      </c>
      <c r="X63" s="19">
        <f>'Adubos e corretivos (1)'!E94</f>
        <v>40</v>
      </c>
      <c r="Y63" s="19">
        <f>'Adubos e corretivos (1)'!F94</f>
        <v>20</v>
      </c>
      <c r="Z63" s="19">
        <f>'Adubos e corretivos (1)'!G94</f>
        <v>96</v>
      </c>
      <c r="AA63" s="19">
        <f>'Adubos e corretivos (1)'!H94</f>
        <v>60</v>
      </c>
      <c r="AS63" s="188"/>
      <c r="AT63" s="188"/>
      <c r="AU63" s="188"/>
      <c r="AV63" s="188"/>
      <c r="AW63" s="188"/>
      <c r="AX63" s="188"/>
    </row>
    <row r="64" spans="2:50" ht="19.5" customHeight="1" x14ac:dyDescent="0.25">
      <c r="B64" s="327"/>
      <c r="C64" s="327"/>
      <c r="D64" s="108" t="str">
        <f>IF(J49&gt;0,J49,"-")</f>
        <v>-</v>
      </c>
      <c r="E64" s="332" t="str">
        <f>IF(J49&gt;0,"gramas por planta","-")</f>
        <v>-</v>
      </c>
      <c r="F64" s="332"/>
      <c r="G64" s="332"/>
      <c r="H64" s="102" t="s">
        <v>446</v>
      </c>
      <c r="I64" s="102">
        <f>IFERROR((D64/1000)*VLOOKUP(B63,$V$100:$W$179,2,0),0)</f>
        <v>0</v>
      </c>
      <c r="J64" s="35"/>
      <c r="K64" s="35"/>
      <c r="M64" s="303"/>
      <c r="N64" s="332"/>
      <c r="O64" s="191" t="s">
        <v>7</v>
      </c>
      <c r="P64" s="6">
        <v>0.4</v>
      </c>
      <c r="Q64" s="191" t="s">
        <v>55</v>
      </c>
      <c r="R64" s="209"/>
      <c r="U64" s="343"/>
      <c r="V64" s="19" t="str">
        <f>'Adubos e corretivos (1)'!C95</f>
        <v>PIRINEUS Dolomítico</v>
      </c>
      <c r="W64" s="19">
        <f>'Adubos e corretivos (1)'!D95</f>
        <v>0</v>
      </c>
      <c r="X64" s="19">
        <f>'Adubos e corretivos (1)'!E95</f>
        <v>34.299999999999997</v>
      </c>
      <c r="Y64" s="19">
        <f>'Adubos e corretivos (1)'!F95</f>
        <v>16.2</v>
      </c>
      <c r="Z64" s="19">
        <f>'Adubos e corretivos (1)'!G95</f>
        <v>95.25</v>
      </c>
      <c r="AA64" s="19">
        <f>'Adubos e corretivos (1)'!H95</f>
        <v>50.5</v>
      </c>
      <c r="AS64" s="188"/>
      <c r="AT64" s="188"/>
      <c r="AU64" s="188"/>
      <c r="AV64" s="188"/>
      <c r="AW64" s="188"/>
      <c r="AX64" s="188"/>
    </row>
    <row r="65" spans="2:50" ht="19.5" customHeight="1" x14ac:dyDescent="0.25">
      <c r="H65" s="102"/>
      <c r="I65" s="21"/>
      <c r="J65" s="35"/>
      <c r="K65" s="35"/>
      <c r="M65" s="303"/>
      <c r="N65" s="332"/>
      <c r="O65" s="191" t="s">
        <v>402</v>
      </c>
      <c r="P65" s="5">
        <v>25</v>
      </c>
      <c r="Q65" s="191" t="s">
        <v>23</v>
      </c>
      <c r="R65" s="209"/>
      <c r="U65" s="343"/>
      <c r="V65" s="19" t="str">
        <f>'Adubos e corretivos (1)'!C96</f>
        <v>PIRINEUS Calcítico</v>
      </c>
      <c r="W65" s="19">
        <f>'Adubos e corretivos (1)'!D96</f>
        <v>0</v>
      </c>
      <c r="X65" s="19">
        <f>'Adubos e corretivos (1)'!E96</f>
        <v>53.2</v>
      </c>
      <c r="Y65" s="19">
        <f>'Adubos e corretivos (1)'!F96</f>
        <v>1</v>
      </c>
      <c r="Z65" s="19">
        <f>'Adubos e corretivos (1)'!G96</f>
        <v>90.52</v>
      </c>
      <c r="AA65" s="19">
        <f>'Adubos e corretivos (1)'!H96</f>
        <v>54.2</v>
      </c>
      <c r="AS65" s="188"/>
      <c r="AT65" s="188"/>
      <c r="AU65" s="188"/>
      <c r="AV65" s="188"/>
      <c r="AW65" s="188"/>
      <c r="AX65" s="188"/>
    </row>
    <row r="66" spans="2:50" ht="19.5" customHeight="1" thickBot="1" x14ac:dyDescent="0.3">
      <c r="B66" s="327" t="str">
        <f>IF(AQ18&gt;0,AQ18,"-")</f>
        <v>Torta de mamona Hortibraz</v>
      </c>
      <c r="C66" s="327"/>
      <c r="D66" s="108">
        <f>IFERROR(((D67/1000)*$E$18),0)</f>
        <v>1500</v>
      </c>
      <c r="E66" s="354" t="str">
        <f>IF(J50&gt;0,"quilos para área total","-")</f>
        <v>quilos para área total</v>
      </c>
      <c r="F66" s="354"/>
      <c r="G66" s="354"/>
      <c r="H66" s="102" t="s">
        <v>447</v>
      </c>
      <c r="I66" s="102">
        <f>I67*$E$18*$I$18</f>
        <v>2280.0000000000005</v>
      </c>
      <c r="M66" s="210"/>
      <c r="N66" s="200"/>
      <c r="O66" s="200"/>
      <c r="P66" s="200"/>
      <c r="Q66" s="200"/>
      <c r="R66" s="211"/>
      <c r="U66" s="343"/>
      <c r="V66" s="19" t="str">
        <f>'Adubos e corretivos (1)'!C97</f>
        <v>AGROSILICIO</v>
      </c>
      <c r="W66" s="19">
        <f>'Adubos e corretivos (1)'!D97</f>
        <v>0.56000000000000005</v>
      </c>
      <c r="X66" s="19">
        <f>'Adubos e corretivos (1)'!E97</f>
        <v>36</v>
      </c>
      <c r="Y66" s="19">
        <f>'Adubos e corretivos (1)'!F97</f>
        <v>9</v>
      </c>
      <c r="Z66" s="19">
        <f>'Adubos e corretivos (1)'!G97</f>
        <v>64.599999999999994</v>
      </c>
      <c r="AA66" s="19">
        <f>'Adubos e corretivos (1)'!H97</f>
        <v>45</v>
      </c>
      <c r="AS66" s="188"/>
      <c r="AT66" s="188"/>
      <c r="AU66" s="188"/>
      <c r="AV66" s="188"/>
      <c r="AW66" s="188"/>
      <c r="AX66" s="188"/>
    </row>
    <row r="67" spans="2:50" ht="19.5" customHeight="1" thickBot="1" x14ac:dyDescent="0.3">
      <c r="B67" s="327"/>
      <c r="C67" s="327"/>
      <c r="D67" s="108">
        <f>IF(J50&gt;0,J50,"-")</f>
        <v>12000</v>
      </c>
      <c r="E67" s="332" t="str">
        <f>IF(J50&gt;0,"gramas por planta","-")</f>
        <v>gramas por planta</v>
      </c>
      <c r="F67" s="332"/>
      <c r="G67" s="332"/>
      <c r="H67" s="102" t="s">
        <v>446</v>
      </c>
      <c r="I67" s="102">
        <f>IFERROR((D67/1000)*VLOOKUP(B66,$V$100:$W$179,2,0),0)</f>
        <v>18.240000000000002</v>
      </c>
      <c r="U67" s="343"/>
      <c r="V67" s="19" t="str">
        <f>'Adubos e corretivos (1)'!C98</f>
        <v>GOIAS Filler Calcítico</v>
      </c>
      <c r="W67" s="19">
        <f>'Adubos e corretivos (1)'!D98</f>
        <v>0</v>
      </c>
      <c r="X67" s="19">
        <f>'Adubos e corretivos (1)'!E98</f>
        <v>48</v>
      </c>
      <c r="Y67" s="19">
        <f>'Adubos e corretivos (1)'!F98</f>
        <v>5</v>
      </c>
      <c r="Z67" s="19">
        <f>'Adubos e corretivos (1)'!G98</f>
        <v>90.62</v>
      </c>
      <c r="AA67" s="19">
        <f>'Adubos e corretivos (1)'!H98</f>
        <v>53</v>
      </c>
      <c r="AS67" s="188"/>
      <c r="AT67" s="188"/>
      <c r="AU67" s="188"/>
      <c r="AV67" s="188"/>
      <c r="AW67" s="188"/>
      <c r="AX67" s="188"/>
    </row>
    <row r="68" spans="2:50" ht="19.5" customHeight="1" x14ac:dyDescent="0.25">
      <c r="H68" s="102"/>
      <c r="I68" s="21"/>
      <c r="M68" s="207"/>
      <c r="N68" s="201"/>
      <c r="O68" s="201"/>
      <c r="P68" s="201"/>
      <c r="Q68" s="201"/>
      <c r="R68" s="208"/>
      <c r="U68" s="343"/>
      <c r="V68" s="19" t="str">
        <f>'Adubos e corretivos (1)'!C99</f>
        <v>GOIAS Filler Dolomítico</v>
      </c>
      <c r="W68" s="19">
        <f>'Adubos e corretivos (1)'!D99</f>
        <v>0</v>
      </c>
      <c r="X68" s="19">
        <f>'Adubos e corretivos (1)'!E99</f>
        <v>36</v>
      </c>
      <c r="Y68" s="19">
        <f>'Adubos e corretivos (1)'!F99</f>
        <v>15</v>
      </c>
      <c r="Z68" s="19">
        <f>'Adubos e corretivos (1)'!G99</f>
        <v>92.54</v>
      </c>
      <c r="AA68" s="19">
        <f>'Adubos e corretivos (1)'!H99</f>
        <v>51</v>
      </c>
      <c r="AS68" s="188"/>
      <c r="AT68" s="188"/>
      <c r="AU68" s="188"/>
      <c r="AV68" s="188"/>
      <c r="AW68" s="188"/>
      <c r="AX68" s="188"/>
    </row>
    <row r="69" spans="2:50" ht="19.5" customHeight="1" x14ac:dyDescent="0.25">
      <c r="B69" s="327" t="str">
        <f>IF(AQ19&gt;0,AQ19,"-")</f>
        <v>-</v>
      </c>
      <c r="C69" s="327"/>
      <c r="D69" s="108">
        <f>IFERROR(((D70/1000)*$E$18),0)</f>
        <v>0</v>
      </c>
      <c r="E69" s="354" t="str">
        <f>IF(J51&gt;0,"quilos para área total","-")</f>
        <v>-</v>
      </c>
      <c r="F69" s="354"/>
      <c r="G69" s="354"/>
      <c r="H69" s="102" t="s">
        <v>447</v>
      </c>
      <c r="I69" s="102">
        <f>I70*$E$18*$I$18</f>
        <v>0</v>
      </c>
      <c r="M69" s="303" t="s">
        <v>191</v>
      </c>
      <c r="N69" s="332"/>
      <c r="O69" s="351" t="s">
        <v>226</v>
      </c>
      <c r="P69" s="352"/>
      <c r="Q69" s="353"/>
      <c r="R69" s="209"/>
      <c r="AS69" s="188"/>
      <c r="AT69" s="188"/>
      <c r="AU69" s="188"/>
      <c r="AV69" s="188"/>
      <c r="AW69" s="188"/>
      <c r="AX69" s="188"/>
    </row>
    <row r="70" spans="2:50" ht="19.5" customHeight="1" x14ac:dyDescent="0.25">
      <c r="B70" s="327"/>
      <c r="C70" s="327"/>
      <c r="D70" s="108" t="str">
        <f>IF(J51&gt;0,J51,"-")</f>
        <v>-</v>
      </c>
      <c r="E70" s="332" t="str">
        <f>IF(J51&gt;0,"gramas por planta","-")</f>
        <v>-</v>
      </c>
      <c r="F70" s="332"/>
      <c r="G70" s="332"/>
      <c r="H70" s="102" t="s">
        <v>446</v>
      </c>
      <c r="I70" s="102">
        <f>IFERROR((D70/1000)*VLOOKUP(B69,$V$100:$W$179,2,0),0)</f>
        <v>0</v>
      </c>
      <c r="M70" s="303"/>
      <c r="N70" s="332"/>
      <c r="O70" s="351" t="s">
        <v>225</v>
      </c>
      <c r="P70" s="352"/>
      <c r="Q70" s="353"/>
      <c r="R70" s="209"/>
      <c r="AS70" s="188"/>
      <c r="AT70" s="188"/>
      <c r="AU70" s="188"/>
      <c r="AV70" s="188"/>
      <c r="AW70" s="188"/>
      <c r="AX70" s="188"/>
    </row>
    <row r="71" spans="2:50" ht="19.5" customHeight="1" x14ac:dyDescent="0.25">
      <c r="M71" s="303"/>
      <c r="N71" s="332"/>
      <c r="O71" s="330"/>
      <c r="P71" s="330"/>
      <c r="Q71" s="18"/>
      <c r="R71" s="209"/>
      <c r="U71" s="349" t="s">
        <v>124</v>
      </c>
      <c r="V71" s="349" t="s">
        <v>76</v>
      </c>
      <c r="W71" s="349" t="s">
        <v>77</v>
      </c>
      <c r="X71" s="349" t="s">
        <v>257</v>
      </c>
      <c r="Y71" s="349"/>
      <c r="Z71" s="349"/>
      <c r="AS71" s="188"/>
      <c r="AT71" s="188"/>
      <c r="AU71" s="188"/>
      <c r="AV71" s="188"/>
      <c r="AW71" s="188"/>
      <c r="AX71" s="188"/>
    </row>
    <row r="72" spans="2:50" ht="19.5" customHeight="1" x14ac:dyDescent="0.25">
      <c r="B72" s="327" t="str">
        <f>IF(AQ20&gt;0,AQ20,"-")</f>
        <v>-</v>
      </c>
      <c r="C72" s="327"/>
      <c r="D72" s="108">
        <f>IFERROR(((D73/1000)*$E$18),0)</f>
        <v>0</v>
      </c>
      <c r="E72" s="354" t="str">
        <f>IF(J52&gt;0,"quilos para área total","-")</f>
        <v>-</v>
      </c>
      <c r="F72" s="354"/>
      <c r="G72" s="354"/>
      <c r="H72" s="102" t="s">
        <v>447</v>
      </c>
      <c r="I72" s="102">
        <f>I73*$E$18*$I$18</f>
        <v>0</v>
      </c>
      <c r="M72" s="303"/>
      <c r="N72" s="332"/>
      <c r="O72" s="330" t="s">
        <v>203</v>
      </c>
      <c r="P72" s="330"/>
      <c r="Q72" s="18">
        <v>1</v>
      </c>
      <c r="R72" s="209"/>
      <c r="U72" s="349"/>
      <c r="V72" s="349"/>
      <c r="W72" s="349"/>
      <c r="X72" s="197" t="s">
        <v>81</v>
      </c>
      <c r="Y72" s="197" t="s">
        <v>82</v>
      </c>
      <c r="Z72" s="197" t="s">
        <v>83</v>
      </c>
      <c r="AS72" s="188"/>
      <c r="AT72" s="188"/>
      <c r="AU72" s="188"/>
      <c r="AV72" s="188"/>
      <c r="AW72" s="188"/>
      <c r="AX72" s="188"/>
    </row>
    <row r="73" spans="2:50" ht="19.5" customHeight="1" x14ac:dyDescent="0.25">
      <c r="B73" s="327"/>
      <c r="C73" s="327"/>
      <c r="D73" s="108" t="str">
        <f>IF(J52&gt;0,J52,"-")</f>
        <v>-</v>
      </c>
      <c r="E73" s="332" t="str">
        <f>IF(J52&gt;0,"gramas por planta","-")</f>
        <v>-</v>
      </c>
      <c r="F73" s="332"/>
      <c r="G73" s="332"/>
      <c r="H73" s="102" t="s">
        <v>446</v>
      </c>
      <c r="I73" s="102">
        <f>IFERROR((D73/1000)*VLOOKUP(B72,$V$100:$W$179,2,0),0)</f>
        <v>0</v>
      </c>
      <c r="M73" s="303"/>
      <c r="N73" s="332"/>
      <c r="O73" s="330"/>
      <c r="P73" s="330"/>
      <c r="Q73" s="18"/>
      <c r="R73" s="209"/>
      <c r="U73" s="361" t="s">
        <v>138</v>
      </c>
      <c r="V73" s="20" t="str">
        <f>'Adubos e corretivos (1)'!C104</f>
        <v>Gesso Nutrion</v>
      </c>
      <c r="W73" s="20">
        <f>'Adubos e corretivos (1)'!D104</f>
        <v>0</v>
      </c>
      <c r="X73" s="20">
        <f>'Adubos e corretivos (1)'!E104</f>
        <v>15</v>
      </c>
      <c r="Y73" s="20">
        <f>'Adubos e corretivos (1)'!F104</f>
        <v>0</v>
      </c>
      <c r="Z73" s="20">
        <f>'Adubos e corretivos (1)'!G104</f>
        <v>20</v>
      </c>
      <c r="AS73" s="188"/>
      <c r="AT73" s="188"/>
      <c r="AU73" s="188"/>
      <c r="AV73" s="188"/>
      <c r="AW73" s="188"/>
      <c r="AX73" s="188"/>
    </row>
    <row r="74" spans="2:50" ht="19.5" customHeight="1" x14ac:dyDescent="0.25">
      <c r="M74" s="303"/>
      <c r="N74" s="332"/>
      <c r="O74" s="188"/>
      <c r="P74" s="188"/>
      <c r="Q74" s="188"/>
      <c r="R74" s="209"/>
      <c r="U74" s="361"/>
      <c r="V74" s="20" t="str">
        <f>'Adubos e corretivos (1)'!C105</f>
        <v>Gesso Votorantim</v>
      </c>
      <c r="W74" s="20">
        <f>'Adubos e corretivos (1)'!D105</f>
        <v>0</v>
      </c>
      <c r="X74" s="20">
        <f>'Adubos e corretivos (1)'!E105</f>
        <v>16</v>
      </c>
      <c r="Y74" s="20">
        <f>'Adubos e corretivos (1)'!F105</f>
        <v>0</v>
      </c>
      <c r="Z74" s="20">
        <f>'Adubos e corretivos (1)'!G105</f>
        <v>20</v>
      </c>
      <c r="AS74" s="188"/>
      <c r="AT74" s="188"/>
      <c r="AU74" s="188"/>
      <c r="AV74" s="188"/>
      <c r="AW74" s="188"/>
      <c r="AX74" s="188"/>
    </row>
    <row r="75" spans="2:50" ht="19.5" customHeight="1" x14ac:dyDescent="0.25">
      <c r="B75" s="328" t="s">
        <v>405</v>
      </c>
      <c r="C75" s="328"/>
      <c r="D75" s="328"/>
      <c r="E75" s="328"/>
      <c r="F75" s="328"/>
      <c r="G75" s="328"/>
      <c r="H75" s="328"/>
      <c r="I75" s="328"/>
      <c r="M75" s="303"/>
      <c r="N75" s="332"/>
      <c r="O75" s="332" t="s">
        <v>238</v>
      </c>
      <c r="P75" s="332"/>
      <c r="Q75" s="332"/>
      <c r="R75" s="209"/>
      <c r="U75" s="361"/>
      <c r="V75" s="20" t="str">
        <f>'Adubos e corretivos (1)'!C106</f>
        <v>Gesso Agronelli</v>
      </c>
      <c r="W75" s="20">
        <f>'Adubos e corretivos (1)'!D106</f>
        <v>0.76</v>
      </c>
      <c r="X75" s="20">
        <f>'Adubos e corretivos (1)'!E106</f>
        <v>14</v>
      </c>
      <c r="Y75" s="20">
        <f>'Adubos e corretivos (1)'!F106</f>
        <v>0</v>
      </c>
      <c r="Z75" s="20">
        <f>'Adubos e corretivos (1)'!G106</f>
        <v>17</v>
      </c>
      <c r="AS75" s="188"/>
      <c r="AT75" s="188"/>
      <c r="AU75" s="188"/>
      <c r="AV75" s="188"/>
      <c r="AW75" s="188"/>
      <c r="AX75" s="188"/>
    </row>
    <row r="76" spans="2:50" ht="19.5" customHeight="1" x14ac:dyDescent="0.25">
      <c r="B76" s="328"/>
      <c r="C76" s="328"/>
      <c r="D76" s="328"/>
      <c r="E76" s="328"/>
      <c r="F76" s="328"/>
      <c r="G76" s="328"/>
      <c r="H76" s="328"/>
      <c r="I76" s="328"/>
      <c r="M76" s="303"/>
      <c r="N76" s="332"/>
      <c r="O76" s="188"/>
      <c r="P76" s="188"/>
      <c r="Q76" s="188"/>
      <c r="R76" s="209"/>
      <c r="U76" s="361"/>
      <c r="V76" s="20" t="str">
        <f>'Adubos e corretivos (1)'!C107</f>
        <v>Siligesso Agronelli</v>
      </c>
      <c r="W76" s="20">
        <f>'Adubos e corretivos (1)'!D107</f>
        <v>0</v>
      </c>
      <c r="X76" s="20">
        <f>'Adubos e corretivos (1)'!E107</f>
        <v>9.9</v>
      </c>
      <c r="Y76" s="20">
        <f>'Adubos e corretivos (1)'!F107</f>
        <v>0</v>
      </c>
      <c r="Z76" s="20">
        <f>'Adubos e corretivos (1)'!G107</f>
        <v>20.3</v>
      </c>
      <c r="AS76" s="188"/>
      <c r="AT76" s="188"/>
      <c r="AU76" s="188"/>
      <c r="AV76" s="188"/>
      <c r="AW76" s="188"/>
      <c r="AX76" s="188"/>
    </row>
    <row r="77" spans="2:50" ht="19.5" customHeight="1" x14ac:dyDescent="0.25">
      <c r="B77" s="328"/>
      <c r="C77" s="328"/>
      <c r="D77" s="328"/>
      <c r="E77" s="328"/>
      <c r="F77" s="328"/>
      <c r="G77" s="328"/>
      <c r="H77" s="328"/>
      <c r="I77" s="328"/>
      <c r="M77" s="303"/>
      <c r="N77" s="332"/>
      <c r="O77" s="351" t="s">
        <v>227</v>
      </c>
      <c r="P77" s="352"/>
      <c r="Q77" s="353"/>
      <c r="R77" s="209"/>
      <c r="U77" s="361"/>
      <c r="V77" s="20" t="str">
        <f>'Adubos e corretivos (1)'!C108</f>
        <v>Nutrigesso Nutrion</v>
      </c>
      <c r="W77" s="20">
        <f>'Adubos e corretivos (1)'!D108</f>
        <v>0</v>
      </c>
      <c r="X77" s="20">
        <f>'Adubos e corretivos (1)'!E108</f>
        <v>13</v>
      </c>
      <c r="Y77" s="20">
        <f>'Adubos e corretivos (1)'!F108</f>
        <v>0</v>
      </c>
      <c r="Z77" s="20">
        <f>'Adubos e corretivos (1)'!G108</f>
        <v>16</v>
      </c>
      <c r="AS77" s="188"/>
      <c r="AT77" s="188"/>
      <c r="AU77" s="188"/>
      <c r="AV77" s="188"/>
      <c r="AW77" s="188"/>
      <c r="AX77" s="188"/>
    </row>
    <row r="78" spans="2:50" ht="19.5" customHeight="1" x14ac:dyDescent="0.25">
      <c r="B78" s="328"/>
      <c r="C78" s="328"/>
      <c r="D78" s="328"/>
      <c r="E78" s="328"/>
      <c r="F78" s="328"/>
      <c r="G78" s="328"/>
      <c r="H78" s="328"/>
      <c r="I78" s="328"/>
      <c r="M78" s="303"/>
      <c r="N78" s="332"/>
      <c r="O78" s="351" t="s">
        <v>225</v>
      </c>
      <c r="P78" s="352"/>
      <c r="Q78" s="353"/>
      <c r="R78" s="209"/>
      <c r="U78" s="361"/>
      <c r="V78" s="20">
        <f>'Adubos e corretivos (1)'!C109</f>
        <v>0</v>
      </c>
      <c r="W78" s="20">
        <f>'Adubos e corretivos (1)'!D109</f>
        <v>0</v>
      </c>
      <c r="X78" s="20">
        <f>'Adubos e corretivos (1)'!E109</f>
        <v>0</v>
      </c>
      <c r="Y78" s="20">
        <f>'Adubos e corretivos (1)'!F109</f>
        <v>0</v>
      </c>
      <c r="Z78" s="20">
        <f>'Adubos e corretivos (1)'!G109</f>
        <v>0</v>
      </c>
      <c r="AS78" s="188"/>
      <c r="AT78" s="188"/>
      <c r="AU78" s="188"/>
      <c r="AV78" s="188"/>
      <c r="AW78" s="188"/>
      <c r="AX78" s="188"/>
    </row>
    <row r="79" spans="2:50" ht="19.5" customHeight="1" thickBot="1" x14ac:dyDescent="0.3">
      <c r="M79" s="303"/>
      <c r="N79" s="332"/>
      <c r="O79" s="330" t="s">
        <v>148</v>
      </c>
      <c r="P79" s="330"/>
      <c r="Q79" s="18">
        <v>1</v>
      </c>
      <c r="R79" s="209"/>
      <c r="U79" s="361"/>
      <c r="V79" s="20">
        <f>'Adubos e corretivos (1)'!C110</f>
        <v>0</v>
      </c>
      <c r="W79" s="20">
        <f>'Adubos e corretivos (1)'!D110</f>
        <v>0</v>
      </c>
      <c r="X79" s="20">
        <f>'Adubos e corretivos (1)'!E110</f>
        <v>0</v>
      </c>
      <c r="Y79" s="20">
        <f>'Adubos e corretivos (1)'!F110</f>
        <v>0</v>
      </c>
      <c r="Z79" s="20">
        <f>'Adubos e corretivos (1)'!G110</f>
        <v>0</v>
      </c>
      <c r="AS79" s="188"/>
      <c r="AT79" s="188"/>
      <c r="AU79" s="188"/>
      <c r="AV79" s="188"/>
      <c r="AW79" s="188"/>
      <c r="AX79" s="188"/>
    </row>
    <row r="80" spans="2:50" ht="19.5" customHeight="1" thickBot="1" x14ac:dyDescent="0.3">
      <c r="B80" s="321" t="s">
        <v>230</v>
      </c>
      <c r="C80" s="322"/>
      <c r="D80" s="322"/>
      <c r="E80" s="322"/>
      <c r="F80" s="322"/>
      <c r="G80" s="322"/>
      <c r="H80" s="322"/>
      <c r="I80" s="323"/>
      <c r="M80" s="303"/>
      <c r="N80" s="332"/>
      <c r="O80" s="330"/>
      <c r="P80" s="330"/>
      <c r="Q80" s="18"/>
      <c r="R80" s="209"/>
      <c r="U80" s="361"/>
      <c r="V80" s="20">
        <f>'Adubos e corretivos (1)'!C111</f>
        <v>0</v>
      </c>
      <c r="W80" s="20">
        <f>'Adubos e corretivos (1)'!D111</f>
        <v>0</v>
      </c>
      <c r="X80" s="20">
        <f>'Adubos e corretivos (1)'!E111</f>
        <v>0</v>
      </c>
      <c r="Y80" s="20">
        <f>'Adubos e corretivos (1)'!F111</f>
        <v>0</v>
      </c>
      <c r="Z80" s="20">
        <f>'Adubos e corretivos (1)'!G111</f>
        <v>0</v>
      </c>
      <c r="AS80" s="188"/>
      <c r="AT80" s="188"/>
      <c r="AU80" s="188"/>
      <c r="AV80" s="188"/>
      <c r="AW80" s="188"/>
      <c r="AX80" s="188"/>
    </row>
    <row r="81" spans="2:50" ht="19.5" customHeight="1" x14ac:dyDescent="0.25">
      <c r="M81" s="303"/>
      <c r="N81" s="332"/>
      <c r="O81" s="330"/>
      <c r="P81" s="330"/>
      <c r="Q81" s="18"/>
      <c r="R81" s="209"/>
      <c r="U81" s="361"/>
      <c r="V81" s="20">
        <f>'Adubos e corretivos (1)'!C112</f>
        <v>0</v>
      </c>
      <c r="W81" s="20">
        <f>'Adubos e corretivos (1)'!D112</f>
        <v>0</v>
      </c>
      <c r="X81" s="20">
        <f>'Adubos e corretivos (1)'!E112</f>
        <v>0</v>
      </c>
      <c r="Y81" s="20">
        <f>'Adubos e corretivos (1)'!F112</f>
        <v>0</v>
      </c>
      <c r="Z81" s="20">
        <f>'Adubos e corretivos (1)'!G112</f>
        <v>0</v>
      </c>
      <c r="AS81" s="188"/>
      <c r="AT81" s="188"/>
      <c r="AU81" s="188"/>
      <c r="AV81" s="188"/>
      <c r="AW81" s="188"/>
      <c r="AX81" s="188"/>
    </row>
    <row r="82" spans="2:50" ht="19.5" customHeight="1" x14ac:dyDescent="0.25">
      <c r="B82" s="327" t="str">
        <f>IF(AP40&gt;0,AP40,"-")</f>
        <v>Ácido Bórico</v>
      </c>
      <c r="C82" s="327"/>
      <c r="D82" s="108">
        <f>IFERROR(((D83/1000)*$E$18),0)</f>
        <v>5.7142857142857135</v>
      </c>
      <c r="E82" s="354" t="str">
        <f>IF(AV40&gt;0,"quilos para área total","-")</f>
        <v>quilos para área total</v>
      </c>
      <c r="F82" s="354"/>
      <c r="G82" s="354"/>
      <c r="H82" s="102" t="s">
        <v>447</v>
      </c>
      <c r="I82" s="102">
        <f>I83*$E$18*$I$18</f>
        <v>31.542857142857137</v>
      </c>
      <c r="M82" s="303"/>
      <c r="N82" s="332"/>
      <c r="O82" s="188"/>
      <c r="P82" s="188"/>
      <c r="Q82" s="188"/>
      <c r="R82" s="209"/>
      <c r="U82" s="361"/>
      <c r="V82" s="20">
        <f>'Adubos e corretivos (1)'!C113</f>
        <v>0</v>
      </c>
      <c r="W82" s="20">
        <f>'Adubos e corretivos (1)'!D113</f>
        <v>0</v>
      </c>
      <c r="X82" s="20">
        <f>'Adubos e corretivos (1)'!E113</f>
        <v>0</v>
      </c>
      <c r="Y82" s="20">
        <f>'Adubos e corretivos (1)'!F113</f>
        <v>0</v>
      </c>
      <c r="Z82" s="20">
        <f>'Adubos e corretivos (1)'!G113</f>
        <v>0</v>
      </c>
      <c r="AS82" s="188"/>
      <c r="AT82" s="188"/>
      <c r="AU82" s="188"/>
      <c r="AV82" s="188"/>
      <c r="AW82" s="188"/>
      <c r="AX82" s="188"/>
    </row>
    <row r="83" spans="2:50" ht="19.5" customHeight="1" x14ac:dyDescent="0.25">
      <c r="B83" s="327"/>
      <c r="C83" s="327"/>
      <c r="D83" s="108">
        <f>IF(AV40&gt;0,AV40,"-")</f>
        <v>45.714285714285708</v>
      </c>
      <c r="E83" s="332" t="str">
        <f>IF(AV40&gt;0,"gramas por planta","-")</f>
        <v>gramas por planta</v>
      </c>
      <c r="F83" s="332"/>
      <c r="G83" s="332"/>
      <c r="H83" s="102" t="s">
        <v>446</v>
      </c>
      <c r="I83" s="102">
        <f>IFERROR((D83/1000)*VLOOKUP(B82,$V$100:$W$179,2,0),0)</f>
        <v>0.25234285714285709</v>
      </c>
      <c r="M83" s="303"/>
      <c r="N83" s="332"/>
      <c r="O83" s="332" t="s">
        <v>238</v>
      </c>
      <c r="P83" s="332"/>
      <c r="Q83" s="332"/>
      <c r="R83" s="209"/>
      <c r="AS83" s="188"/>
      <c r="AT83" s="188"/>
      <c r="AU83" s="188"/>
      <c r="AV83" s="188"/>
      <c r="AW83" s="188"/>
      <c r="AX83" s="188"/>
    </row>
    <row r="84" spans="2:50" ht="19.5" customHeight="1" x14ac:dyDescent="0.25">
      <c r="M84" s="303"/>
      <c r="N84" s="332"/>
      <c r="O84" s="188"/>
      <c r="P84" s="188"/>
      <c r="Q84" s="188"/>
      <c r="R84" s="209"/>
      <c r="AS84" s="188"/>
      <c r="AT84" s="188"/>
      <c r="AU84" s="188"/>
      <c r="AV84" s="188"/>
      <c r="AW84" s="188"/>
      <c r="AX84" s="188"/>
    </row>
    <row r="85" spans="2:50" ht="19.5" customHeight="1" x14ac:dyDescent="0.25">
      <c r="B85" s="327" t="str">
        <f>IF(AP41&gt;0,AP41,"-")</f>
        <v>Sulfato de cobre</v>
      </c>
      <c r="C85" s="327"/>
      <c r="D85" s="108">
        <f>IFERROR(((D86/1000)*$E$18),0)</f>
        <v>0</v>
      </c>
      <c r="E85" s="354" t="str">
        <f>IF(AV41&gt;0,"quilos para área total","-")</f>
        <v>-</v>
      </c>
      <c r="F85" s="354"/>
      <c r="G85" s="354"/>
      <c r="H85" s="102" t="s">
        <v>447</v>
      </c>
      <c r="I85" s="102">
        <f>I86*$E$18*$I$18</f>
        <v>0</v>
      </c>
      <c r="M85" s="303"/>
      <c r="N85" s="332"/>
      <c r="O85" s="351" t="s">
        <v>228</v>
      </c>
      <c r="P85" s="352"/>
      <c r="Q85" s="353"/>
      <c r="R85" s="209"/>
      <c r="U85" s="350" t="s">
        <v>124</v>
      </c>
      <c r="V85" s="350" t="s">
        <v>76</v>
      </c>
      <c r="W85" s="350" t="s">
        <v>77</v>
      </c>
      <c r="X85" s="350" t="s">
        <v>78</v>
      </c>
      <c r="Y85" s="350"/>
      <c r="Z85" s="350"/>
      <c r="AA85" s="350"/>
      <c r="AB85" s="350"/>
      <c r="AC85" s="350"/>
      <c r="AD85" s="350"/>
      <c r="AE85" s="350"/>
      <c r="AS85" s="188"/>
      <c r="AT85" s="188"/>
      <c r="AU85" s="188"/>
      <c r="AV85" s="188"/>
      <c r="AW85" s="188"/>
      <c r="AX85" s="188"/>
    </row>
    <row r="86" spans="2:50" ht="19.5" customHeight="1" x14ac:dyDescent="0.25">
      <c r="B86" s="327"/>
      <c r="C86" s="327"/>
      <c r="D86" s="108" t="str">
        <f>IF(AV41&gt;0,AV41,"-")</f>
        <v>-</v>
      </c>
      <c r="E86" s="332" t="str">
        <f>IF(AV41&gt;0,"gramas por planta","-")</f>
        <v>-</v>
      </c>
      <c r="F86" s="332"/>
      <c r="G86" s="332"/>
      <c r="H86" s="102" t="s">
        <v>446</v>
      </c>
      <c r="I86" s="102">
        <f>IFERROR(((D86/1000)*VLOOKUP(B85,$V$100:$W$179,2,0)),0)</f>
        <v>0</v>
      </c>
      <c r="M86" s="303"/>
      <c r="N86" s="332"/>
      <c r="O86" s="351" t="s">
        <v>225</v>
      </c>
      <c r="P86" s="352"/>
      <c r="Q86" s="353"/>
      <c r="R86" s="209"/>
      <c r="U86" s="350"/>
      <c r="V86" s="350"/>
      <c r="W86" s="350"/>
      <c r="X86" s="195" t="s">
        <v>106</v>
      </c>
      <c r="Y86" s="195" t="s">
        <v>79</v>
      </c>
      <c r="Z86" s="195" t="s">
        <v>66</v>
      </c>
      <c r="AA86" s="195" t="s">
        <v>80</v>
      </c>
      <c r="AB86" s="195" t="s">
        <v>67</v>
      </c>
      <c r="AC86" s="195" t="s">
        <v>172</v>
      </c>
      <c r="AD86" s="195" t="s">
        <v>173</v>
      </c>
      <c r="AE86" s="195" t="s">
        <v>183</v>
      </c>
      <c r="AS86" s="188"/>
      <c r="AT86" s="188"/>
      <c r="AU86" s="188"/>
      <c r="AV86" s="188"/>
      <c r="AW86" s="188"/>
      <c r="AX86" s="188"/>
    </row>
    <row r="87" spans="2:50" ht="19.5" customHeight="1" x14ac:dyDescent="0.25">
      <c r="J87" s="97"/>
      <c r="M87" s="303"/>
      <c r="N87" s="332"/>
      <c r="O87" s="330" t="s">
        <v>441</v>
      </c>
      <c r="P87" s="330"/>
      <c r="Q87" s="18">
        <v>1</v>
      </c>
      <c r="R87" s="209"/>
      <c r="U87" s="362" t="s">
        <v>175</v>
      </c>
      <c r="V87" s="22" t="str">
        <f>V160</f>
        <v>Micaxisto (61) 3233-9368</v>
      </c>
      <c r="W87" s="22">
        <f>W160</f>
        <v>0.12</v>
      </c>
      <c r="X87" s="22">
        <f>AL160</f>
        <v>0</v>
      </c>
      <c r="Y87" s="22">
        <f t="shared" ref="Y87:AB95" si="11">Y160</f>
        <v>4.4999999999999998E-2</v>
      </c>
      <c r="Z87" s="22">
        <f t="shared" si="11"/>
        <v>0.1</v>
      </c>
      <c r="AA87" s="22">
        <f t="shared" si="11"/>
        <v>4.32</v>
      </c>
      <c r="AB87" s="22">
        <f t="shared" si="11"/>
        <v>5.2</v>
      </c>
      <c r="AC87" s="23">
        <f>AC160*0.602</f>
        <v>0.75776223776223772</v>
      </c>
      <c r="AD87" s="23">
        <f>AD160*0.715</f>
        <v>0.83139534883720934</v>
      </c>
      <c r="AE87" s="23">
        <f t="shared" ref="AE87:AE95" si="12">AB87+AC87+AD87</f>
        <v>6.7891575865994476</v>
      </c>
      <c r="AS87" s="188"/>
      <c r="AT87" s="188"/>
      <c r="AU87" s="188"/>
      <c r="AV87" s="188"/>
      <c r="AW87" s="188"/>
      <c r="AX87" s="188"/>
    </row>
    <row r="88" spans="2:50" ht="19.5" customHeight="1" x14ac:dyDescent="0.25">
      <c r="B88" s="327" t="str">
        <f>IF(AP42&gt;0,AP42,"-")</f>
        <v>Sulfato de zinco</v>
      </c>
      <c r="C88" s="327"/>
      <c r="D88" s="108">
        <f>IFERROR(((D89/1000)*$E$18),0)</f>
        <v>0</v>
      </c>
      <c r="E88" s="354" t="str">
        <f>IF(AV42&gt;0,"quilos para área total","-")</f>
        <v>-</v>
      </c>
      <c r="F88" s="354"/>
      <c r="G88" s="354"/>
      <c r="H88" s="102" t="s">
        <v>447</v>
      </c>
      <c r="I88" s="102">
        <f>I89*$E$18*$I$18</f>
        <v>0</v>
      </c>
      <c r="J88" s="97"/>
      <c r="M88" s="303"/>
      <c r="N88" s="332"/>
      <c r="O88" s="330"/>
      <c r="P88" s="330"/>
      <c r="Q88" s="18"/>
      <c r="R88" s="209"/>
      <c r="U88" s="362"/>
      <c r="V88" s="22" t="str">
        <f t="shared" ref="V88:W95" si="13">V161</f>
        <v xml:space="preserve"> Remax Mistel (61) 99414-1975</v>
      </c>
      <c r="W88" s="22">
        <f t="shared" si="13"/>
        <v>0</v>
      </c>
      <c r="X88" s="22">
        <f t="shared" ref="X88:X95" si="14">AL161</f>
        <v>43.8</v>
      </c>
      <c r="Y88" s="22">
        <f t="shared" si="11"/>
        <v>4.4999999999999998E-2</v>
      </c>
      <c r="Z88" s="22">
        <f t="shared" si="11"/>
        <v>0.1</v>
      </c>
      <c r="AA88" s="22">
        <f t="shared" si="11"/>
        <v>2.1949999999999998</v>
      </c>
      <c r="AB88" s="22">
        <f t="shared" si="11"/>
        <v>2.6</v>
      </c>
      <c r="AC88" s="23">
        <f t="shared" ref="AC88:AC95" si="15">AC161*0.602</f>
        <v>11.282237762237763</v>
      </c>
      <c r="AD88" s="23">
        <f t="shared" ref="AD88:AD95" si="16">AD161*0.715</f>
        <v>8.8959302325581397</v>
      </c>
      <c r="AE88" s="23">
        <f t="shared" si="12"/>
        <v>22.778167994795901</v>
      </c>
      <c r="AS88" s="188"/>
      <c r="AT88" s="188"/>
      <c r="AU88" s="188"/>
      <c r="AV88" s="188"/>
      <c r="AW88" s="188"/>
      <c r="AX88" s="188"/>
    </row>
    <row r="89" spans="2:50" ht="19.5" customHeight="1" x14ac:dyDescent="0.25">
      <c r="B89" s="327"/>
      <c r="C89" s="327"/>
      <c r="D89" s="108" t="str">
        <f>IF(AV42&gt;0,AV42,"-")</f>
        <v>-</v>
      </c>
      <c r="E89" s="332" t="str">
        <f>IF(AV42&gt;0,"gramas por planta","-")</f>
        <v>-</v>
      </c>
      <c r="F89" s="332"/>
      <c r="G89" s="332"/>
      <c r="H89" s="102" t="s">
        <v>446</v>
      </c>
      <c r="I89" s="102">
        <f>IFERROR((D89/1000)*VLOOKUP(B88,$V$100:$W$179,2,0),0)</f>
        <v>0</v>
      </c>
      <c r="J89" s="97"/>
      <c r="M89" s="303"/>
      <c r="N89" s="332"/>
      <c r="O89" s="330"/>
      <c r="P89" s="330"/>
      <c r="Q89" s="18"/>
      <c r="R89" s="209"/>
      <c r="U89" s="362"/>
      <c r="V89" s="22" t="str">
        <f t="shared" si="13"/>
        <v xml:space="preserve">Pó de brita Fmx (62) 3924 8565 </v>
      </c>
      <c r="W89" s="22">
        <f t="shared" si="13"/>
        <v>0</v>
      </c>
      <c r="X89" s="22">
        <f t="shared" si="14"/>
        <v>0</v>
      </c>
      <c r="Y89" s="22">
        <f t="shared" si="11"/>
        <v>0</v>
      </c>
      <c r="Z89" s="22">
        <f t="shared" si="11"/>
        <v>0</v>
      </c>
      <c r="AA89" s="22">
        <f t="shared" si="11"/>
        <v>4.99</v>
      </c>
      <c r="AB89" s="22">
        <f t="shared" si="11"/>
        <v>6</v>
      </c>
      <c r="AC89" s="23">
        <f t="shared" si="15"/>
        <v>2.5258741258741257</v>
      </c>
      <c r="AD89" s="23">
        <f t="shared" si="16"/>
        <v>0.59385382059800662</v>
      </c>
      <c r="AE89" s="23">
        <f t="shared" si="12"/>
        <v>9.1197279464721319</v>
      </c>
      <c r="AS89" s="188"/>
      <c r="AT89" s="188"/>
      <c r="AU89" s="188"/>
      <c r="AV89" s="188"/>
      <c r="AW89" s="188"/>
      <c r="AX89" s="188"/>
    </row>
    <row r="90" spans="2:50" ht="19.5" customHeight="1" x14ac:dyDescent="0.25">
      <c r="M90" s="189"/>
      <c r="N90" s="188"/>
      <c r="O90" s="188"/>
      <c r="P90" s="188"/>
      <c r="Q90" s="188"/>
      <c r="R90" s="209"/>
      <c r="U90" s="362"/>
      <c r="V90" s="22" t="str">
        <f t="shared" si="13"/>
        <v xml:space="preserve">Biotita Xisto (61) 3233-9368 </v>
      </c>
      <c r="W90" s="22">
        <f t="shared" si="13"/>
        <v>0</v>
      </c>
      <c r="X90" s="22">
        <f t="shared" si="14"/>
        <v>57.8</v>
      </c>
      <c r="Y90" s="22">
        <f t="shared" si="11"/>
        <v>8.7999999999999995E-2</v>
      </c>
      <c r="Z90" s="22">
        <f t="shared" si="11"/>
        <v>0.2</v>
      </c>
      <c r="AA90" s="22">
        <f t="shared" si="11"/>
        <v>2.83</v>
      </c>
      <c r="AB90" s="22">
        <f t="shared" si="11"/>
        <v>3.4</v>
      </c>
      <c r="AC90" s="23">
        <f t="shared" si="15"/>
        <v>1.5155244755244754</v>
      </c>
      <c r="AD90" s="23">
        <f t="shared" si="16"/>
        <v>5.4634551495016606</v>
      </c>
      <c r="AE90" s="23">
        <f t="shared" si="12"/>
        <v>10.378979625026137</v>
      </c>
      <c r="AS90" s="188"/>
      <c r="AT90" s="188"/>
      <c r="AU90" s="188"/>
      <c r="AV90" s="188"/>
      <c r="AW90" s="188"/>
      <c r="AX90" s="188"/>
    </row>
    <row r="91" spans="2:50" ht="19.5" customHeight="1" x14ac:dyDescent="0.25">
      <c r="B91" s="327" t="str">
        <f>IF(AP43&gt;0,AP43,"-")</f>
        <v>Sulfato de manganês</v>
      </c>
      <c r="C91" s="327"/>
      <c r="D91" s="108">
        <f>IFERROR(((D92/1000)*$E$18),0)</f>
        <v>0</v>
      </c>
      <c r="E91" s="354" t="str">
        <f>IF(AV43&gt;0,"quilos para área total","-")</f>
        <v>-</v>
      </c>
      <c r="F91" s="354"/>
      <c r="G91" s="354"/>
      <c r="H91" s="102" t="s">
        <v>447</v>
      </c>
      <c r="I91" s="102">
        <f>I92*$E$18*$I$18</f>
        <v>0</v>
      </c>
      <c r="M91" s="189"/>
      <c r="N91" s="188"/>
      <c r="O91" s="332" t="s">
        <v>238</v>
      </c>
      <c r="P91" s="332"/>
      <c r="Q91" s="332"/>
      <c r="R91" s="209"/>
      <c r="U91" s="362"/>
      <c r="V91" s="22" t="str">
        <f t="shared" si="13"/>
        <v>Kamafugito</v>
      </c>
      <c r="W91" s="22">
        <f t="shared" si="13"/>
        <v>0</v>
      </c>
      <c r="X91" s="22">
        <f t="shared" si="14"/>
        <v>0</v>
      </c>
      <c r="Y91" s="22">
        <f t="shared" si="11"/>
        <v>1.5069999999999999</v>
      </c>
      <c r="Z91" s="22">
        <f t="shared" si="11"/>
        <v>3.5</v>
      </c>
      <c r="AA91" s="22">
        <f t="shared" si="11"/>
        <v>3.3250000000000002</v>
      </c>
      <c r="AB91" s="22">
        <f t="shared" si="11"/>
        <v>4</v>
      </c>
      <c r="AC91" s="23">
        <f t="shared" si="15"/>
        <v>1.7217199999999999</v>
      </c>
      <c r="AD91" s="23">
        <f t="shared" si="16"/>
        <v>0</v>
      </c>
      <c r="AE91" s="23">
        <f t="shared" si="12"/>
        <v>5.7217199999999995</v>
      </c>
      <c r="AS91" s="188"/>
      <c r="AT91" s="188"/>
      <c r="AU91" s="188"/>
      <c r="AV91" s="188"/>
      <c r="AW91" s="188"/>
      <c r="AX91" s="188"/>
    </row>
    <row r="92" spans="2:50" ht="19.5" customHeight="1" thickBot="1" x14ac:dyDescent="0.3">
      <c r="B92" s="327"/>
      <c r="C92" s="327"/>
      <c r="D92" s="108" t="str">
        <f>IF(AV43&gt;0,AV43,"-")</f>
        <v>-</v>
      </c>
      <c r="E92" s="332" t="str">
        <f>IF(AV43&gt;0,"gramas por planta","-")</f>
        <v>-</v>
      </c>
      <c r="F92" s="332"/>
      <c r="G92" s="332"/>
      <c r="H92" s="102" t="s">
        <v>446</v>
      </c>
      <c r="I92" s="102">
        <f>IFERROR((D92/1000)*VLOOKUP(B91,$V$100:$W$179,2,0),0)</f>
        <v>0</v>
      </c>
      <c r="M92" s="210"/>
      <c r="N92" s="200"/>
      <c r="O92" s="200"/>
      <c r="P92" s="200"/>
      <c r="Q92" s="200"/>
      <c r="R92" s="211"/>
      <c r="U92" s="362"/>
      <c r="V92" s="22">
        <f t="shared" si="13"/>
        <v>0</v>
      </c>
      <c r="W92" s="22">
        <f t="shared" si="13"/>
        <v>0</v>
      </c>
      <c r="X92" s="22">
        <f t="shared" si="14"/>
        <v>0</v>
      </c>
      <c r="Y92" s="22">
        <f t="shared" si="11"/>
        <v>0</v>
      </c>
      <c r="Z92" s="22">
        <f t="shared" si="11"/>
        <v>0</v>
      </c>
      <c r="AA92" s="22">
        <f t="shared" si="11"/>
        <v>0</v>
      </c>
      <c r="AB92" s="22">
        <f t="shared" si="11"/>
        <v>0</v>
      </c>
      <c r="AC92" s="23">
        <f t="shared" si="15"/>
        <v>0</v>
      </c>
      <c r="AD92" s="23">
        <f t="shared" si="16"/>
        <v>0</v>
      </c>
      <c r="AE92" s="23">
        <f t="shared" si="12"/>
        <v>0</v>
      </c>
      <c r="AS92" s="188"/>
      <c r="AT92" s="188"/>
      <c r="AU92" s="188"/>
      <c r="AV92" s="188"/>
      <c r="AW92" s="188"/>
      <c r="AX92" s="188"/>
    </row>
    <row r="93" spans="2:50" ht="19.5" customHeight="1" thickBot="1" x14ac:dyDescent="0.3">
      <c r="J93" s="98"/>
      <c r="U93" s="362"/>
      <c r="V93" s="22">
        <f t="shared" si="13"/>
        <v>0</v>
      </c>
      <c r="W93" s="22">
        <f t="shared" si="13"/>
        <v>0</v>
      </c>
      <c r="X93" s="22">
        <f t="shared" si="14"/>
        <v>0</v>
      </c>
      <c r="Y93" s="22">
        <f t="shared" si="11"/>
        <v>0</v>
      </c>
      <c r="Z93" s="22">
        <f t="shared" si="11"/>
        <v>0</v>
      </c>
      <c r="AA93" s="22">
        <f t="shared" si="11"/>
        <v>0</v>
      </c>
      <c r="AB93" s="22">
        <f t="shared" si="11"/>
        <v>0</v>
      </c>
      <c r="AC93" s="23">
        <f t="shared" si="15"/>
        <v>0</v>
      </c>
      <c r="AD93" s="23">
        <f t="shared" si="16"/>
        <v>0</v>
      </c>
      <c r="AE93" s="23">
        <f t="shared" si="12"/>
        <v>0</v>
      </c>
      <c r="AS93" s="188"/>
      <c r="AT93" s="188"/>
      <c r="AU93" s="188"/>
      <c r="AV93" s="188"/>
      <c r="AW93" s="188"/>
      <c r="AX93" s="188"/>
    </row>
    <row r="94" spans="2:50" ht="19.5" customHeight="1" x14ac:dyDescent="0.25">
      <c r="B94" s="327" t="str">
        <f>IF(AP44&gt;0,AP44,"-")</f>
        <v>-</v>
      </c>
      <c r="C94" s="327"/>
      <c r="D94" s="108">
        <f>IFERROR(((D95/1000)*$E$18),0)</f>
        <v>0</v>
      </c>
      <c r="E94" s="354" t="str">
        <f>IF(AV44&gt;0,"quilos para área total","-")</f>
        <v>-</v>
      </c>
      <c r="F94" s="354"/>
      <c r="G94" s="354"/>
      <c r="H94" s="102" t="s">
        <v>447</v>
      </c>
      <c r="I94" s="102">
        <f>I95*$E$18*$I$18</f>
        <v>0</v>
      </c>
      <c r="J94" s="98"/>
      <c r="M94" s="207"/>
      <c r="N94" s="201"/>
      <c r="O94" s="201"/>
      <c r="P94" s="201"/>
      <c r="Q94" s="201"/>
      <c r="R94" s="208"/>
      <c r="U94" s="362"/>
      <c r="V94" s="22">
        <f t="shared" si="13"/>
        <v>0</v>
      </c>
      <c r="W94" s="22">
        <f t="shared" si="13"/>
        <v>0</v>
      </c>
      <c r="X94" s="22">
        <f t="shared" si="14"/>
        <v>0</v>
      </c>
      <c r="Y94" s="22">
        <f t="shared" si="11"/>
        <v>0</v>
      </c>
      <c r="Z94" s="22">
        <f t="shared" si="11"/>
        <v>0</v>
      </c>
      <c r="AA94" s="22">
        <f t="shared" si="11"/>
        <v>0</v>
      </c>
      <c r="AB94" s="22">
        <f t="shared" si="11"/>
        <v>0</v>
      </c>
      <c r="AC94" s="23">
        <f t="shared" si="15"/>
        <v>0</v>
      </c>
      <c r="AD94" s="23">
        <f t="shared" si="16"/>
        <v>0</v>
      </c>
      <c r="AE94" s="23">
        <f t="shared" si="12"/>
        <v>0</v>
      </c>
      <c r="AS94" s="188"/>
      <c r="AT94" s="188"/>
      <c r="AU94" s="188"/>
      <c r="AV94" s="188"/>
      <c r="AW94" s="188"/>
      <c r="AX94" s="188"/>
    </row>
    <row r="95" spans="2:50" ht="19.5" customHeight="1" x14ac:dyDescent="0.25">
      <c r="B95" s="327"/>
      <c r="C95" s="327"/>
      <c r="D95" s="108" t="str">
        <f>IF(AV44&gt;0,AV44,"-")</f>
        <v>-</v>
      </c>
      <c r="E95" s="332" t="str">
        <f>IF(AV44&gt;0,"gramas por planta","-")</f>
        <v>-</v>
      </c>
      <c r="F95" s="332"/>
      <c r="G95" s="332"/>
      <c r="H95" s="102" t="s">
        <v>446</v>
      </c>
      <c r="I95" s="102">
        <f>IFERROR((D95/1000)*VLOOKUP(B94,$V$100:$W$179,2,0),0)</f>
        <v>0</v>
      </c>
      <c r="M95" s="303" t="s">
        <v>243</v>
      </c>
      <c r="N95" s="304"/>
      <c r="O95" s="25" t="s">
        <v>33</v>
      </c>
      <c r="P95" s="25" t="s">
        <v>198</v>
      </c>
      <c r="Q95" s="25" t="s">
        <v>199</v>
      </c>
      <c r="R95" s="209"/>
      <c r="U95" s="362"/>
      <c r="V95" s="22">
        <f t="shared" si="13"/>
        <v>0</v>
      </c>
      <c r="W95" s="22">
        <f t="shared" si="13"/>
        <v>0</v>
      </c>
      <c r="X95" s="22">
        <f t="shared" si="14"/>
        <v>0</v>
      </c>
      <c r="Y95" s="22">
        <f t="shared" si="11"/>
        <v>0</v>
      </c>
      <c r="Z95" s="22">
        <f t="shared" si="11"/>
        <v>0</v>
      </c>
      <c r="AA95" s="22">
        <f t="shared" si="11"/>
        <v>0</v>
      </c>
      <c r="AB95" s="22">
        <f t="shared" si="11"/>
        <v>0</v>
      </c>
      <c r="AC95" s="23">
        <f t="shared" si="15"/>
        <v>0</v>
      </c>
      <c r="AD95" s="23">
        <f t="shared" si="16"/>
        <v>0</v>
      </c>
      <c r="AE95" s="23">
        <f t="shared" si="12"/>
        <v>0</v>
      </c>
      <c r="AS95" s="188"/>
      <c r="AT95" s="188"/>
      <c r="AU95" s="188"/>
      <c r="AV95" s="188"/>
      <c r="AW95" s="188"/>
      <c r="AX95" s="188"/>
    </row>
    <row r="96" spans="2:50" ht="19.5" customHeight="1" x14ac:dyDescent="0.25">
      <c r="G96" s="21"/>
      <c r="H96" s="21"/>
      <c r="I96" s="21"/>
      <c r="M96" s="303" t="s">
        <v>236</v>
      </c>
      <c r="N96" s="304"/>
      <c r="O96" s="26">
        <f>$AC$30</f>
        <v>720</v>
      </c>
      <c r="P96" s="26">
        <f>$AC$31</f>
        <v>176</v>
      </c>
      <c r="Q96" s="26">
        <f>$AC$32</f>
        <v>200</v>
      </c>
      <c r="R96" s="209"/>
      <c r="AS96" s="188"/>
      <c r="AT96" s="188"/>
      <c r="AU96" s="188"/>
      <c r="AV96" s="188"/>
      <c r="AW96" s="188"/>
      <c r="AX96" s="188"/>
    </row>
    <row r="97" spans="1:50" ht="19.5" customHeight="1" x14ac:dyDescent="0.25">
      <c r="A97" s="30"/>
      <c r="B97" s="328" t="s">
        <v>406</v>
      </c>
      <c r="C97" s="328"/>
      <c r="D97" s="328"/>
      <c r="E97" s="328"/>
      <c r="F97" s="328"/>
      <c r="G97" s="328"/>
      <c r="H97" s="328"/>
      <c r="I97" s="328"/>
      <c r="M97" s="303" t="s">
        <v>244</v>
      </c>
      <c r="N97" s="304"/>
      <c r="O97" s="2">
        <f>AS21</f>
        <v>0</v>
      </c>
      <c r="P97" s="2">
        <f>AT21</f>
        <v>0</v>
      </c>
      <c r="Q97" s="2">
        <f>AU21</f>
        <v>0</v>
      </c>
      <c r="R97" s="209"/>
      <c r="AS97" s="188"/>
      <c r="AT97" s="188"/>
      <c r="AU97" s="188"/>
      <c r="AV97" s="188"/>
      <c r="AW97" s="188"/>
      <c r="AX97" s="188"/>
    </row>
    <row r="98" spans="1:50" ht="19.5" customHeight="1" thickBot="1" x14ac:dyDescent="0.3">
      <c r="A98" s="199"/>
      <c r="B98" s="328"/>
      <c r="C98" s="328"/>
      <c r="D98" s="328"/>
      <c r="E98" s="328"/>
      <c r="F98" s="328"/>
      <c r="G98" s="328"/>
      <c r="H98" s="328"/>
      <c r="I98" s="328"/>
      <c r="M98" s="210"/>
      <c r="N98" s="200"/>
      <c r="O98" s="200"/>
      <c r="P98" s="200"/>
      <c r="Q98" s="200"/>
      <c r="R98" s="211"/>
      <c r="U98" s="363" t="s">
        <v>124</v>
      </c>
      <c r="V98" s="363" t="s">
        <v>76</v>
      </c>
      <c r="W98" s="363" t="s">
        <v>77</v>
      </c>
      <c r="X98" s="363" t="s">
        <v>78</v>
      </c>
      <c r="Y98" s="363"/>
      <c r="Z98" s="363"/>
      <c r="AA98" s="363"/>
      <c r="AB98" s="363"/>
      <c r="AC98" s="363"/>
      <c r="AD98" s="363"/>
      <c r="AE98" s="363"/>
      <c r="AF98" s="363"/>
      <c r="AG98" s="363"/>
      <c r="AH98" s="363"/>
      <c r="AI98" s="363"/>
      <c r="AJ98" s="363"/>
      <c r="AK98" s="363"/>
      <c r="AL98" s="363"/>
      <c r="AM98" s="363"/>
      <c r="AN98" s="363"/>
      <c r="AO98" s="363"/>
      <c r="AS98" s="188"/>
      <c r="AT98" s="188"/>
      <c r="AU98" s="188"/>
      <c r="AV98" s="188"/>
      <c r="AW98" s="188"/>
      <c r="AX98" s="188"/>
    </row>
    <row r="99" spans="1:50" ht="19.5" customHeight="1" thickBot="1" x14ac:dyDescent="0.3">
      <c r="A99" s="199"/>
      <c r="B99" s="328"/>
      <c r="C99" s="328"/>
      <c r="D99" s="328"/>
      <c r="E99" s="328"/>
      <c r="F99" s="328"/>
      <c r="G99" s="328"/>
      <c r="H99" s="328"/>
      <c r="I99" s="328"/>
      <c r="U99" s="363"/>
      <c r="V99" s="363"/>
      <c r="W99" s="363"/>
      <c r="X99" s="198" t="s">
        <v>33</v>
      </c>
      <c r="Y99" s="198" t="s">
        <v>79</v>
      </c>
      <c r="Z99" s="198" t="s">
        <v>66</v>
      </c>
      <c r="AA99" s="198" t="s">
        <v>80</v>
      </c>
      <c r="AB99" s="198" t="s">
        <v>67</v>
      </c>
      <c r="AC99" s="198" t="s">
        <v>81</v>
      </c>
      <c r="AD99" s="198" t="s">
        <v>82</v>
      </c>
      <c r="AE99" s="198" t="s">
        <v>83</v>
      </c>
      <c r="AF99" s="198" t="s">
        <v>84</v>
      </c>
      <c r="AG99" s="198" t="s">
        <v>85</v>
      </c>
      <c r="AH99" s="198" t="s">
        <v>86</v>
      </c>
      <c r="AI99" s="198" t="s">
        <v>87</v>
      </c>
      <c r="AJ99" s="198" t="s">
        <v>88</v>
      </c>
      <c r="AK99" s="198" t="s">
        <v>89</v>
      </c>
      <c r="AL99" s="198" t="s">
        <v>106</v>
      </c>
      <c r="AM99" s="198" t="s">
        <v>90</v>
      </c>
      <c r="AN99" s="198" t="s">
        <v>91</v>
      </c>
      <c r="AO99" s="198" t="s">
        <v>92</v>
      </c>
      <c r="AS99" s="188"/>
      <c r="AT99" s="188"/>
      <c r="AU99" s="188"/>
      <c r="AV99" s="188"/>
      <c r="AW99" s="188"/>
      <c r="AX99" s="188"/>
    </row>
    <row r="100" spans="1:50" ht="19.5" customHeight="1" x14ac:dyDescent="0.25">
      <c r="A100" s="188"/>
      <c r="B100" s="328"/>
      <c r="C100" s="328"/>
      <c r="D100" s="328"/>
      <c r="E100" s="328"/>
      <c r="F100" s="328"/>
      <c r="G100" s="328"/>
      <c r="H100" s="328"/>
      <c r="I100" s="328"/>
      <c r="M100" s="207"/>
      <c r="N100" s="201"/>
      <c r="O100" s="201"/>
      <c r="P100" s="201"/>
      <c r="Q100" s="201"/>
      <c r="R100" s="208"/>
      <c r="U100" s="260" t="s">
        <v>202</v>
      </c>
      <c r="V100" s="27" t="str">
        <f>'Adubos e corretivos (1)'!C3</f>
        <v>Uréia</v>
      </c>
      <c r="W100" s="27">
        <f>'Adubos e corretivos (1)'!D3</f>
        <v>2.8</v>
      </c>
      <c r="X100" s="27">
        <f>'Adubos e corretivos (1)'!E3</f>
        <v>45</v>
      </c>
      <c r="Y100" s="27">
        <f>'Adubos e corretivos (1)'!F3</f>
        <v>0</v>
      </c>
      <c r="Z100" s="27">
        <f>'Adubos e corretivos (1)'!G3</f>
        <v>0</v>
      </c>
      <c r="AA100" s="27">
        <f>'Adubos e corretivos (1)'!H3</f>
        <v>0</v>
      </c>
      <c r="AB100" s="27">
        <f>'Adubos e corretivos (1)'!I3</f>
        <v>0</v>
      </c>
      <c r="AC100" s="27">
        <f>'Adubos e corretivos (1)'!J3</f>
        <v>0</v>
      </c>
      <c r="AD100" s="27">
        <f>'Adubos e corretivos (1)'!K3</f>
        <v>0</v>
      </c>
      <c r="AE100" s="27">
        <f>'Adubos e corretivos (1)'!L3</f>
        <v>0</v>
      </c>
      <c r="AF100" s="27">
        <f>'Adubos e corretivos (1)'!M3</f>
        <v>0</v>
      </c>
      <c r="AG100" s="27">
        <f>'Adubos e corretivos (1)'!N3</f>
        <v>0</v>
      </c>
      <c r="AH100" s="27">
        <f>'Adubos e corretivos (1)'!O3</f>
        <v>0</v>
      </c>
      <c r="AI100" s="27">
        <f>'Adubos e corretivos (1)'!P3</f>
        <v>0</v>
      </c>
      <c r="AJ100" s="27">
        <f>'Adubos e corretivos (1)'!Q3</f>
        <v>0</v>
      </c>
      <c r="AK100" s="27">
        <f>'Adubos e corretivos (1)'!R3</f>
        <v>0</v>
      </c>
      <c r="AL100" s="27">
        <f>'Adubos e corretivos (1)'!S3</f>
        <v>0</v>
      </c>
      <c r="AM100" s="27">
        <f>'Adubos e corretivos (1)'!T3</f>
        <v>45</v>
      </c>
      <c r="AN100" s="27">
        <f>'Adubos e corretivos (1)'!U3</f>
        <v>0</v>
      </c>
      <c r="AO100" s="27">
        <f>'Adubos e corretivos (1)'!V3</f>
        <v>0</v>
      </c>
      <c r="AS100" s="188"/>
      <c r="AT100" s="188"/>
      <c r="AU100" s="188"/>
      <c r="AV100" s="188"/>
      <c r="AW100" s="188"/>
      <c r="AX100" s="188"/>
    </row>
    <row r="101" spans="1:50" ht="19.5" customHeight="1" thickBot="1" x14ac:dyDescent="0.3">
      <c r="A101" s="188"/>
      <c r="B101" s="111"/>
      <c r="C101" s="111"/>
      <c r="D101" s="108"/>
      <c r="H101" s="102"/>
      <c r="I101" s="102"/>
      <c r="M101" s="303" t="s">
        <v>239</v>
      </c>
      <c r="N101" s="304"/>
      <c r="O101" s="364" t="s">
        <v>229</v>
      </c>
      <c r="P101" s="364"/>
      <c r="Q101" s="364"/>
      <c r="R101" s="209"/>
      <c r="U101" s="260"/>
      <c r="V101" s="27" t="str">
        <f>'Adubos e corretivos (1)'!C4</f>
        <v>Sulfato de amônio</v>
      </c>
      <c r="W101" s="27">
        <f>'Adubos e corretivos (1)'!D4</f>
        <v>1.72</v>
      </c>
      <c r="X101" s="27">
        <f>'Adubos e corretivos (1)'!E4</f>
        <v>20</v>
      </c>
      <c r="Y101" s="27">
        <f>'Adubos e corretivos (1)'!F4</f>
        <v>0</v>
      </c>
      <c r="Z101" s="27">
        <f>'Adubos e corretivos (1)'!G4</f>
        <v>0</v>
      </c>
      <c r="AA101" s="27">
        <f>'Adubos e corretivos (1)'!H4</f>
        <v>0</v>
      </c>
      <c r="AB101" s="27">
        <f>'Adubos e corretivos (1)'!I4</f>
        <v>0</v>
      </c>
      <c r="AC101" s="27">
        <f>'Adubos e corretivos (1)'!J4</f>
        <v>0</v>
      </c>
      <c r="AD101" s="27">
        <f>'Adubos e corretivos (1)'!K4</f>
        <v>0</v>
      </c>
      <c r="AE101" s="27">
        <f>'Adubos e corretivos (1)'!L4</f>
        <v>24</v>
      </c>
      <c r="AF101" s="27">
        <f>'Adubos e corretivos (1)'!M4</f>
        <v>0</v>
      </c>
      <c r="AG101" s="27">
        <f>'Adubos e corretivos (1)'!N4</f>
        <v>0</v>
      </c>
      <c r="AH101" s="27">
        <f>'Adubos e corretivos (1)'!O4</f>
        <v>0</v>
      </c>
      <c r="AI101" s="27">
        <f>'Adubos e corretivos (1)'!P4</f>
        <v>0</v>
      </c>
      <c r="AJ101" s="27">
        <f>'Adubos e corretivos (1)'!Q4</f>
        <v>0</v>
      </c>
      <c r="AK101" s="27">
        <f>'Adubos e corretivos (1)'!R4</f>
        <v>0</v>
      </c>
      <c r="AL101" s="27">
        <f>'Adubos e corretivos (1)'!S4</f>
        <v>0</v>
      </c>
      <c r="AM101" s="27">
        <f>'Adubos e corretivos (1)'!T4</f>
        <v>20</v>
      </c>
      <c r="AN101" s="27">
        <f>'Adubos e corretivos (1)'!U4</f>
        <v>0</v>
      </c>
      <c r="AO101" s="27">
        <f>'Adubos e corretivos (1)'!V4</f>
        <v>0</v>
      </c>
      <c r="AS101" s="188"/>
      <c r="AT101" s="188"/>
      <c r="AU101" s="188"/>
      <c r="AV101" s="188"/>
      <c r="AW101" s="188"/>
      <c r="AX101" s="188"/>
    </row>
    <row r="102" spans="1:50" ht="19.5" customHeight="1" thickBot="1" x14ac:dyDescent="0.3">
      <c r="A102" s="188"/>
      <c r="B102" s="321" t="s">
        <v>417</v>
      </c>
      <c r="C102" s="322"/>
      <c r="D102" s="322"/>
      <c r="E102" s="322"/>
      <c r="F102" s="322"/>
      <c r="G102" s="322"/>
      <c r="H102" s="322"/>
      <c r="I102" s="323"/>
      <c r="M102" s="303"/>
      <c r="N102" s="304"/>
      <c r="O102" s="330" t="s">
        <v>285</v>
      </c>
      <c r="P102" s="330"/>
      <c r="Q102" s="330"/>
      <c r="R102" s="209"/>
      <c r="U102" s="260"/>
      <c r="V102" s="27" t="str">
        <f>'Adubos e corretivos (1)'!C5</f>
        <v>Nitrato de Amônio</v>
      </c>
      <c r="W102" s="27">
        <f>'Adubos e corretivos (1)'!D5</f>
        <v>0</v>
      </c>
      <c r="X102" s="27">
        <f>'Adubos e corretivos (1)'!E5</f>
        <v>29</v>
      </c>
      <c r="Y102" s="27">
        <f>'Adubos e corretivos (1)'!F5</f>
        <v>0</v>
      </c>
      <c r="Z102" s="27">
        <f>'Adubos e corretivos (1)'!G5</f>
        <v>0</v>
      </c>
      <c r="AA102" s="27">
        <f>'Adubos e corretivos (1)'!H5</f>
        <v>0</v>
      </c>
      <c r="AB102" s="27">
        <f>'Adubos e corretivos (1)'!I5</f>
        <v>0</v>
      </c>
      <c r="AC102" s="27">
        <f>'Adubos e corretivos (1)'!J5</f>
        <v>0</v>
      </c>
      <c r="AD102" s="27">
        <f>'Adubos e corretivos (1)'!K5</f>
        <v>1</v>
      </c>
      <c r="AE102" s="27">
        <f>'Adubos e corretivos (1)'!L5</f>
        <v>1</v>
      </c>
      <c r="AF102" s="27">
        <f>'Adubos e corretivos (1)'!M5</f>
        <v>0</v>
      </c>
      <c r="AG102" s="27">
        <f>'Adubos e corretivos (1)'!N5</f>
        <v>0</v>
      </c>
      <c r="AH102" s="27">
        <f>'Adubos e corretivos (1)'!O5</f>
        <v>1</v>
      </c>
      <c r="AI102" s="27">
        <f>'Adubos e corretivos (1)'!P5</f>
        <v>0</v>
      </c>
      <c r="AJ102" s="27">
        <f>'Adubos e corretivos (1)'!Q5</f>
        <v>0</v>
      </c>
      <c r="AK102" s="27">
        <f>'Adubos e corretivos (1)'!R5</f>
        <v>0</v>
      </c>
      <c r="AL102" s="27">
        <f>'Adubos e corretivos (1)'!S5</f>
        <v>0</v>
      </c>
      <c r="AM102" s="27">
        <f>'Adubos e corretivos (1)'!T5</f>
        <v>14.5</v>
      </c>
      <c r="AN102" s="27">
        <f>'Adubos e corretivos (1)'!U5</f>
        <v>14.5</v>
      </c>
      <c r="AO102" s="27">
        <f>'Adubos e corretivos (1)'!V5</f>
        <v>1.5</v>
      </c>
      <c r="AS102" s="188"/>
      <c r="AT102" s="188"/>
      <c r="AU102" s="188"/>
      <c r="AV102" s="188"/>
      <c r="AW102" s="188"/>
      <c r="AX102" s="188"/>
    </row>
    <row r="103" spans="1:50" ht="19.5" customHeight="1" x14ac:dyDescent="0.25">
      <c r="M103" s="303"/>
      <c r="N103" s="304"/>
      <c r="O103" s="330" t="s">
        <v>231</v>
      </c>
      <c r="P103" s="330"/>
      <c r="Q103" s="330"/>
      <c r="R103" s="209"/>
      <c r="U103" s="260"/>
      <c r="V103" s="27" t="str">
        <f>'Adubos e corretivos (1)'!C6</f>
        <v>Nitrato de cálcio</v>
      </c>
      <c r="W103" s="27">
        <f>'Adubos e corretivos (1)'!D6</f>
        <v>2.56</v>
      </c>
      <c r="X103" s="27">
        <f>'Adubos e corretivos (1)'!E6</f>
        <v>15</v>
      </c>
      <c r="Y103" s="27">
        <f>'Adubos e corretivos (1)'!F6</f>
        <v>0</v>
      </c>
      <c r="Z103" s="27">
        <f>'Adubos e corretivos (1)'!G6</f>
        <v>0</v>
      </c>
      <c r="AA103" s="27">
        <f>'Adubos e corretivos (1)'!H6</f>
        <v>0</v>
      </c>
      <c r="AB103" s="27">
        <f>'Adubos e corretivos (1)'!I6</f>
        <v>0</v>
      </c>
      <c r="AC103" s="27">
        <f>'Adubos e corretivos (1)'!J6</f>
        <v>19</v>
      </c>
      <c r="AD103" s="27">
        <f>'Adubos e corretivos (1)'!K6</f>
        <v>0</v>
      </c>
      <c r="AE103" s="27">
        <f>'Adubos e corretivos (1)'!L6</f>
        <v>0</v>
      </c>
      <c r="AF103" s="27">
        <f>'Adubos e corretivos (1)'!M6</f>
        <v>0</v>
      </c>
      <c r="AG103" s="27">
        <f>'Adubos e corretivos (1)'!N6</f>
        <v>0</v>
      </c>
      <c r="AH103" s="27">
        <f>'Adubos e corretivos (1)'!O6</f>
        <v>0</v>
      </c>
      <c r="AI103" s="27">
        <f>'Adubos e corretivos (1)'!P6</f>
        <v>0</v>
      </c>
      <c r="AJ103" s="27">
        <f>'Adubos e corretivos (1)'!Q6</f>
        <v>0</v>
      </c>
      <c r="AK103" s="27">
        <f>'Adubos e corretivos (1)'!R6</f>
        <v>0</v>
      </c>
      <c r="AL103" s="27">
        <f>'Adubos e corretivos (1)'!S6</f>
        <v>0</v>
      </c>
      <c r="AM103" s="27">
        <f>'Adubos e corretivos (1)'!T6</f>
        <v>1</v>
      </c>
      <c r="AN103" s="27">
        <f>'Adubos e corretivos (1)'!U6</f>
        <v>14</v>
      </c>
      <c r="AO103" s="27">
        <f>'Adubos e corretivos (1)'!V6</f>
        <v>1.18</v>
      </c>
      <c r="AS103" s="188"/>
      <c r="AT103" s="188"/>
      <c r="AU103" s="188"/>
      <c r="AV103" s="188"/>
      <c r="AW103" s="188"/>
      <c r="AX103" s="188"/>
    </row>
    <row r="104" spans="1:50" ht="19.5" customHeight="1" x14ac:dyDescent="0.25">
      <c r="C104" s="102" t="s">
        <v>457</v>
      </c>
      <c r="D104" s="102"/>
      <c r="G104" s="369">
        <f>IFERROR((I27+I30+I38+I45+I48+I51+I54+I57+I60+I63+I66+I69+I72+I82+I85+I88+I91+I94),0)</f>
        <v>3989.5999484004128</v>
      </c>
      <c r="H104" s="369"/>
      <c r="I104" s="112"/>
      <c r="M104" s="303"/>
      <c r="N104" s="304"/>
      <c r="O104" s="330" t="s">
        <v>97</v>
      </c>
      <c r="P104" s="330"/>
      <c r="Q104" s="330"/>
      <c r="R104" s="209"/>
      <c r="U104" s="260"/>
      <c r="V104" s="27" t="str">
        <f>'Adubos e corretivos (1)'!C7</f>
        <v>Nitrato de magnésio</v>
      </c>
      <c r="W104" s="27">
        <f>'Adubos e corretivos (1)'!D7</f>
        <v>4.5999999999999996</v>
      </c>
      <c r="X104" s="27">
        <f>'Adubos e corretivos (1)'!E7</f>
        <v>11</v>
      </c>
      <c r="Y104" s="27">
        <f>'Adubos e corretivos (1)'!F7</f>
        <v>0</v>
      </c>
      <c r="Z104" s="27">
        <f>'Adubos e corretivos (1)'!G7</f>
        <v>0</v>
      </c>
      <c r="AA104" s="27">
        <f>'Adubos e corretivos (1)'!H7</f>
        <v>0</v>
      </c>
      <c r="AB104" s="27">
        <f>'Adubos e corretivos (1)'!I7</f>
        <v>0</v>
      </c>
      <c r="AC104" s="27">
        <f>'Adubos e corretivos (1)'!J7</f>
        <v>0</v>
      </c>
      <c r="AD104" s="27">
        <f>'Adubos e corretivos (1)'!K7</f>
        <v>9.5</v>
      </c>
      <c r="AE104" s="27">
        <f>'Adubos e corretivos (1)'!L7</f>
        <v>0</v>
      </c>
      <c r="AF104" s="27">
        <f>'Adubos e corretivos (1)'!M7</f>
        <v>0</v>
      </c>
      <c r="AG104" s="27">
        <f>'Adubos e corretivos (1)'!N7</f>
        <v>0</v>
      </c>
      <c r="AH104" s="27">
        <f>'Adubos e corretivos (1)'!O7</f>
        <v>0</v>
      </c>
      <c r="AI104" s="27">
        <f>'Adubos e corretivos (1)'!P7</f>
        <v>0</v>
      </c>
      <c r="AJ104" s="27">
        <f>'Adubos e corretivos (1)'!Q7</f>
        <v>0</v>
      </c>
      <c r="AK104" s="27">
        <f>'Adubos e corretivos (1)'!R7</f>
        <v>0</v>
      </c>
      <c r="AL104" s="27">
        <f>'Adubos e corretivos (1)'!S7</f>
        <v>0</v>
      </c>
      <c r="AM104" s="27">
        <f>'Adubos e corretivos (1)'!T7</f>
        <v>0</v>
      </c>
      <c r="AN104" s="27">
        <f>'Adubos e corretivos (1)'!U7</f>
        <v>11</v>
      </c>
      <c r="AO104" s="27">
        <f>'Adubos e corretivos (1)'!V7</f>
        <v>0.9</v>
      </c>
      <c r="AS104" s="188"/>
      <c r="AT104" s="188"/>
      <c r="AU104" s="188"/>
      <c r="AV104" s="188"/>
      <c r="AW104" s="188"/>
      <c r="AX104" s="188"/>
    </row>
    <row r="105" spans="1:50" ht="19.5" customHeight="1" x14ac:dyDescent="0.25">
      <c r="M105" s="303"/>
      <c r="N105" s="304"/>
      <c r="O105" s="330" t="s">
        <v>96</v>
      </c>
      <c r="P105" s="330"/>
      <c r="Q105" s="330"/>
      <c r="R105" s="209"/>
      <c r="U105" s="260"/>
      <c r="V105" s="27" t="str">
        <f>'Adubos e corretivos (1)'!C8</f>
        <v>Nitrato de potássio</v>
      </c>
      <c r="W105" s="27">
        <f>'Adubos e corretivos (1)'!D8</f>
        <v>5.92</v>
      </c>
      <c r="X105" s="27">
        <f>'Adubos e corretivos (1)'!E8</f>
        <v>12</v>
      </c>
      <c r="Y105" s="27">
        <f>'Adubos e corretivos (1)'!F8</f>
        <v>0</v>
      </c>
      <c r="Z105" s="27">
        <f>'Adubos e corretivos (1)'!G8</f>
        <v>0</v>
      </c>
      <c r="AA105" s="27">
        <f>'Adubos e corretivos (1)'!H8</f>
        <v>38</v>
      </c>
      <c r="AB105" s="27">
        <f>'Adubos e corretivos (1)'!I8</f>
        <v>0</v>
      </c>
      <c r="AC105" s="27">
        <f>'Adubos e corretivos (1)'!J8</f>
        <v>0</v>
      </c>
      <c r="AD105" s="27">
        <f>'Adubos e corretivos (1)'!K8</f>
        <v>0</v>
      </c>
      <c r="AE105" s="27">
        <f>'Adubos e corretivos (1)'!L8</f>
        <v>0</v>
      </c>
      <c r="AF105" s="27">
        <f>'Adubos e corretivos (1)'!M8</f>
        <v>0</v>
      </c>
      <c r="AG105" s="27">
        <f>'Adubos e corretivos (1)'!N8</f>
        <v>0</v>
      </c>
      <c r="AH105" s="27">
        <f>'Adubos e corretivos (1)'!O8</f>
        <v>0</v>
      </c>
      <c r="AI105" s="27">
        <f>'Adubos e corretivos (1)'!P8</f>
        <v>0</v>
      </c>
      <c r="AJ105" s="27">
        <f>'Adubos e corretivos (1)'!Q8</f>
        <v>0</v>
      </c>
      <c r="AK105" s="27">
        <f>'Adubos e corretivos (1)'!R8</f>
        <v>0</v>
      </c>
      <c r="AL105" s="27">
        <f>'Adubos e corretivos (1)'!S8</f>
        <v>0</v>
      </c>
      <c r="AM105" s="27">
        <f>'Adubos e corretivos (1)'!T8</f>
        <v>0</v>
      </c>
      <c r="AN105" s="27">
        <f>'Adubos e corretivos (1)'!U8</f>
        <v>12</v>
      </c>
      <c r="AO105" s="27">
        <f>'Adubos e corretivos (1)'!V8</f>
        <v>1.28</v>
      </c>
      <c r="AS105" s="188"/>
      <c r="AT105" s="188"/>
      <c r="AU105" s="188"/>
      <c r="AV105" s="188"/>
      <c r="AW105" s="188"/>
      <c r="AX105" s="188"/>
    </row>
    <row r="106" spans="1:50" ht="19.5" customHeight="1" x14ac:dyDescent="0.25">
      <c r="C106" s="102" t="s">
        <v>458</v>
      </c>
      <c r="D106" s="102"/>
      <c r="G106" s="369">
        <f>IFERROR((I27+I30+I38+I48+I51+I54+I57+I60+I63+I66+I69+I72+I82+I85+I88+I91+I94),0)</f>
        <v>3989.5999484004128</v>
      </c>
      <c r="H106" s="369"/>
      <c r="M106" s="303"/>
      <c r="N106" s="304"/>
      <c r="O106" s="330"/>
      <c r="P106" s="330"/>
      <c r="Q106" s="330"/>
      <c r="R106" s="209"/>
      <c r="U106" s="260"/>
      <c r="V106" s="27" t="str">
        <f>'Adubos e corretivos (1)'!C9</f>
        <v>Superfosfato simples</v>
      </c>
      <c r="W106" s="27">
        <f>'Adubos e corretivos (1)'!D9</f>
        <v>1.68</v>
      </c>
      <c r="X106" s="27">
        <f>'Adubos e corretivos (1)'!E9</f>
        <v>0</v>
      </c>
      <c r="Y106" s="27">
        <f>'Adubos e corretivos (1)'!F9</f>
        <v>7.86</v>
      </c>
      <c r="Z106" s="27">
        <f>'Adubos e corretivos (1)'!G9</f>
        <v>18</v>
      </c>
      <c r="AA106" s="27">
        <f>'Adubos e corretivos (1)'!H9</f>
        <v>0</v>
      </c>
      <c r="AB106" s="27">
        <f>'Adubos e corretivos (1)'!I9</f>
        <v>0</v>
      </c>
      <c r="AC106" s="27">
        <f>'Adubos e corretivos (1)'!J9</f>
        <v>0</v>
      </c>
      <c r="AD106" s="27">
        <f>'Adubos e corretivos (1)'!K9</f>
        <v>0</v>
      </c>
      <c r="AE106" s="27">
        <f>'Adubos e corretivos (1)'!L9</f>
        <v>0</v>
      </c>
      <c r="AF106" s="27">
        <f>'Adubos e corretivos (1)'!M9</f>
        <v>0</v>
      </c>
      <c r="AG106" s="27">
        <f>'Adubos e corretivos (1)'!N9</f>
        <v>0</v>
      </c>
      <c r="AH106" s="27">
        <f>'Adubos e corretivos (1)'!O9</f>
        <v>0</v>
      </c>
      <c r="AI106" s="27">
        <f>'Adubos e corretivos (1)'!P9</f>
        <v>0</v>
      </c>
      <c r="AJ106" s="27">
        <f>'Adubos e corretivos (1)'!Q9</f>
        <v>0</v>
      </c>
      <c r="AK106" s="27">
        <f>'Adubos e corretivos (1)'!R9</f>
        <v>0</v>
      </c>
      <c r="AL106" s="27">
        <f>'Adubos e corretivos (1)'!S9</f>
        <v>0</v>
      </c>
      <c r="AM106" s="27">
        <f>'Adubos e corretivos (1)'!T9</f>
        <v>0</v>
      </c>
      <c r="AN106" s="27">
        <f>'Adubos e corretivos (1)'!U9</f>
        <v>0</v>
      </c>
      <c r="AO106" s="27">
        <f>'Adubos e corretivos (1)'!V9</f>
        <v>0</v>
      </c>
    </row>
    <row r="107" spans="1:50" ht="19.5" customHeight="1" thickBot="1" x14ac:dyDescent="0.3">
      <c r="C107" s="317"/>
      <c r="D107" s="317"/>
      <c r="M107" s="210"/>
      <c r="N107" s="200"/>
      <c r="O107" s="200"/>
      <c r="P107" s="200"/>
      <c r="Q107" s="200"/>
      <c r="R107" s="211"/>
      <c r="U107" s="260"/>
      <c r="V107" s="27" t="str">
        <f>'Adubos e corretivos (1)'!C10</f>
        <v>Superfosfato triplo</v>
      </c>
      <c r="W107" s="27">
        <f>'Adubos e corretivos (1)'!D10</f>
        <v>3.8</v>
      </c>
      <c r="X107" s="27">
        <f>'Adubos e corretivos (1)'!E10</f>
        <v>0</v>
      </c>
      <c r="Y107" s="27">
        <f>'Adubos e corretivos (1)'!F10</f>
        <v>17.91</v>
      </c>
      <c r="Z107" s="27">
        <f>'Adubos e corretivos (1)'!G10</f>
        <v>41</v>
      </c>
      <c r="AA107" s="27">
        <f>'Adubos e corretivos (1)'!H10</f>
        <v>0</v>
      </c>
      <c r="AB107" s="27">
        <f>'Adubos e corretivos (1)'!I10</f>
        <v>0</v>
      </c>
      <c r="AC107" s="27">
        <f>'Adubos e corretivos (1)'!J10</f>
        <v>0</v>
      </c>
      <c r="AD107" s="27">
        <f>'Adubos e corretivos (1)'!K10</f>
        <v>0</v>
      </c>
      <c r="AE107" s="27">
        <f>'Adubos e corretivos (1)'!L10</f>
        <v>0</v>
      </c>
      <c r="AF107" s="27">
        <f>'Adubos e corretivos (1)'!M10</f>
        <v>0</v>
      </c>
      <c r="AG107" s="27">
        <f>'Adubos e corretivos (1)'!N10</f>
        <v>0</v>
      </c>
      <c r="AH107" s="27">
        <f>'Adubos e corretivos (1)'!O10</f>
        <v>0</v>
      </c>
      <c r="AI107" s="27">
        <f>'Adubos e corretivos (1)'!P10</f>
        <v>0</v>
      </c>
      <c r="AJ107" s="27">
        <f>'Adubos e corretivos (1)'!Q10</f>
        <v>0</v>
      </c>
      <c r="AK107" s="27">
        <f>'Adubos e corretivos (1)'!R10</f>
        <v>0</v>
      </c>
      <c r="AL107" s="27">
        <f>'Adubos e corretivos (1)'!S10</f>
        <v>0</v>
      </c>
      <c r="AM107" s="27">
        <f>'Adubos e corretivos (1)'!T10</f>
        <v>0</v>
      </c>
      <c r="AN107" s="27">
        <f>'Adubos e corretivos (1)'!U10</f>
        <v>0</v>
      </c>
      <c r="AO107" s="27">
        <f>'Adubos e corretivos (1)'!V10</f>
        <v>0</v>
      </c>
    </row>
    <row r="108" spans="1:50" ht="19.5" customHeight="1" thickBot="1" x14ac:dyDescent="0.3">
      <c r="C108" s="102" t="s">
        <v>459</v>
      </c>
      <c r="D108" s="102"/>
      <c r="G108" s="369">
        <f>IFERROR((I28+I31+I39+I46+I49+I52+I55+I58+I61+I64+I67+I70+I73+I83+I86+I89+I92+I95),0)</f>
        <v>31.9167995872033</v>
      </c>
      <c r="H108" s="369"/>
      <c r="I108" s="112"/>
      <c r="U108" s="260"/>
      <c r="V108" s="27" t="str">
        <f>'Adubos e corretivos (1)'!C11</f>
        <v>Cloreto de potássio</v>
      </c>
      <c r="W108" s="27">
        <f>'Adubos e corretivos (1)'!D11</f>
        <v>3.48</v>
      </c>
      <c r="X108" s="27">
        <f>'Adubos e corretivos (1)'!E11</f>
        <v>0</v>
      </c>
      <c r="Y108" s="27">
        <f>'Adubos e corretivos (1)'!F11</f>
        <v>0</v>
      </c>
      <c r="Z108" s="27">
        <f>'Adubos e corretivos (1)'!G11</f>
        <v>0</v>
      </c>
      <c r="AA108" s="27">
        <f>'Adubos e corretivos (1)'!H11</f>
        <v>50</v>
      </c>
      <c r="AB108" s="27">
        <f>'Adubos e corretivos (1)'!I11</f>
        <v>60</v>
      </c>
      <c r="AC108" s="27">
        <f>'Adubos e corretivos (1)'!J11</f>
        <v>0</v>
      </c>
      <c r="AD108" s="27">
        <f>'Adubos e corretivos (1)'!K11</f>
        <v>0</v>
      </c>
      <c r="AE108" s="27">
        <f>'Adubos e corretivos (1)'!L11</f>
        <v>0</v>
      </c>
      <c r="AF108" s="27">
        <f>'Adubos e corretivos (1)'!M11</f>
        <v>0</v>
      </c>
      <c r="AG108" s="27">
        <f>'Adubos e corretivos (1)'!N11</f>
        <v>0</v>
      </c>
      <c r="AH108" s="27">
        <f>'Adubos e corretivos (1)'!O11</f>
        <v>0</v>
      </c>
      <c r="AI108" s="27">
        <f>'Adubos e corretivos (1)'!P11</f>
        <v>0</v>
      </c>
      <c r="AJ108" s="27">
        <f>'Adubos e corretivos (1)'!Q11</f>
        <v>0</v>
      </c>
      <c r="AK108" s="27">
        <f>'Adubos e corretivos (1)'!R11</f>
        <v>0</v>
      </c>
      <c r="AL108" s="27">
        <f>'Adubos e corretivos (1)'!S11</f>
        <v>0</v>
      </c>
      <c r="AM108" s="27">
        <f>'Adubos e corretivos (1)'!T11</f>
        <v>0</v>
      </c>
      <c r="AN108" s="27">
        <f>'Adubos e corretivos (1)'!U11</f>
        <v>0</v>
      </c>
      <c r="AO108" s="27">
        <f>'Adubos e corretivos (1)'!V11</f>
        <v>1.7</v>
      </c>
    </row>
    <row r="109" spans="1:50" ht="19.5" customHeight="1" x14ac:dyDescent="0.25">
      <c r="M109" s="207"/>
      <c r="N109" s="201"/>
      <c r="O109" s="201"/>
      <c r="P109" s="201"/>
      <c r="Q109" s="201"/>
      <c r="R109" s="208"/>
      <c r="U109" s="260"/>
      <c r="V109" s="27" t="str">
        <f>'Adubos e corretivos (1)'!C12</f>
        <v>Sulfato de potássio</v>
      </c>
      <c r="W109" s="27">
        <f>'Adubos e corretivos (1)'!D12</f>
        <v>5.32</v>
      </c>
      <c r="X109" s="27">
        <f>'Adubos e corretivos (1)'!E12</f>
        <v>0</v>
      </c>
      <c r="Y109" s="27">
        <f>'Adubos e corretivos (1)'!F12</f>
        <v>0</v>
      </c>
      <c r="Z109" s="27">
        <f>'Adubos e corretivos (1)'!G12</f>
        <v>0</v>
      </c>
      <c r="AA109" s="27">
        <f>'Adubos e corretivos (1)'!H12</f>
        <v>43</v>
      </c>
      <c r="AB109" s="27">
        <f>'Adubos e corretivos (1)'!I12</f>
        <v>52</v>
      </c>
      <c r="AC109" s="27">
        <f>'Adubos e corretivos (1)'!J12</f>
        <v>0</v>
      </c>
      <c r="AD109" s="27">
        <f>'Adubos e corretivos (1)'!K12</f>
        <v>0</v>
      </c>
      <c r="AE109" s="27">
        <f>'Adubos e corretivos (1)'!L12</f>
        <v>17</v>
      </c>
      <c r="AF109" s="27">
        <f>'Adubos e corretivos (1)'!M12</f>
        <v>0</v>
      </c>
      <c r="AG109" s="27">
        <f>'Adubos e corretivos (1)'!N12</f>
        <v>0</v>
      </c>
      <c r="AH109" s="27">
        <f>'Adubos e corretivos (1)'!O12</f>
        <v>0</v>
      </c>
      <c r="AI109" s="27">
        <f>'Adubos e corretivos (1)'!P12</f>
        <v>0</v>
      </c>
      <c r="AJ109" s="27">
        <f>'Adubos e corretivos (1)'!Q12</f>
        <v>0</v>
      </c>
      <c r="AK109" s="27">
        <f>'Adubos e corretivos (1)'!R12</f>
        <v>0</v>
      </c>
      <c r="AL109" s="27">
        <f>'Adubos e corretivos (1)'!S12</f>
        <v>0</v>
      </c>
      <c r="AM109" s="27">
        <f>'Adubos e corretivos (1)'!T12</f>
        <v>0</v>
      </c>
      <c r="AN109" s="27">
        <f>'Adubos e corretivos (1)'!U12</f>
        <v>0</v>
      </c>
      <c r="AO109" s="27">
        <f>'Adubos e corretivos (1)'!V12</f>
        <v>1.2</v>
      </c>
    </row>
    <row r="110" spans="1:50" ht="19.5" customHeight="1" x14ac:dyDescent="0.25">
      <c r="C110" s="102" t="s">
        <v>460</v>
      </c>
      <c r="D110" s="102"/>
      <c r="G110" s="369">
        <f>IFERROR((I28+I31+I39+I49+I52+I55+I58+I61+I64+I67+I70+I73+I83+I86+I89+I92+I95),0)</f>
        <v>31.9167995872033</v>
      </c>
      <c r="H110" s="369"/>
      <c r="M110" s="189" t="s">
        <v>243</v>
      </c>
      <c r="N110" s="25" t="s">
        <v>84</v>
      </c>
      <c r="O110" s="25" t="s">
        <v>87</v>
      </c>
      <c r="P110" s="25" t="s">
        <v>85</v>
      </c>
      <c r="Q110" s="25" t="s">
        <v>86</v>
      </c>
      <c r="R110" s="209"/>
      <c r="U110" s="260"/>
      <c r="V110" s="27" t="str">
        <f>'Adubos e corretivos (1)'!C13</f>
        <v>DRIPSOL Alface</v>
      </c>
      <c r="W110" s="27">
        <f>'Adubos e corretivos (1)'!D13</f>
        <v>9</v>
      </c>
      <c r="X110" s="27">
        <f>'Adubos e corretivos (1)'!E13</f>
        <v>0</v>
      </c>
      <c r="Y110" s="27">
        <f>'Adubos e corretivos (1)'!F13</f>
        <v>0</v>
      </c>
      <c r="Z110" s="27">
        <f>'Adubos e corretivos (1)'!G13</f>
        <v>0</v>
      </c>
      <c r="AA110" s="27">
        <f>'Adubos e corretivos (1)'!H13</f>
        <v>43</v>
      </c>
      <c r="AB110" s="27">
        <f>'Adubos e corretivos (1)'!I13</f>
        <v>52</v>
      </c>
      <c r="AC110" s="27">
        <f>'Adubos e corretivos (1)'!J13</f>
        <v>0</v>
      </c>
      <c r="AD110" s="27">
        <f>'Adubos e corretivos (1)'!K13</f>
        <v>0</v>
      </c>
      <c r="AE110" s="27">
        <f>'Adubos e corretivos (1)'!L13</f>
        <v>0</v>
      </c>
      <c r="AF110" s="27">
        <f>'Adubos e corretivos (1)'!M13</f>
        <v>0</v>
      </c>
      <c r="AG110" s="27">
        <f>'Adubos e corretivos (1)'!N13</f>
        <v>0</v>
      </c>
      <c r="AH110" s="27">
        <f>'Adubos e corretivos (1)'!O13</f>
        <v>0</v>
      </c>
      <c r="AI110" s="27">
        <f>'Adubos e corretivos (1)'!P13</f>
        <v>0</v>
      </c>
      <c r="AJ110" s="27">
        <f>'Adubos e corretivos (1)'!Q13</f>
        <v>0</v>
      </c>
      <c r="AK110" s="27">
        <f>'Adubos e corretivos (1)'!R13</f>
        <v>0</v>
      </c>
      <c r="AL110" s="27">
        <f>'Adubos e corretivos (1)'!S13</f>
        <v>0</v>
      </c>
      <c r="AM110" s="27">
        <f>'Adubos e corretivos (1)'!T13</f>
        <v>0</v>
      </c>
      <c r="AN110" s="27">
        <f>'Adubos e corretivos (1)'!U13</f>
        <v>0</v>
      </c>
      <c r="AO110" s="27">
        <f>'Adubos e corretivos (1)'!V13</f>
        <v>0</v>
      </c>
    </row>
    <row r="111" spans="1:50" ht="19.5" customHeight="1" x14ac:dyDescent="0.25">
      <c r="M111" s="189" t="s">
        <v>236</v>
      </c>
      <c r="N111" s="26">
        <f>AS26</f>
        <v>8</v>
      </c>
      <c r="O111" s="26">
        <f>AT26</f>
        <v>0</v>
      </c>
      <c r="P111" s="26">
        <f>AU26</f>
        <v>0</v>
      </c>
      <c r="Q111" s="26">
        <f>AV26</f>
        <v>0</v>
      </c>
      <c r="R111" s="209"/>
      <c r="U111" s="260"/>
      <c r="V111" s="27" t="str">
        <f>'Adubos e corretivos (1)'!C14</f>
        <v>MAP</v>
      </c>
      <c r="W111" s="27">
        <f>'Adubos e corretivos (1)'!D14</f>
        <v>5.52</v>
      </c>
      <c r="X111" s="27">
        <f>'Adubos e corretivos (1)'!E14</f>
        <v>12</v>
      </c>
      <c r="Y111" s="27">
        <f>'Adubos e corretivos (1)'!F14</f>
        <v>27</v>
      </c>
      <c r="Z111" s="27">
        <f>'Adubos e corretivos (1)'!G14</f>
        <v>62</v>
      </c>
      <c r="AA111" s="27">
        <f>'Adubos e corretivos (1)'!H14</f>
        <v>0</v>
      </c>
      <c r="AB111" s="27">
        <f>'Adubos e corretivos (1)'!I14</f>
        <v>0</v>
      </c>
      <c r="AC111" s="27">
        <f>'Adubos e corretivos (1)'!J14</f>
        <v>0</v>
      </c>
      <c r="AD111" s="27">
        <f>'Adubos e corretivos (1)'!K14</f>
        <v>0</v>
      </c>
      <c r="AE111" s="27">
        <f>'Adubos e corretivos (1)'!L14</f>
        <v>0</v>
      </c>
      <c r="AF111" s="27">
        <f>'Adubos e corretivos (1)'!M14</f>
        <v>0</v>
      </c>
      <c r="AG111" s="27">
        <f>'Adubos e corretivos (1)'!N14</f>
        <v>0</v>
      </c>
      <c r="AH111" s="27">
        <f>'Adubos e corretivos (1)'!O14</f>
        <v>0</v>
      </c>
      <c r="AI111" s="27">
        <f>'Adubos e corretivos (1)'!P14</f>
        <v>0</v>
      </c>
      <c r="AJ111" s="27">
        <f>'Adubos e corretivos (1)'!Q14</f>
        <v>0</v>
      </c>
      <c r="AK111" s="27">
        <f>'Adubos e corretivos (1)'!R14</f>
        <v>0</v>
      </c>
      <c r="AL111" s="27">
        <f>'Adubos e corretivos (1)'!S14</f>
        <v>0</v>
      </c>
      <c r="AM111" s="27">
        <f>'Adubos e corretivos (1)'!T14</f>
        <v>12</v>
      </c>
      <c r="AN111" s="27">
        <f>'Adubos e corretivos (1)'!U14</f>
        <v>0</v>
      </c>
      <c r="AO111" s="27">
        <f>'Adubos e corretivos (1)'!V14</f>
        <v>0.95</v>
      </c>
    </row>
    <row r="112" spans="1:50" ht="19.5" customHeight="1" thickBot="1" x14ac:dyDescent="0.3">
      <c r="M112" s="189" t="s">
        <v>244</v>
      </c>
      <c r="N112" s="6">
        <f>AW45</f>
        <v>0</v>
      </c>
      <c r="O112" s="6">
        <f>AX45</f>
        <v>0</v>
      </c>
      <c r="P112" s="6">
        <f>AY45</f>
        <v>0</v>
      </c>
      <c r="Q112" s="6">
        <f>AZ45</f>
        <v>0</v>
      </c>
      <c r="R112" s="209"/>
      <c r="U112" s="260"/>
      <c r="V112" s="27" t="str">
        <f>'Adubos e corretivos (1)'!C15</f>
        <v>MKP</v>
      </c>
      <c r="W112" s="27">
        <f>'Adubos e corretivos (1)'!D15</f>
        <v>8.92</v>
      </c>
      <c r="X112" s="27">
        <f>'Adubos e corretivos (1)'!E15</f>
        <v>0</v>
      </c>
      <c r="Y112" s="27">
        <f>'Adubos e corretivos (1)'!F15</f>
        <v>23</v>
      </c>
      <c r="Z112" s="27">
        <f>'Adubos e corretivos (1)'!G15</f>
        <v>53</v>
      </c>
      <c r="AA112" s="27">
        <f>'Adubos e corretivos (1)'!H15</f>
        <v>28</v>
      </c>
      <c r="AB112" s="27">
        <f>'Adubos e corretivos (1)'!I15</f>
        <v>34</v>
      </c>
      <c r="AC112" s="27">
        <f>'Adubos e corretivos (1)'!J15</f>
        <v>0</v>
      </c>
      <c r="AD112" s="27">
        <f>'Adubos e corretivos (1)'!K15</f>
        <v>0</v>
      </c>
      <c r="AE112" s="27">
        <f>'Adubos e corretivos (1)'!L15</f>
        <v>0</v>
      </c>
      <c r="AF112" s="27">
        <f>'Adubos e corretivos (1)'!M15</f>
        <v>0</v>
      </c>
      <c r="AG112" s="27">
        <f>'Adubos e corretivos (1)'!N15</f>
        <v>0</v>
      </c>
      <c r="AH112" s="27">
        <f>'Adubos e corretivos (1)'!O15</f>
        <v>0</v>
      </c>
      <c r="AI112" s="27">
        <f>'Adubos e corretivos (1)'!P15</f>
        <v>0</v>
      </c>
      <c r="AJ112" s="27">
        <f>'Adubos e corretivos (1)'!Q15</f>
        <v>0</v>
      </c>
      <c r="AK112" s="27">
        <f>'Adubos e corretivos (1)'!R15</f>
        <v>0</v>
      </c>
      <c r="AL112" s="27">
        <f>'Adubos e corretivos (1)'!S15</f>
        <v>0</v>
      </c>
      <c r="AM112" s="27">
        <f>'Adubos e corretivos (1)'!T15</f>
        <v>0</v>
      </c>
      <c r="AN112" s="27">
        <f>'Adubos e corretivos (1)'!U15</f>
        <v>0</v>
      </c>
      <c r="AO112" s="27">
        <f>'Adubos e corretivos (1)'!V15</f>
        <v>0.7</v>
      </c>
    </row>
    <row r="113" spans="2:41" ht="19.5" customHeight="1" thickBot="1" x14ac:dyDescent="0.3">
      <c r="B113" s="344"/>
      <c r="C113" s="329"/>
      <c r="D113" s="329"/>
      <c r="E113" s="345"/>
      <c r="F113" s="344"/>
      <c r="G113" s="329"/>
      <c r="H113" s="329"/>
      <c r="I113" s="345"/>
      <c r="M113" s="210"/>
      <c r="N113" s="200"/>
      <c r="O113" s="200"/>
      <c r="P113" s="200"/>
      <c r="Q113" s="200"/>
      <c r="R113" s="211"/>
      <c r="U113" s="260"/>
      <c r="V113" s="27">
        <f>'Adubos e corretivos (1)'!C16</f>
        <v>0</v>
      </c>
      <c r="W113" s="27">
        <f>'Adubos e corretivos (1)'!D16</f>
        <v>0</v>
      </c>
      <c r="X113" s="27">
        <f>'Adubos e corretivos (1)'!E16</f>
        <v>0</v>
      </c>
      <c r="Y113" s="27">
        <f>'Adubos e corretivos (1)'!F16</f>
        <v>0</v>
      </c>
      <c r="Z113" s="27">
        <f>'Adubos e corretivos (1)'!G16</f>
        <v>0</v>
      </c>
      <c r="AA113" s="27">
        <f>'Adubos e corretivos (1)'!H16</f>
        <v>0</v>
      </c>
      <c r="AB113" s="27">
        <f>'Adubos e corretivos (1)'!I16</f>
        <v>0</v>
      </c>
      <c r="AC113" s="27">
        <f>'Adubos e corretivos (1)'!J16</f>
        <v>0</v>
      </c>
      <c r="AD113" s="27">
        <f>'Adubos e corretivos (1)'!K16</f>
        <v>0</v>
      </c>
      <c r="AE113" s="27">
        <f>'Adubos e corretivos (1)'!L16</f>
        <v>0</v>
      </c>
      <c r="AF113" s="27">
        <f>'Adubos e corretivos (1)'!M16</f>
        <v>0</v>
      </c>
      <c r="AG113" s="27">
        <f>'Adubos e corretivos (1)'!N16</f>
        <v>0</v>
      </c>
      <c r="AH113" s="27">
        <f>'Adubos e corretivos (1)'!O16</f>
        <v>0</v>
      </c>
      <c r="AI113" s="27">
        <f>'Adubos e corretivos (1)'!P16</f>
        <v>0</v>
      </c>
      <c r="AJ113" s="27">
        <f>'Adubos e corretivos (1)'!Q16</f>
        <v>0</v>
      </c>
      <c r="AK113" s="27">
        <f>'Adubos e corretivos (1)'!R16</f>
        <v>0</v>
      </c>
      <c r="AL113" s="27">
        <f>'Adubos e corretivos (1)'!S16</f>
        <v>0</v>
      </c>
      <c r="AM113" s="27">
        <f>'Adubos e corretivos (1)'!T16</f>
        <v>0</v>
      </c>
      <c r="AN113" s="27">
        <f>'Adubos e corretivos (1)'!U16</f>
        <v>0</v>
      </c>
      <c r="AO113" s="27">
        <f>'Adubos e corretivos (1)'!V16</f>
        <v>0</v>
      </c>
    </row>
    <row r="114" spans="2:41" ht="19.5" customHeight="1" thickBot="1" x14ac:dyDescent="0.3">
      <c r="B114" s="303"/>
      <c r="C114" s="332"/>
      <c r="D114" s="332"/>
      <c r="E114" s="346"/>
      <c r="F114" s="303"/>
      <c r="G114" s="332"/>
      <c r="H114" s="332"/>
      <c r="I114" s="346"/>
      <c r="U114" s="260"/>
      <c r="V114" s="27">
        <f>'Adubos e corretivos (1)'!C17</f>
        <v>0</v>
      </c>
      <c r="W114" s="27">
        <f>'Adubos e corretivos (1)'!D17</f>
        <v>0</v>
      </c>
      <c r="X114" s="27">
        <f>'Adubos e corretivos (1)'!E17</f>
        <v>0</v>
      </c>
      <c r="Y114" s="27">
        <f>'Adubos e corretivos (1)'!F17</f>
        <v>0</v>
      </c>
      <c r="Z114" s="27">
        <f>'Adubos e corretivos (1)'!G17</f>
        <v>0</v>
      </c>
      <c r="AA114" s="27">
        <f>'Adubos e corretivos (1)'!H17</f>
        <v>0</v>
      </c>
      <c r="AB114" s="27">
        <f>'Adubos e corretivos (1)'!I17</f>
        <v>0</v>
      </c>
      <c r="AC114" s="27">
        <f>'Adubos e corretivos (1)'!J17</f>
        <v>0</v>
      </c>
      <c r="AD114" s="27">
        <f>'Adubos e corretivos (1)'!K17</f>
        <v>0</v>
      </c>
      <c r="AE114" s="27">
        <f>'Adubos e corretivos (1)'!L17</f>
        <v>0</v>
      </c>
      <c r="AF114" s="27">
        <f>'Adubos e corretivos (1)'!M17</f>
        <v>0</v>
      </c>
      <c r="AG114" s="27">
        <f>'Adubos e corretivos (1)'!N17</f>
        <v>0</v>
      </c>
      <c r="AH114" s="27">
        <f>'Adubos e corretivos (1)'!O17</f>
        <v>0</v>
      </c>
      <c r="AI114" s="27">
        <f>'Adubos e corretivos (1)'!P17</f>
        <v>0</v>
      </c>
      <c r="AJ114" s="27">
        <f>'Adubos e corretivos (1)'!Q17</f>
        <v>0</v>
      </c>
      <c r="AK114" s="27">
        <f>'Adubos e corretivos (1)'!R17</f>
        <v>0</v>
      </c>
      <c r="AL114" s="27">
        <f>'Adubos e corretivos (1)'!S17</f>
        <v>0</v>
      </c>
      <c r="AM114" s="27">
        <f>'Adubos e corretivos (1)'!T17</f>
        <v>0</v>
      </c>
      <c r="AN114" s="27">
        <f>'Adubos e corretivos (1)'!U17</f>
        <v>0</v>
      </c>
      <c r="AO114" s="27">
        <f>'Adubos e corretivos (1)'!V17</f>
        <v>0</v>
      </c>
    </row>
    <row r="115" spans="2:41" ht="19.5" customHeight="1" thickBot="1" x14ac:dyDescent="0.3">
      <c r="B115" s="347"/>
      <c r="C115" s="331"/>
      <c r="D115" s="331"/>
      <c r="E115" s="348"/>
      <c r="F115" s="347"/>
      <c r="G115" s="331"/>
      <c r="H115" s="331"/>
      <c r="I115" s="348"/>
      <c r="M115" s="207"/>
      <c r="N115" s="201"/>
      <c r="O115" s="201"/>
      <c r="P115" s="201"/>
      <c r="Q115" s="201"/>
      <c r="R115" s="208"/>
      <c r="U115" s="261" t="s">
        <v>201</v>
      </c>
      <c r="V115" s="27" t="str">
        <f>'Adubos e corretivos (1)'!C18</f>
        <v>Hortimax Plantio 03-18-05</v>
      </c>
      <c r="W115" s="27">
        <f>'Adubos e corretivos (1)'!D18</f>
        <v>1.88</v>
      </c>
      <c r="X115" s="27">
        <f>'Adubos e corretivos (1)'!E18</f>
        <v>3</v>
      </c>
      <c r="Y115" s="27">
        <f>'Adubos e corretivos (1)'!F18</f>
        <v>7.87</v>
      </c>
      <c r="Z115" s="27">
        <f>'Adubos e corretivos (1)'!G18</f>
        <v>18</v>
      </c>
      <c r="AA115" s="27">
        <f>'Adubos e corretivos (1)'!H18</f>
        <v>4.2</v>
      </c>
      <c r="AB115" s="27">
        <f>'Adubos e corretivos (1)'!I18</f>
        <v>5</v>
      </c>
      <c r="AC115" s="27">
        <f>'Adubos e corretivos (1)'!J18</f>
        <v>0</v>
      </c>
      <c r="AD115" s="27">
        <f>'Adubos e corretivos (1)'!K18</f>
        <v>0</v>
      </c>
      <c r="AE115" s="27">
        <f>'Adubos e corretivos (1)'!L18</f>
        <v>0</v>
      </c>
      <c r="AF115" s="27">
        <f>'Adubos e corretivos (1)'!M18</f>
        <v>0</v>
      </c>
      <c r="AG115" s="27">
        <f>'Adubos e corretivos (1)'!N18</f>
        <v>0</v>
      </c>
      <c r="AH115" s="27">
        <f>'Adubos e corretivos (1)'!O18</f>
        <v>0</v>
      </c>
      <c r="AI115" s="27">
        <f>'Adubos e corretivos (1)'!P18</f>
        <v>0</v>
      </c>
      <c r="AJ115" s="27">
        <f>'Adubos e corretivos (1)'!Q18</f>
        <v>0</v>
      </c>
      <c r="AK115" s="27">
        <f>'Adubos e corretivos (1)'!R18</f>
        <v>0</v>
      </c>
      <c r="AL115" s="27">
        <f>'Adubos e corretivos (1)'!S18</f>
        <v>0</v>
      </c>
      <c r="AM115" s="27">
        <f>'Adubos e corretivos (1)'!T18</f>
        <v>0</v>
      </c>
      <c r="AN115" s="27">
        <f>'Adubos e corretivos (1)'!U18</f>
        <v>0</v>
      </c>
      <c r="AO115" s="27">
        <f>'Adubos e corretivos (1)'!V18</f>
        <v>0</v>
      </c>
    </row>
    <row r="116" spans="2:41" ht="19.5" customHeight="1" x14ac:dyDescent="0.25">
      <c r="B116" s="325" t="s">
        <v>120</v>
      </c>
      <c r="C116" s="325"/>
      <c r="D116" s="325"/>
      <c r="E116" s="342"/>
      <c r="F116" s="325" t="s">
        <v>121</v>
      </c>
      <c r="G116" s="325"/>
      <c r="H116" s="325"/>
      <c r="I116" s="325"/>
      <c r="M116" s="368" t="s">
        <v>449</v>
      </c>
      <c r="N116" s="370"/>
      <c r="O116" s="364" t="s">
        <v>448</v>
      </c>
      <c r="P116" s="364"/>
      <c r="Q116" s="364"/>
      <c r="R116" s="209"/>
      <c r="U116" s="261"/>
      <c r="V116" s="27" t="str">
        <f>'Adubos e corretivos (1)'!C19</f>
        <v>Formulado 04-14-08</v>
      </c>
      <c r="W116" s="27">
        <f>'Adubos e corretivos (1)'!D19</f>
        <v>1.86</v>
      </c>
      <c r="X116" s="27">
        <f>'Adubos e corretivos (1)'!E19</f>
        <v>4</v>
      </c>
      <c r="Y116" s="27">
        <f>'Adubos e corretivos (1)'!F19</f>
        <v>6.15</v>
      </c>
      <c r="Z116" s="27">
        <f>'Adubos e corretivos (1)'!G19</f>
        <v>14</v>
      </c>
      <c r="AA116" s="27">
        <f>'Adubos e corretivos (1)'!H19</f>
        <v>6.65</v>
      </c>
      <c r="AB116" s="27">
        <f>'Adubos e corretivos (1)'!I19</f>
        <v>8</v>
      </c>
      <c r="AC116" s="27">
        <f>'Adubos e corretivos (1)'!J19</f>
        <v>0</v>
      </c>
      <c r="AD116" s="27">
        <f>'Adubos e corretivos (1)'!K19</f>
        <v>0</v>
      </c>
      <c r="AE116" s="27">
        <f>'Adubos e corretivos (1)'!L19</f>
        <v>0</v>
      </c>
      <c r="AF116" s="27">
        <f>'Adubos e corretivos (1)'!M19</f>
        <v>0</v>
      </c>
      <c r="AG116" s="27">
        <f>'Adubos e corretivos (1)'!N19</f>
        <v>0</v>
      </c>
      <c r="AH116" s="27">
        <f>'Adubos e corretivos (1)'!O19</f>
        <v>0</v>
      </c>
      <c r="AI116" s="27">
        <f>'Adubos e corretivos (1)'!P19</f>
        <v>0</v>
      </c>
      <c r="AJ116" s="27">
        <f>'Adubos e corretivos (1)'!Q19</f>
        <v>0</v>
      </c>
      <c r="AK116" s="27">
        <f>'Adubos e corretivos (1)'!R19</f>
        <v>0</v>
      </c>
      <c r="AL116" s="27">
        <f>'Adubos e corretivos (1)'!S19</f>
        <v>0</v>
      </c>
      <c r="AM116" s="27">
        <f>'Adubos e corretivos (1)'!T19</f>
        <v>0</v>
      </c>
      <c r="AN116" s="27">
        <f>'Adubos e corretivos (1)'!U19</f>
        <v>0</v>
      </c>
      <c r="AO116" s="27">
        <f>'Adubos e corretivos (1)'!V19</f>
        <v>0</v>
      </c>
    </row>
    <row r="117" spans="2:41" ht="19.5" customHeight="1" x14ac:dyDescent="0.25">
      <c r="M117" s="368"/>
      <c r="N117" s="370"/>
      <c r="O117" s="330" t="s">
        <v>145</v>
      </c>
      <c r="P117" s="330"/>
      <c r="Q117" s="1">
        <f>AA188</f>
        <v>0</v>
      </c>
      <c r="R117" s="209"/>
      <c r="U117" s="261"/>
      <c r="V117" s="27" t="str">
        <f>'Adubos e corretivos (1)'!C20</f>
        <v>Formulado 04-30-16</v>
      </c>
      <c r="W117" s="27">
        <f>'Adubos e corretivos (1)'!D20</f>
        <v>2.52</v>
      </c>
      <c r="X117" s="27">
        <f>'Adubos e corretivos (1)'!E20</f>
        <v>4</v>
      </c>
      <c r="Y117" s="27">
        <f>'Adubos e corretivos (1)'!F20</f>
        <v>13.1</v>
      </c>
      <c r="Z117" s="27">
        <f>'Adubos e corretivos (1)'!G20</f>
        <v>30</v>
      </c>
      <c r="AA117" s="27">
        <f>'Adubos e corretivos (1)'!H20</f>
        <v>13.3</v>
      </c>
      <c r="AB117" s="27">
        <f>'Adubos e corretivos (1)'!I20</f>
        <v>16</v>
      </c>
      <c r="AC117" s="27">
        <f>'Adubos e corretivos (1)'!J20</f>
        <v>0</v>
      </c>
      <c r="AD117" s="27">
        <f>'Adubos e corretivos (1)'!K20</f>
        <v>0</v>
      </c>
      <c r="AE117" s="27">
        <f>'Adubos e corretivos (1)'!L20</f>
        <v>0</v>
      </c>
      <c r="AF117" s="27">
        <f>'Adubos e corretivos (1)'!M20</f>
        <v>0</v>
      </c>
      <c r="AG117" s="27">
        <f>'Adubos e corretivos (1)'!N20</f>
        <v>0</v>
      </c>
      <c r="AH117" s="27">
        <f>'Adubos e corretivos (1)'!O20</f>
        <v>0</v>
      </c>
      <c r="AI117" s="27">
        <f>'Adubos e corretivos (1)'!P20</f>
        <v>0</v>
      </c>
      <c r="AJ117" s="27">
        <f>'Adubos e corretivos (1)'!Q20</f>
        <v>0</v>
      </c>
      <c r="AK117" s="27">
        <f>'Adubos e corretivos (1)'!R20</f>
        <v>0</v>
      </c>
      <c r="AL117" s="27">
        <f>'Adubos e corretivos (1)'!S20</f>
        <v>0</v>
      </c>
      <c r="AM117" s="27">
        <f>'Adubos e corretivos (1)'!T20</f>
        <v>0</v>
      </c>
      <c r="AN117" s="27">
        <f>'Adubos e corretivos (1)'!U20</f>
        <v>0</v>
      </c>
      <c r="AO117" s="27">
        <f>'Adubos e corretivos (1)'!V20</f>
        <v>0</v>
      </c>
    </row>
    <row r="118" spans="2:41" ht="19.5" customHeight="1" x14ac:dyDescent="0.25">
      <c r="M118" s="368"/>
      <c r="N118" s="370"/>
      <c r="O118" s="330" t="s">
        <v>153</v>
      </c>
      <c r="P118" s="330"/>
      <c r="Q118" s="1">
        <f t="shared" ref="Q118:Q143" si="17">AA189</f>
        <v>0</v>
      </c>
      <c r="R118" s="209"/>
      <c r="U118" s="261"/>
      <c r="V118" s="27" t="str">
        <f>'Adubos e corretivos (1)'!C21</f>
        <v>Formulado 05-25-15</v>
      </c>
      <c r="W118" s="27">
        <f>'Adubos e corretivos (1)'!D21</f>
        <v>2</v>
      </c>
      <c r="X118" s="27">
        <f>'Adubos e corretivos (1)'!E21</f>
        <v>5</v>
      </c>
      <c r="Y118" s="27">
        <f>'Adubos e corretivos (1)'!F21</f>
        <v>10.95</v>
      </c>
      <c r="Z118" s="27">
        <f>'Adubos e corretivos (1)'!G21</f>
        <v>25</v>
      </c>
      <c r="AA118" s="27">
        <f>'Adubos e corretivos (1)'!H21</f>
        <v>12.45</v>
      </c>
      <c r="AB118" s="27">
        <f>'Adubos e corretivos (1)'!I21</f>
        <v>15</v>
      </c>
      <c r="AC118" s="27">
        <f>'Adubos e corretivos (1)'!J21</f>
        <v>0</v>
      </c>
      <c r="AD118" s="27">
        <f>'Adubos e corretivos (1)'!K21</f>
        <v>0</v>
      </c>
      <c r="AE118" s="27">
        <f>'Adubos e corretivos (1)'!L21</f>
        <v>0</v>
      </c>
      <c r="AF118" s="27">
        <f>'Adubos e corretivos (1)'!M21</f>
        <v>0</v>
      </c>
      <c r="AG118" s="27">
        <f>'Adubos e corretivos (1)'!N21</f>
        <v>0</v>
      </c>
      <c r="AH118" s="27">
        <f>'Adubos e corretivos (1)'!O21</f>
        <v>0</v>
      </c>
      <c r="AI118" s="27">
        <f>'Adubos e corretivos (1)'!P21</f>
        <v>0</v>
      </c>
      <c r="AJ118" s="27">
        <f>'Adubos e corretivos (1)'!Q21</f>
        <v>0</v>
      </c>
      <c r="AK118" s="27">
        <f>'Adubos e corretivos (1)'!R21</f>
        <v>0</v>
      </c>
      <c r="AL118" s="27">
        <f>'Adubos e corretivos (1)'!S21</f>
        <v>0</v>
      </c>
      <c r="AM118" s="27">
        <f>'Adubos e corretivos (1)'!T21</f>
        <v>0</v>
      </c>
      <c r="AN118" s="27">
        <f>'Adubos e corretivos (1)'!U21</f>
        <v>0</v>
      </c>
      <c r="AO118" s="27">
        <f>'Adubos e corretivos (1)'!V21</f>
        <v>0</v>
      </c>
    </row>
    <row r="119" spans="2:41" ht="19.5" customHeight="1" x14ac:dyDescent="0.25">
      <c r="M119" s="368"/>
      <c r="N119" s="370"/>
      <c r="O119" s="330" t="s">
        <v>156</v>
      </c>
      <c r="P119" s="330"/>
      <c r="Q119" s="1">
        <f t="shared" si="17"/>
        <v>5.6843418860808015E-14</v>
      </c>
      <c r="R119" s="209"/>
      <c r="U119" s="261"/>
      <c r="V119" s="27" t="str">
        <f>'Adubos e corretivos (1)'!C22</f>
        <v>Formulado 04-30-10</v>
      </c>
      <c r="W119" s="27">
        <f>'Adubos e corretivos (1)'!D22</f>
        <v>2.44</v>
      </c>
      <c r="X119" s="27">
        <f>'Adubos e corretivos (1)'!E22</f>
        <v>4</v>
      </c>
      <c r="Y119" s="27">
        <f>'Adubos e corretivos (1)'!F22</f>
        <v>13.1</v>
      </c>
      <c r="Z119" s="27">
        <f>'Adubos e corretivos (1)'!G22</f>
        <v>30</v>
      </c>
      <c r="AA119" s="27">
        <f>'Adubos e corretivos (1)'!H22</f>
        <v>8.3000000000000007</v>
      </c>
      <c r="AB119" s="27">
        <f>'Adubos e corretivos (1)'!I22</f>
        <v>10</v>
      </c>
      <c r="AC119" s="27">
        <f>'Adubos e corretivos (1)'!J22</f>
        <v>0</v>
      </c>
      <c r="AD119" s="27">
        <f>'Adubos e corretivos (1)'!K22</f>
        <v>0</v>
      </c>
      <c r="AE119" s="27">
        <f>'Adubos e corretivos (1)'!L22</f>
        <v>0</v>
      </c>
      <c r="AF119" s="27">
        <f>'Adubos e corretivos (1)'!M22</f>
        <v>0</v>
      </c>
      <c r="AG119" s="27">
        <f>'Adubos e corretivos (1)'!N22</f>
        <v>0</v>
      </c>
      <c r="AH119" s="27">
        <f>'Adubos e corretivos (1)'!O22</f>
        <v>0</v>
      </c>
      <c r="AI119" s="27">
        <f>'Adubos e corretivos (1)'!P22</f>
        <v>0</v>
      </c>
      <c r="AJ119" s="27">
        <f>'Adubos e corretivos (1)'!Q22</f>
        <v>0</v>
      </c>
      <c r="AK119" s="27">
        <f>'Adubos e corretivos (1)'!R22</f>
        <v>0</v>
      </c>
      <c r="AL119" s="27">
        <f>'Adubos e corretivos (1)'!S22</f>
        <v>0</v>
      </c>
      <c r="AM119" s="27">
        <f>'Adubos e corretivos (1)'!T22</f>
        <v>0</v>
      </c>
      <c r="AN119" s="27">
        <f>'Adubos e corretivos (1)'!U22</f>
        <v>0</v>
      </c>
      <c r="AO119" s="27">
        <f>'Adubos e corretivos (1)'!V22</f>
        <v>0</v>
      </c>
    </row>
    <row r="120" spans="2:41" ht="19.5" customHeight="1" x14ac:dyDescent="0.25">
      <c r="M120" s="368"/>
      <c r="N120" s="370"/>
      <c r="O120" s="330" t="s">
        <v>160</v>
      </c>
      <c r="P120" s="330"/>
      <c r="Q120" s="1">
        <f t="shared" si="17"/>
        <v>3.6785727068673189</v>
      </c>
      <c r="R120" s="209"/>
      <c r="U120" s="261"/>
      <c r="V120" s="27" t="str">
        <f>'Adubos e corretivos (1)'!C23</f>
        <v>Timac Formulado 00-18-00</v>
      </c>
      <c r="W120" s="27">
        <f>'Adubos e corretivos (1)'!D23</f>
        <v>0</v>
      </c>
      <c r="X120" s="27">
        <f>'Adubos e corretivos (1)'!E23</f>
        <v>0</v>
      </c>
      <c r="Y120" s="27">
        <f>'Adubos e corretivos (1)'!F23</f>
        <v>7.87</v>
      </c>
      <c r="Z120" s="27">
        <f>'Adubos e corretivos (1)'!G23</f>
        <v>18</v>
      </c>
      <c r="AA120" s="27">
        <f>'Adubos e corretivos (1)'!H23</f>
        <v>0</v>
      </c>
      <c r="AB120" s="27">
        <f>'Adubos e corretivos (1)'!I23</f>
        <v>0</v>
      </c>
      <c r="AC120" s="27">
        <f>'Adubos e corretivos (1)'!J23</f>
        <v>0</v>
      </c>
      <c r="AD120" s="27">
        <f>'Adubos e corretivos (1)'!K23</f>
        <v>0</v>
      </c>
      <c r="AE120" s="27">
        <f>'Adubos e corretivos (1)'!L23</f>
        <v>0</v>
      </c>
      <c r="AF120" s="27">
        <f>'Adubos e corretivos (1)'!M23</f>
        <v>0</v>
      </c>
      <c r="AG120" s="27">
        <f>'Adubos e corretivos (1)'!N23</f>
        <v>0</v>
      </c>
      <c r="AH120" s="27">
        <f>'Adubos e corretivos (1)'!O23</f>
        <v>0</v>
      </c>
      <c r="AI120" s="27">
        <f>'Adubos e corretivos (1)'!P23</f>
        <v>0</v>
      </c>
      <c r="AJ120" s="27">
        <f>'Adubos e corretivos (1)'!Q23</f>
        <v>0</v>
      </c>
      <c r="AK120" s="27">
        <f>'Adubos e corretivos (1)'!R23</f>
        <v>0</v>
      </c>
      <c r="AL120" s="27">
        <f>'Adubos e corretivos (1)'!S23</f>
        <v>0</v>
      </c>
      <c r="AM120" s="27">
        <f>'Adubos e corretivos (1)'!T23</f>
        <v>0</v>
      </c>
      <c r="AN120" s="27">
        <f>'Adubos e corretivos (1)'!U23</f>
        <v>0</v>
      </c>
      <c r="AO120" s="27">
        <f>'Adubos e corretivos (1)'!V23</f>
        <v>0</v>
      </c>
    </row>
    <row r="121" spans="2:41" ht="19.5" customHeight="1" x14ac:dyDescent="0.25">
      <c r="M121" s="368"/>
      <c r="N121" s="370"/>
      <c r="O121" s="330" t="s">
        <v>195</v>
      </c>
      <c r="P121" s="330"/>
      <c r="Q121" s="1">
        <f t="shared" si="17"/>
        <v>0</v>
      </c>
      <c r="R121" s="209"/>
      <c r="U121" s="261"/>
      <c r="V121" s="27" t="str">
        <f>'Adubos e corretivos (1)'!C24</f>
        <v>Baseduo Formulado 08-24-08</v>
      </c>
      <c r="W121" s="27">
        <f>'Adubos e corretivos (1)'!D24</f>
        <v>4.2</v>
      </c>
      <c r="X121" s="27">
        <f>'Adubos e corretivos (1)'!E24</f>
        <v>8</v>
      </c>
      <c r="Y121" s="27">
        <f>'Adubos e corretivos (1)'!F24</f>
        <v>10.5</v>
      </c>
      <c r="Z121" s="27">
        <f>'Adubos e corretivos (1)'!G24</f>
        <v>24</v>
      </c>
      <c r="AA121" s="27">
        <f>'Adubos e corretivos (1)'!H24</f>
        <v>6.65</v>
      </c>
      <c r="AB121" s="27">
        <f>'Adubos e corretivos (1)'!I24</f>
        <v>8</v>
      </c>
      <c r="AC121" s="27">
        <f>'Adubos e corretivos (1)'!J24</f>
        <v>0</v>
      </c>
      <c r="AD121" s="27">
        <f>'Adubos e corretivos (1)'!K24</f>
        <v>0</v>
      </c>
      <c r="AE121" s="27">
        <f>'Adubos e corretivos (1)'!L24</f>
        <v>0</v>
      </c>
      <c r="AF121" s="27">
        <f>'Adubos e corretivos (1)'!M24</f>
        <v>0</v>
      </c>
      <c r="AG121" s="27">
        <f>'Adubos e corretivos (1)'!N24</f>
        <v>0</v>
      </c>
      <c r="AH121" s="27">
        <f>'Adubos e corretivos (1)'!O24</f>
        <v>0</v>
      </c>
      <c r="AI121" s="27">
        <f>'Adubos e corretivos (1)'!P24</f>
        <v>0</v>
      </c>
      <c r="AJ121" s="27">
        <f>'Adubos e corretivos (1)'!Q24</f>
        <v>0</v>
      </c>
      <c r="AK121" s="27">
        <f>'Adubos e corretivos (1)'!R24</f>
        <v>0</v>
      </c>
      <c r="AL121" s="27">
        <f>'Adubos e corretivos (1)'!S24</f>
        <v>0</v>
      </c>
      <c r="AM121" s="27">
        <f>'Adubos e corretivos (1)'!T24</f>
        <v>0</v>
      </c>
      <c r="AN121" s="27">
        <f>'Adubos e corretivos (1)'!U24</f>
        <v>0</v>
      </c>
      <c r="AO121" s="27">
        <f>'Adubos e corretivos (1)'!V24</f>
        <v>0</v>
      </c>
    </row>
    <row r="122" spans="2:41" ht="19.5" customHeight="1" x14ac:dyDescent="0.25">
      <c r="M122" s="368"/>
      <c r="N122" s="370"/>
      <c r="O122" s="330" t="s">
        <v>196</v>
      </c>
      <c r="P122" s="330"/>
      <c r="Q122" s="1">
        <f t="shared" si="17"/>
        <v>35416.666628886451</v>
      </c>
      <c r="R122" s="209"/>
      <c r="U122" s="261"/>
      <c r="V122" s="27" t="str">
        <f>'Adubos e corretivos (1)'!C25</f>
        <v>Timac Formulado 04-26-10</v>
      </c>
      <c r="W122" s="27">
        <f>'Adubos e corretivos (1)'!D25</f>
        <v>2.52</v>
      </c>
      <c r="X122" s="27">
        <f>'Adubos e corretivos (1)'!E25</f>
        <v>4</v>
      </c>
      <c r="Y122" s="27">
        <f>'Adubos e corretivos (1)'!F25</f>
        <v>11.35</v>
      </c>
      <c r="Z122" s="27">
        <f>'Adubos e corretivos (1)'!G25</f>
        <v>26</v>
      </c>
      <c r="AA122" s="27">
        <f>'Adubos e corretivos (1)'!H25</f>
        <v>8.3000000000000007</v>
      </c>
      <c r="AB122" s="27">
        <f>'Adubos e corretivos (1)'!I25</f>
        <v>10</v>
      </c>
      <c r="AC122" s="27">
        <f>'Adubos e corretivos (1)'!J25</f>
        <v>0</v>
      </c>
      <c r="AD122" s="27">
        <f>'Adubos e corretivos (1)'!K25</f>
        <v>0</v>
      </c>
      <c r="AE122" s="27">
        <f>'Adubos e corretivos (1)'!L25</f>
        <v>0</v>
      </c>
      <c r="AF122" s="27">
        <f>'Adubos e corretivos (1)'!M25</f>
        <v>0</v>
      </c>
      <c r="AG122" s="27">
        <f>'Adubos e corretivos (1)'!N25</f>
        <v>0</v>
      </c>
      <c r="AH122" s="27">
        <f>'Adubos e corretivos (1)'!O25</f>
        <v>0</v>
      </c>
      <c r="AI122" s="27">
        <f>'Adubos e corretivos (1)'!P25</f>
        <v>0</v>
      </c>
      <c r="AJ122" s="27">
        <f>'Adubos e corretivos (1)'!Q25</f>
        <v>0</v>
      </c>
      <c r="AK122" s="27">
        <f>'Adubos e corretivos (1)'!R25</f>
        <v>0</v>
      </c>
      <c r="AL122" s="27">
        <f>'Adubos e corretivos (1)'!S25</f>
        <v>0</v>
      </c>
      <c r="AM122" s="27">
        <f>'Adubos e corretivos (1)'!T25</f>
        <v>0</v>
      </c>
      <c r="AN122" s="27">
        <f>'Adubos e corretivos (1)'!U25</f>
        <v>0</v>
      </c>
      <c r="AO122" s="27">
        <f>'Adubos e corretivos (1)'!V25</f>
        <v>0</v>
      </c>
    </row>
    <row r="123" spans="2:41" ht="19.5" customHeight="1" x14ac:dyDescent="0.25">
      <c r="M123" s="368"/>
      <c r="N123" s="370"/>
      <c r="O123" s="330" t="s">
        <v>159</v>
      </c>
      <c r="P123" s="330"/>
      <c r="Q123" s="1">
        <f t="shared" si="17"/>
        <v>4547.0477514809891</v>
      </c>
      <c r="R123" s="209"/>
      <c r="U123" s="261"/>
      <c r="V123" s="27">
        <f>'Adubos e corretivos (1)'!C26</f>
        <v>0</v>
      </c>
      <c r="W123" s="27">
        <f>'Adubos e corretivos (1)'!D26</f>
        <v>0</v>
      </c>
      <c r="X123" s="27">
        <f>'Adubos e corretivos (1)'!E26</f>
        <v>0</v>
      </c>
      <c r="Y123" s="27">
        <f>'Adubos e corretivos (1)'!F26</f>
        <v>0</v>
      </c>
      <c r="Z123" s="27">
        <f>'Adubos e corretivos (1)'!G26</f>
        <v>0</v>
      </c>
      <c r="AA123" s="27">
        <f>'Adubos e corretivos (1)'!H26</f>
        <v>0</v>
      </c>
      <c r="AB123" s="27">
        <f>'Adubos e corretivos (1)'!I26</f>
        <v>0</v>
      </c>
      <c r="AC123" s="27">
        <f>'Adubos e corretivos (1)'!J26</f>
        <v>0</v>
      </c>
      <c r="AD123" s="27">
        <f>'Adubos e corretivos (1)'!K26</f>
        <v>0</v>
      </c>
      <c r="AE123" s="27">
        <f>'Adubos e corretivos (1)'!L26</f>
        <v>0</v>
      </c>
      <c r="AF123" s="27">
        <f>'Adubos e corretivos (1)'!M26</f>
        <v>0</v>
      </c>
      <c r="AG123" s="27">
        <f>'Adubos e corretivos (1)'!N26</f>
        <v>0</v>
      </c>
      <c r="AH123" s="27">
        <f>'Adubos e corretivos (1)'!O26</f>
        <v>0</v>
      </c>
      <c r="AI123" s="27">
        <f>'Adubos e corretivos (1)'!P26</f>
        <v>0</v>
      </c>
      <c r="AJ123" s="27">
        <f>'Adubos e corretivos (1)'!Q26</f>
        <v>0</v>
      </c>
      <c r="AK123" s="27">
        <f>'Adubos e corretivos (1)'!R26</f>
        <v>0</v>
      </c>
      <c r="AL123" s="27">
        <f>'Adubos e corretivos (1)'!S26</f>
        <v>0</v>
      </c>
      <c r="AM123" s="27">
        <f>'Adubos e corretivos (1)'!T26</f>
        <v>0</v>
      </c>
      <c r="AN123" s="27">
        <f>'Adubos e corretivos (1)'!U26</f>
        <v>0</v>
      </c>
      <c r="AO123" s="27">
        <f>'Adubos e corretivos (1)'!V26</f>
        <v>0</v>
      </c>
    </row>
    <row r="124" spans="2:41" ht="19.5" customHeight="1" x14ac:dyDescent="0.25">
      <c r="M124" s="368"/>
      <c r="N124" s="370"/>
      <c r="O124" s="330" t="s">
        <v>161</v>
      </c>
      <c r="P124" s="330"/>
      <c r="Q124" s="1">
        <f t="shared" si="17"/>
        <v>5108.9959152090014</v>
      </c>
      <c r="R124" s="209"/>
      <c r="U124" s="261"/>
      <c r="V124" s="27" t="str">
        <f>'Adubos e corretivos (1)'!C27</f>
        <v>Timac Formulado 12-03-24</v>
      </c>
      <c r="W124" s="27">
        <f>'Adubos e corretivos (1)'!D27</f>
        <v>2.72</v>
      </c>
      <c r="X124" s="27">
        <f>'Adubos e corretivos (1)'!E27</f>
        <v>12</v>
      </c>
      <c r="Y124" s="27">
        <f>'Adubos e corretivos (1)'!F27</f>
        <v>1.31</v>
      </c>
      <c r="Z124" s="27">
        <f>'Adubos e corretivos (1)'!G27</f>
        <v>3</v>
      </c>
      <c r="AA124" s="27">
        <f>'Adubos e corretivos (1)'!H27</f>
        <v>20</v>
      </c>
      <c r="AB124" s="27">
        <f>'Adubos e corretivos (1)'!I27</f>
        <v>24</v>
      </c>
      <c r="AC124" s="27">
        <f>'Adubos e corretivos (1)'!J27</f>
        <v>0</v>
      </c>
      <c r="AD124" s="27">
        <f>'Adubos e corretivos (1)'!K27</f>
        <v>0</v>
      </c>
      <c r="AE124" s="27">
        <f>'Adubos e corretivos (1)'!L27</f>
        <v>0</v>
      </c>
      <c r="AF124" s="27">
        <f>'Adubos e corretivos (1)'!M27</f>
        <v>0</v>
      </c>
      <c r="AG124" s="27">
        <f>'Adubos e corretivos (1)'!N27</f>
        <v>0</v>
      </c>
      <c r="AH124" s="27">
        <f>'Adubos e corretivos (1)'!O27</f>
        <v>0</v>
      </c>
      <c r="AI124" s="27">
        <f>'Adubos e corretivos (1)'!P27</f>
        <v>0</v>
      </c>
      <c r="AJ124" s="27">
        <f>'Adubos e corretivos (1)'!Q27</f>
        <v>0</v>
      </c>
      <c r="AK124" s="27">
        <f>'Adubos e corretivos (1)'!R27</f>
        <v>0</v>
      </c>
      <c r="AL124" s="27">
        <f>'Adubos e corretivos (1)'!S27</f>
        <v>0</v>
      </c>
      <c r="AM124" s="27">
        <f>'Adubos e corretivos (1)'!T27</f>
        <v>0</v>
      </c>
      <c r="AN124" s="27">
        <f>'Adubos e corretivos (1)'!U27</f>
        <v>0</v>
      </c>
      <c r="AO124" s="27">
        <f>'Adubos e corretivos (1)'!V27</f>
        <v>0</v>
      </c>
    </row>
    <row r="125" spans="2:41" ht="19.5" customHeight="1" x14ac:dyDescent="0.25">
      <c r="M125" s="368"/>
      <c r="N125" s="370"/>
      <c r="O125" s="330" t="s">
        <v>155</v>
      </c>
      <c r="P125" s="330"/>
      <c r="Q125" s="1">
        <f t="shared" si="17"/>
        <v>0</v>
      </c>
      <c r="R125" s="209"/>
      <c r="U125" s="261"/>
      <c r="V125" s="27" t="str">
        <f>'Adubos e corretivos (1)'!C28</f>
        <v>Hortimax Cobertura 13-3-25</v>
      </c>
      <c r="W125" s="27">
        <f>'Adubos e corretivos (1)'!D28</f>
        <v>2.2799999999999998</v>
      </c>
      <c r="X125" s="27">
        <f>'Adubos e corretivos (1)'!E28</f>
        <v>13</v>
      </c>
      <c r="Y125" s="27">
        <f>'Adubos e corretivos (1)'!F28</f>
        <v>1.31</v>
      </c>
      <c r="Z125" s="27">
        <f>'Adubos e corretivos (1)'!G28</f>
        <v>3</v>
      </c>
      <c r="AA125" s="27">
        <f>'Adubos e corretivos (1)'!H28</f>
        <v>20.8</v>
      </c>
      <c r="AB125" s="27">
        <f>'Adubos e corretivos (1)'!I28</f>
        <v>25</v>
      </c>
      <c r="AC125" s="27">
        <f>'Adubos e corretivos (1)'!J28</f>
        <v>0</v>
      </c>
      <c r="AD125" s="27">
        <f>'Adubos e corretivos (1)'!K28</f>
        <v>0</v>
      </c>
      <c r="AE125" s="27">
        <f>'Adubos e corretivos (1)'!L28</f>
        <v>0</v>
      </c>
      <c r="AF125" s="27">
        <f>'Adubos e corretivos (1)'!M28</f>
        <v>0</v>
      </c>
      <c r="AG125" s="27">
        <f>'Adubos e corretivos (1)'!N28</f>
        <v>0</v>
      </c>
      <c r="AH125" s="27">
        <f>'Adubos e corretivos (1)'!O28</f>
        <v>0</v>
      </c>
      <c r="AI125" s="27">
        <f>'Adubos e corretivos (1)'!P28</f>
        <v>0</v>
      </c>
      <c r="AJ125" s="27">
        <f>'Adubos e corretivos (1)'!Q28</f>
        <v>0</v>
      </c>
      <c r="AK125" s="27">
        <f>'Adubos e corretivos (1)'!R28</f>
        <v>0</v>
      </c>
      <c r="AL125" s="27">
        <f>'Adubos e corretivos (1)'!S28</f>
        <v>0</v>
      </c>
      <c r="AM125" s="27">
        <f>'Adubos e corretivos (1)'!T28</f>
        <v>0</v>
      </c>
      <c r="AN125" s="27">
        <f>'Adubos e corretivos (1)'!U28</f>
        <v>0</v>
      </c>
      <c r="AO125" s="27">
        <f>'Adubos e corretivos (1)'!V28</f>
        <v>0</v>
      </c>
    </row>
    <row r="126" spans="2:41" ht="19.5" customHeight="1" x14ac:dyDescent="0.25">
      <c r="M126" s="368"/>
      <c r="N126" s="370"/>
      <c r="O126" s="330" t="s">
        <v>157</v>
      </c>
      <c r="P126" s="330"/>
      <c r="Q126" s="1">
        <f t="shared" si="17"/>
        <v>-7.1054273576010019E-15</v>
      </c>
      <c r="R126" s="209"/>
      <c r="U126" s="261"/>
      <c r="V126" s="27" t="str">
        <f>'Adubos e corretivos (1)'!C29</f>
        <v>Formulado 10-10-10</v>
      </c>
      <c r="W126" s="27">
        <f>'Adubos e corretivos (1)'!D29</f>
        <v>2</v>
      </c>
      <c r="X126" s="27">
        <f>'Adubos e corretivos (1)'!E29</f>
        <v>10</v>
      </c>
      <c r="Y126" s="27">
        <f>'Adubos e corretivos (1)'!F29</f>
        <v>4.4000000000000004</v>
      </c>
      <c r="Z126" s="27">
        <f>'Adubos e corretivos (1)'!G29</f>
        <v>10</v>
      </c>
      <c r="AA126" s="27">
        <f>'Adubos e corretivos (1)'!H29</f>
        <v>8.3000000000000007</v>
      </c>
      <c r="AB126" s="27">
        <f>'Adubos e corretivos (1)'!I29</f>
        <v>10</v>
      </c>
      <c r="AC126" s="27">
        <f>'Adubos e corretivos (1)'!J29</f>
        <v>0</v>
      </c>
      <c r="AD126" s="27">
        <f>'Adubos e corretivos (1)'!K29</f>
        <v>0</v>
      </c>
      <c r="AE126" s="27">
        <f>'Adubos e corretivos (1)'!L29</f>
        <v>0</v>
      </c>
      <c r="AF126" s="27">
        <f>'Adubos e corretivos (1)'!M29</f>
        <v>0</v>
      </c>
      <c r="AG126" s="27">
        <f>'Adubos e corretivos (1)'!N29</f>
        <v>0</v>
      </c>
      <c r="AH126" s="27">
        <f>'Adubos e corretivos (1)'!O29</f>
        <v>0</v>
      </c>
      <c r="AI126" s="27">
        <f>'Adubos e corretivos (1)'!P29</f>
        <v>0</v>
      </c>
      <c r="AJ126" s="27">
        <f>'Adubos e corretivos (1)'!Q29</f>
        <v>0</v>
      </c>
      <c r="AK126" s="27">
        <f>'Adubos e corretivos (1)'!R29</f>
        <v>0</v>
      </c>
      <c r="AL126" s="27">
        <f>'Adubos e corretivos (1)'!S29</f>
        <v>0</v>
      </c>
      <c r="AM126" s="27">
        <f>'Adubos e corretivos (1)'!T29</f>
        <v>0</v>
      </c>
      <c r="AN126" s="27">
        <f>'Adubos e corretivos (1)'!U29</f>
        <v>0</v>
      </c>
      <c r="AO126" s="27">
        <f>'Adubos e corretivos (1)'!V29</f>
        <v>0</v>
      </c>
    </row>
    <row r="127" spans="2:41" ht="19.5" customHeight="1" x14ac:dyDescent="0.25">
      <c r="M127" s="368"/>
      <c r="N127" s="370"/>
      <c r="O127" s="330" t="s">
        <v>158</v>
      </c>
      <c r="P127" s="330"/>
      <c r="Q127" s="1">
        <f t="shared" si="17"/>
        <v>0</v>
      </c>
      <c r="R127" s="209"/>
      <c r="U127" s="261"/>
      <c r="V127" s="27" t="str">
        <f>'Adubos e corretivos (1)'!C30</f>
        <v>Formulado 20-00-20</v>
      </c>
      <c r="W127" s="27">
        <f>'Adubos e corretivos (1)'!D30</f>
        <v>2.2799999999999998</v>
      </c>
      <c r="X127" s="27">
        <f>'Adubos e corretivos (1)'!E30</f>
        <v>20</v>
      </c>
      <c r="Y127" s="27">
        <f>'Adubos e corretivos (1)'!F30</f>
        <v>0</v>
      </c>
      <c r="Z127" s="27">
        <f>'Adubos e corretivos (1)'!G30</f>
        <v>0</v>
      </c>
      <c r="AA127" s="27">
        <f>'Adubos e corretivos (1)'!H30</f>
        <v>16.600000000000001</v>
      </c>
      <c r="AB127" s="27">
        <f>'Adubos e corretivos (1)'!I30</f>
        <v>20</v>
      </c>
      <c r="AC127" s="27">
        <f>'Adubos e corretivos (1)'!J30</f>
        <v>0</v>
      </c>
      <c r="AD127" s="27">
        <f>'Adubos e corretivos (1)'!K30</f>
        <v>0</v>
      </c>
      <c r="AE127" s="27">
        <f>'Adubos e corretivos (1)'!L30</f>
        <v>0</v>
      </c>
      <c r="AF127" s="27">
        <f>'Adubos e corretivos (1)'!M30</f>
        <v>0</v>
      </c>
      <c r="AG127" s="27">
        <f>'Adubos e corretivos (1)'!N30</f>
        <v>0</v>
      </c>
      <c r="AH127" s="27">
        <f>'Adubos e corretivos (1)'!O30</f>
        <v>0</v>
      </c>
      <c r="AI127" s="27">
        <f>'Adubos e corretivos (1)'!P30</f>
        <v>0</v>
      </c>
      <c r="AJ127" s="27">
        <f>'Adubos e corretivos (1)'!Q30</f>
        <v>0</v>
      </c>
      <c r="AK127" s="27">
        <f>'Adubos e corretivos (1)'!R30</f>
        <v>0</v>
      </c>
      <c r="AL127" s="27">
        <f>'Adubos e corretivos (1)'!S30</f>
        <v>0</v>
      </c>
      <c r="AM127" s="27">
        <f>'Adubos e corretivos (1)'!T30</f>
        <v>0</v>
      </c>
      <c r="AN127" s="27">
        <f>'Adubos e corretivos (1)'!U30</f>
        <v>0</v>
      </c>
      <c r="AO127" s="27">
        <f>'Adubos e corretivos (1)'!V30</f>
        <v>0</v>
      </c>
    </row>
    <row r="128" spans="2:41" ht="19.5" customHeight="1" x14ac:dyDescent="0.25">
      <c r="M128" s="368"/>
      <c r="N128" s="370"/>
      <c r="O128" s="330" t="s">
        <v>162</v>
      </c>
      <c r="P128" s="330"/>
      <c r="Q128" s="1">
        <f t="shared" si="17"/>
        <v>1.1368683772161603E-13</v>
      </c>
      <c r="R128" s="209"/>
      <c r="U128" s="261"/>
      <c r="V128" s="27" t="str">
        <f>'Adubos e corretivos (1)'!C31</f>
        <v>Ncalcio Formulado 07-00-30</v>
      </c>
      <c r="W128" s="27">
        <f>'Adubos e corretivos (1)'!D31</f>
        <v>3.36</v>
      </c>
      <c r="X128" s="27">
        <f>'Adubos e corretivos (1)'!E31</f>
        <v>7</v>
      </c>
      <c r="Y128" s="27">
        <f>'Adubos e corretivos (1)'!F31</f>
        <v>0</v>
      </c>
      <c r="Z128" s="27">
        <f>'Adubos e corretivos (1)'!G31</f>
        <v>0</v>
      </c>
      <c r="AA128" s="27">
        <f>'Adubos e corretivos (1)'!H31</f>
        <v>24.89</v>
      </c>
      <c r="AB128" s="27">
        <f>'Adubos e corretivos (1)'!I31</f>
        <v>30</v>
      </c>
      <c r="AC128" s="27">
        <f>'Adubos e corretivos (1)'!J31</f>
        <v>12</v>
      </c>
      <c r="AD128" s="27">
        <f>'Adubos e corretivos (1)'!K31</f>
        <v>0</v>
      </c>
      <c r="AE128" s="27">
        <f>'Adubos e corretivos (1)'!L31</f>
        <v>0</v>
      </c>
      <c r="AF128" s="27">
        <f>'Adubos e corretivos (1)'!M31</f>
        <v>0</v>
      </c>
      <c r="AG128" s="27">
        <f>'Adubos e corretivos (1)'!N31</f>
        <v>0</v>
      </c>
      <c r="AH128" s="27">
        <f>'Adubos e corretivos (1)'!O31</f>
        <v>0</v>
      </c>
      <c r="AI128" s="27">
        <f>'Adubos e corretivos (1)'!P31</f>
        <v>0</v>
      </c>
      <c r="AJ128" s="27">
        <f>'Adubos e corretivos (1)'!Q31</f>
        <v>0</v>
      </c>
      <c r="AK128" s="27">
        <f>'Adubos e corretivos (1)'!R31</f>
        <v>0</v>
      </c>
      <c r="AL128" s="27">
        <f>'Adubos e corretivos (1)'!S31</f>
        <v>0</v>
      </c>
      <c r="AM128" s="27">
        <f>'Adubos e corretivos (1)'!T31</f>
        <v>0</v>
      </c>
      <c r="AN128" s="27">
        <f>'Adubos e corretivos (1)'!U31</f>
        <v>0</v>
      </c>
      <c r="AO128" s="27">
        <f>'Adubos e corretivos (1)'!V31</f>
        <v>0</v>
      </c>
    </row>
    <row r="129" spans="13:41" ht="19.5" customHeight="1" x14ac:dyDescent="0.25">
      <c r="M129" s="368"/>
      <c r="N129" s="370"/>
      <c r="O129" s="330" t="s">
        <v>408</v>
      </c>
      <c r="P129" s="330"/>
      <c r="Q129" s="1">
        <f t="shared" si="17"/>
        <v>0</v>
      </c>
      <c r="R129" s="209"/>
      <c r="U129" s="261"/>
      <c r="V129" s="27">
        <f>'Adubos e corretivos (1)'!C32</f>
        <v>0</v>
      </c>
      <c r="W129" s="27">
        <f>'Adubos e corretivos (1)'!D32</f>
        <v>0</v>
      </c>
      <c r="X129" s="27">
        <f>'Adubos e corretivos (1)'!E32</f>
        <v>0</v>
      </c>
      <c r="Y129" s="27">
        <f>'Adubos e corretivos (1)'!F32</f>
        <v>0</v>
      </c>
      <c r="Z129" s="27">
        <f>'Adubos e corretivos (1)'!G32</f>
        <v>0</v>
      </c>
      <c r="AA129" s="27">
        <f>'Adubos e corretivos (1)'!H32</f>
        <v>0</v>
      </c>
      <c r="AB129" s="27">
        <f>'Adubos e corretivos (1)'!I32</f>
        <v>0</v>
      </c>
      <c r="AC129" s="27">
        <f>'Adubos e corretivos (1)'!J32</f>
        <v>0</v>
      </c>
      <c r="AD129" s="27">
        <f>'Adubos e corretivos (1)'!K32</f>
        <v>0</v>
      </c>
      <c r="AE129" s="27">
        <f>'Adubos e corretivos (1)'!L32</f>
        <v>0</v>
      </c>
      <c r="AF129" s="27">
        <f>'Adubos e corretivos (1)'!M32</f>
        <v>0</v>
      </c>
      <c r="AG129" s="27">
        <f>'Adubos e corretivos (1)'!N32</f>
        <v>0</v>
      </c>
      <c r="AH129" s="27">
        <f>'Adubos e corretivos (1)'!O32</f>
        <v>0</v>
      </c>
      <c r="AI129" s="27">
        <f>'Adubos e corretivos (1)'!P32</f>
        <v>0</v>
      </c>
      <c r="AJ129" s="27">
        <f>'Adubos e corretivos (1)'!Q32</f>
        <v>0</v>
      </c>
      <c r="AK129" s="27">
        <f>'Adubos e corretivos (1)'!R32</f>
        <v>0</v>
      </c>
      <c r="AL129" s="27">
        <f>'Adubos e corretivos (1)'!S32</f>
        <v>0</v>
      </c>
      <c r="AM129" s="27">
        <f>'Adubos e corretivos (1)'!T32</f>
        <v>0</v>
      </c>
      <c r="AN129" s="27">
        <f>'Adubos e corretivos (1)'!U32</f>
        <v>0</v>
      </c>
      <c r="AO129" s="27">
        <f>'Adubos e corretivos (1)'!V32</f>
        <v>0</v>
      </c>
    </row>
    <row r="130" spans="13:41" ht="19.5" customHeight="1" x14ac:dyDescent="0.25">
      <c r="M130" s="368"/>
      <c r="N130" s="370"/>
      <c r="O130" s="330" t="s">
        <v>203</v>
      </c>
      <c r="P130" s="330"/>
      <c r="Q130" s="1">
        <f t="shared" si="17"/>
        <v>0</v>
      </c>
      <c r="R130" s="209"/>
      <c r="U130" s="261"/>
      <c r="V130" s="27">
        <f>'Adubos e corretivos (1)'!C33</f>
        <v>0</v>
      </c>
      <c r="W130" s="27">
        <f>'Adubos e corretivos (1)'!D33</f>
        <v>0</v>
      </c>
      <c r="X130" s="27">
        <f>'Adubos e corretivos (1)'!E33</f>
        <v>0</v>
      </c>
      <c r="Y130" s="27">
        <f>'Adubos e corretivos (1)'!F33</f>
        <v>0</v>
      </c>
      <c r="Z130" s="27">
        <f>'Adubos e corretivos (1)'!G33</f>
        <v>0</v>
      </c>
      <c r="AA130" s="27">
        <f>'Adubos e corretivos (1)'!H33</f>
        <v>0</v>
      </c>
      <c r="AB130" s="27">
        <f>'Adubos e corretivos (1)'!I33</f>
        <v>0</v>
      </c>
      <c r="AC130" s="27">
        <f>'Adubos e corretivos (1)'!J33</f>
        <v>0</v>
      </c>
      <c r="AD130" s="27">
        <f>'Adubos e corretivos (1)'!K33</f>
        <v>0</v>
      </c>
      <c r="AE130" s="27">
        <f>'Adubos e corretivos (1)'!L33</f>
        <v>0</v>
      </c>
      <c r="AF130" s="27">
        <f>'Adubos e corretivos (1)'!M33</f>
        <v>0</v>
      </c>
      <c r="AG130" s="27">
        <f>'Adubos e corretivos (1)'!N33</f>
        <v>0</v>
      </c>
      <c r="AH130" s="27">
        <f>'Adubos e corretivos (1)'!O33</f>
        <v>0</v>
      </c>
      <c r="AI130" s="27">
        <f>'Adubos e corretivos (1)'!P33</f>
        <v>0</v>
      </c>
      <c r="AJ130" s="27">
        <f>'Adubos e corretivos (1)'!Q33</f>
        <v>0</v>
      </c>
      <c r="AK130" s="27">
        <f>'Adubos e corretivos (1)'!R33</f>
        <v>0</v>
      </c>
      <c r="AL130" s="27">
        <f>'Adubos e corretivos (1)'!S33</f>
        <v>0</v>
      </c>
      <c r="AM130" s="27">
        <f>'Adubos e corretivos (1)'!T33</f>
        <v>0</v>
      </c>
      <c r="AN130" s="27">
        <f>'Adubos e corretivos (1)'!U33</f>
        <v>0</v>
      </c>
      <c r="AO130" s="27">
        <f>'Adubos e corretivos (1)'!V33</f>
        <v>0</v>
      </c>
    </row>
    <row r="131" spans="13:41" ht="19.5" customHeight="1" x14ac:dyDescent="0.25">
      <c r="M131" s="368"/>
      <c r="N131" s="370"/>
      <c r="O131" s="330" t="s">
        <v>148</v>
      </c>
      <c r="P131" s="330"/>
      <c r="Q131" s="1">
        <f t="shared" si="17"/>
        <v>963.62433740756171</v>
      </c>
      <c r="R131" s="209"/>
      <c r="U131" s="262" t="s">
        <v>254</v>
      </c>
      <c r="V131" s="27" t="str">
        <f>'Adubos e corretivos (1)'!C34</f>
        <v>Esterco de galinha</v>
      </c>
      <c r="W131" s="27">
        <f>'Adubos e corretivos (1)'!D34</f>
        <v>0.25</v>
      </c>
      <c r="X131" s="27">
        <f>'Adubos e corretivos (1)'!E34</f>
        <v>3</v>
      </c>
      <c r="Y131" s="27">
        <f>'Adubos e corretivos (1)'!F34</f>
        <v>1.31</v>
      </c>
      <c r="Z131" s="27">
        <f>'Adubos e corretivos (1)'!G34</f>
        <v>3</v>
      </c>
      <c r="AA131" s="27">
        <f>'Adubos e corretivos (1)'!H34</f>
        <v>1.665</v>
      </c>
      <c r="AB131" s="27">
        <f>'Adubos e corretivos (1)'!I34</f>
        <v>2</v>
      </c>
      <c r="AC131" s="27">
        <f>'Adubos e corretivos (1)'!J34</f>
        <v>0</v>
      </c>
      <c r="AD131" s="27">
        <f>'Adubos e corretivos (1)'!K34</f>
        <v>0</v>
      </c>
      <c r="AE131" s="27">
        <f>'Adubos e corretivos (1)'!L34</f>
        <v>0</v>
      </c>
      <c r="AF131" s="27">
        <f>'Adubos e corretivos (1)'!M34</f>
        <v>0</v>
      </c>
      <c r="AG131" s="27">
        <f>'Adubos e corretivos (1)'!N34</f>
        <v>0</v>
      </c>
      <c r="AH131" s="27">
        <f>'Adubos e corretivos (1)'!O34</f>
        <v>0</v>
      </c>
      <c r="AI131" s="27">
        <f>'Adubos e corretivos (1)'!P34</f>
        <v>0</v>
      </c>
      <c r="AJ131" s="27">
        <f>'Adubos e corretivos (1)'!Q34</f>
        <v>0</v>
      </c>
      <c r="AK131" s="27">
        <f>'Adubos e corretivos (1)'!R34</f>
        <v>0</v>
      </c>
      <c r="AL131" s="27">
        <f>'Adubos e corretivos (1)'!S34</f>
        <v>0</v>
      </c>
      <c r="AM131" s="27">
        <f>'Adubos e corretivos (1)'!T34</f>
        <v>0</v>
      </c>
      <c r="AN131" s="27">
        <f>'Adubos e corretivos (1)'!U34</f>
        <v>0</v>
      </c>
      <c r="AO131" s="27">
        <f>'Adubos e corretivos (1)'!V34</f>
        <v>0</v>
      </c>
    </row>
    <row r="132" spans="13:41" ht="19.5" customHeight="1" x14ac:dyDescent="0.25">
      <c r="M132" s="368"/>
      <c r="N132" s="370"/>
      <c r="O132" s="330" t="s">
        <v>429</v>
      </c>
      <c r="P132" s="330"/>
      <c r="Q132" s="1">
        <f t="shared" si="17"/>
        <v>0</v>
      </c>
      <c r="R132" s="209"/>
      <c r="U132" s="262"/>
      <c r="V132" s="27" t="str">
        <f>'Adubos e corretivos (1)'!C35</f>
        <v>Esterco de gado</v>
      </c>
      <c r="W132" s="27">
        <f>'Adubos e corretivos (1)'!D35</f>
        <v>0.25</v>
      </c>
      <c r="X132" s="27">
        <f>'Adubos e corretivos (1)'!E35</f>
        <v>1</v>
      </c>
      <c r="Y132" s="27">
        <f>'Adubos e corretivos (1)'!F35</f>
        <v>0.4366666666666667</v>
      </c>
      <c r="Z132" s="27">
        <f>'Adubos e corretivos (1)'!G35</f>
        <v>1</v>
      </c>
      <c r="AA132" s="27">
        <f>'Adubos e corretivos (1)'!H35</f>
        <v>0.55500000000000005</v>
      </c>
      <c r="AB132" s="27">
        <f>'Adubos e corretivos (1)'!I35</f>
        <v>0.7</v>
      </c>
      <c r="AC132" s="27">
        <f>'Adubos e corretivos (1)'!J35</f>
        <v>0</v>
      </c>
      <c r="AD132" s="27">
        <f>'Adubos e corretivos (1)'!K35</f>
        <v>0</v>
      </c>
      <c r="AE132" s="27">
        <f>'Adubos e corretivos (1)'!L35</f>
        <v>0</v>
      </c>
      <c r="AF132" s="27">
        <f>'Adubos e corretivos (1)'!M35</f>
        <v>0</v>
      </c>
      <c r="AG132" s="27">
        <f>'Adubos e corretivos (1)'!N35</f>
        <v>0</v>
      </c>
      <c r="AH132" s="27">
        <f>'Adubos e corretivos (1)'!O35</f>
        <v>0</v>
      </c>
      <c r="AI132" s="27">
        <f>'Adubos e corretivos (1)'!P35</f>
        <v>0</v>
      </c>
      <c r="AJ132" s="27">
        <f>'Adubos e corretivos (1)'!Q35</f>
        <v>0</v>
      </c>
      <c r="AK132" s="27">
        <f>'Adubos e corretivos (1)'!R35</f>
        <v>0</v>
      </c>
      <c r="AL132" s="27">
        <f>'Adubos e corretivos (1)'!S35</f>
        <v>0</v>
      </c>
      <c r="AM132" s="27">
        <f>'Adubos e corretivos (1)'!T35</f>
        <v>0</v>
      </c>
      <c r="AN132" s="27">
        <f>'Adubos e corretivos (1)'!U35</f>
        <v>0</v>
      </c>
      <c r="AO132" s="27">
        <f>'Adubos e corretivos (1)'!V35</f>
        <v>0</v>
      </c>
    </row>
    <row r="133" spans="13:41" ht="19.5" customHeight="1" x14ac:dyDescent="0.25">
      <c r="M133" s="368"/>
      <c r="N133" s="370"/>
      <c r="O133" s="330" t="s">
        <v>441</v>
      </c>
      <c r="P133" s="330"/>
      <c r="Q133" s="1">
        <f t="shared" si="17"/>
        <v>0</v>
      </c>
      <c r="R133" s="209"/>
      <c r="U133" s="262"/>
      <c r="V133" s="27" t="str">
        <f>'Adubos e corretivos (1)'!C36</f>
        <v>Minhofertil (61 3361-6634)</v>
      </c>
      <c r="W133" s="27">
        <f>'Adubos e corretivos (1)'!D36</f>
        <v>0</v>
      </c>
      <c r="X133" s="27">
        <f>'Adubos e corretivos (1)'!E36</f>
        <v>1</v>
      </c>
      <c r="Y133" s="27">
        <f>'Adubos e corretivos (1)'!F36</f>
        <v>0</v>
      </c>
      <c r="Z133" s="27">
        <f>'Adubos e corretivos (1)'!G36</f>
        <v>0</v>
      </c>
      <c r="AA133" s="27">
        <f>'Adubos e corretivos (1)'!H36</f>
        <v>0</v>
      </c>
      <c r="AB133" s="27">
        <f>'Adubos e corretivos (1)'!I36</f>
        <v>0</v>
      </c>
      <c r="AC133" s="27">
        <f>'Adubos e corretivos (1)'!J36</f>
        <v>0</v>
      </c>
      <c r="AD133" s="27">
        <f>'Adubos e corretivos (1)'!K36</f>
        <v>0</v>
      </c>
      <c r="AE133" s="27">
        <f>'Adubos e corretivos (1)'!L36</f>
        <v>0</v>
      </c>
      <c r="AF133" s="27">
        <f>'Adubos e corretivos (1)'!M36</f>
        <v>0</v>
      </c>
      <c r="AG133" s="27">
        <f>'Adubos e corretivos (1)'!N36</f>
        <v>0</v>
      </c>
      <c r="AH133" s="27">
        <f>'Adubos e corretivos (1)'!O36</f>
        <v>0</v>
      </c>
      <c r="AI133" s="27">
        <f>'Adubos e corretivos (1)'!P36</f>
        <v>0</v>
      </c>
      <c r="AJ133" s="27">
        <f>'Adubos e corretivos (1)'!Q36</f>
        <v>0</v>
      </c>
      <c r="AK133" s="27">
        <f>'Adubos e corretivos (1)'!R36</f>
        <v>0</v>
      </c>
      <c r="AL133" s="27">
        <f>'Adubos e corretivos (1)'!S36</f>
        <v>0</v>
      </c>
      <c r="AM133" s="27">
        <f>'Adubos e corretivos (1)'!T36</f>
        <v>0</v>
      </c>
      <c r="AN133" s="27">
        <f>'Adubos e corretivos (1)'!U36</f>
        <v>0</v>
      </c>
      <c r="AO133" s="27">
        <f>'Adubos e corretivos (1)'!V36</f>
        <v>0</v>
      </c>
    </row>
    <row r="134" spans="13:41" ht="19.5" customHeight="1" x14ac:dyDescent="0.25">
      <c r="M134" s="368"/>
      <c r="N134" s="370"/>
      <c r="O134" s="330"/>
      <c r="P134" s="330"/>
      <c r="Q134" s="1">
        <f t="shared" si="17"/>
        <v>0</v>
      </c>
      <c r="R134" s="209"/>
      <c r="U134" s="262"/>
      <c r="V134" s="27" t="str">
        <f>'Adubos e corretivos (1)'!C37</f>
        <v>Composto ORGANICS (062 3247-3100)</v>
      </c>
      <c r="W134" s="27">
        <f>'Adubos e corretivos (1)'!D37</f>
        <v>0</v>
      </c>
      <c r="X134" s="27">
        <f>'Adubos e corretivos (1)'!E37</f>
        <v>3</v>
      </c>
      <c r="Y134" s="27">
        <f>'Adubos e corretivos (1)'!F37</f>
        <v>2.63</v>
      </c>
      <c r="Z134" s="27">
        <f>'Adubos e corretivos (1)'!G37</f>
        <v>6</v>
      </c>
      <c r="AA134" s="27">
        <f>'Adubos e corretivos (1)'!H37</f>
        <v>3.32</v>
      </c>
      <c r="AB134" s="27">
        <f>'Adubos e corretivos (1)'!I37</f>
        <v>4</v>
      </c>
      <c r="AC134" s="27">
        <f>'Adubos e corretivos (1)'!J37</f>
        <v>0</v>
      </c>
      <c r="AD134" s="27">
        <f>'Adubos e corretivos (1)'!K37</f>
        <v>0</v>
      </c>
      <c r="AE134" s="27">
        <f>'Adubos e corretivos (1)'!L37</f>
        <v>0</v>
      </c>
      <c r="AF134" s="27">
        <f>'Adubos e corretivos (1)'!M37</f>
        <v>0</v>
      </c>
      <c r="AG134" s="27">
        <f>'Adubos e corretivos (1)'!N37</f>
        <v>0</v>
      </c>
      <c r="AH134" s="27">
        <f>'Adubos e corretivos (1)'!O37</f>
        <v>0</v>
      </c>
      <c r="AI134" s="27">
        <f>'Adubos e corretivos (1)'!P37</f>
        <v>0</v>
      </c>
      <c r="AJ134" s="27">
        <f>'Adubos e corretivos (1)'!Q37</f>
        <v>0</v>
      </c>
      <c r="AK134" s="27">
        <f>'Adubos e corretivos (1)'!R37</f>
        <v>0</v>
      </c>
      <c r="AL134" s="27">
        <f>'Adubos e corretivos (1)'!S37</f>
        <v>0</v>
      </c>
      <c r="AM134" s="27">
        <f>'Adubos e corretivos (1)'!T37</f>
        <v>0</v>
      </c>
      <c r="AN134" s="27">
        <f>'Adubos e corretivos (1)'!U37</f>
        <v>0</v>
      </c>
      <c r="AO134" s="27">
        <f>'Adubos e corretivos (1)'!V37</f>
        <v>0</v>
      </c>
    </row>
    <row r="135" spans="13:41" ht="19.5" customHeight="1" x14ac:dyDescent="0.25">
      <c r="M135" s="368"/>
      <c r="N135" s="370"/>
      <c r="O135" s="330"/>
      <c r="P135" s="330"/>
      <c r="Q135" s="1">
        <f t="shared" si="17"/>
        <v>0</v>
      </c>
      <c r="R135" s="209"/>
      <c r="U135" s="262"/>
      <c r="V135" s="27" t="str">
        <f>'Adubos e corretivos (1)'!C38</f>
        <v>Composto Bioforte BONASA (061 9 9967-0863)</v>
      </c>
      <c r="W135" s="27">
        <f>'Adubos e corretivos (1)'!D38</f>
        <v>0</v>
      </c>
      <c r="X135" s="27">
        <f>'Adubos e corretivos (1)'!E38</f>
        <v>1.7</v>
      </c>
      <c r="Y135" s="27">
        <f>'Adubos e corretivos (1)'!F38</f>
        <v>0.77800000000000002</v>
      </c>
      <c r="Z135" s="27">
        <f>'Adubos e corretivos (1)'!G38</f>
        <v>1.8</v>
      </c>
      <c r="AA135" s="27">
        <f>'Adubos e corretivos (1)'!H38</f>
        <v>0.93</v>
      </c>
      <c r="AB135" s="27">
        <f>'Adubos e corretivos (1)'!I38</f>
        <v>1.1000000000000001</v>
      </c>
      <c r="AC135" s="27">
        <f>'Adubos e corretivos (1)'!J38</f>
        <v>3.5</v>
      </c>
      <c r="AD135" s="27">
        <f>'Adubos e corretivos (1)'!K38</f>
        <v>0.69</v>
      </c>
      <c r="AE135" s="27">
        <f>'Adubos e corretivos (1)'!L38</f>
        <v>0.54</v>
      </c>
      <c r="AF135" s="27">
        <f>'Adubos e corretivos (1)'!M38</f>
        <v>2.05E-5</v>
      </c>
      <c r="AG135" s="27">
        <f>'Adubos e corretivos (1)'!N38</f>
        <v>4.2999999999999999E-4</v>
      </c>
      <c r="AH135" s="27">
        <f>'Adubos e corretivos (1)'!O38</f>
        <v>0</v>
      </c>
      <c r="AI135" s="27">
        <f>'Adubos e corretivos (1)'!P38</f>
        <v>4.6900000000000002E-4</v>
      </c>
      <c r="AJ135" s="27">
        <f>'Adubos e corretivos (1)'!Q38</f>
        <v>0</v>
      </c>
      <c r="AK135" s="27">
        <f>'Adubos e corretivos (1)'!R38</f>
        <v>5.9700000000000001E-5</v>
      </c>
      <c r="AL135" s="27">
        <f>'Adubos e corretivos (1)'!S38</f>
        <v>0</v>
      </c>
      <c r="AM135" s="27">
        <f>'Adubos e corretivos (1)'!T38</f>
        <v>0</v>
      </c>
      <c r="AN135" s="27">
        <f>'Adubos e corretivos (1)'!U38</f>
        <v>0</v>
      </c>
      <c r="AO135" s="27">
        <f>'Adubos e corretivos (1)'!V38</f>
        <v>0</v>
      </c>
    </row>
    <row r="136" spans="13:41" ht="19.5" customHeight="1" x14ac:dyDescent="0.25">
      <c r="M136" s="368"/>
      <c r="N136" s="370"/>
      <c r="O136" s="330"/>
      <c r="P136" s="330"/>
      <c r="Q136" s="1">
        <f t="shared" si="17"/>
        <v>0</v>
      </c>
      <c r="R136" s="209"/>
      <c r="U136" s="262"/>
      <c r="V136" s="27" t="str">
        <f>'Adubos e corretivos (1)'!C39</f>
        <v>Composto Bioensima BONASA (061 9 9967-0863)</v>
      </c>
      <c r="W136" s="27">
        <f>'Adubos e corretivos (1)'!D39</f>
        <v>0</v>
      </c>
      <c r="X136" s="27">
        <f>'Adubos e corretivos (1)'!E39</f>
        <v>2.57</v>
      </c>
      <c r="Y136" s="27">
        <f>'Adubos e corretivos (1)'!F39</f>
        <v>0.55500000000000005</v>
      </c>
      <c r="Z136" s="27">
        <f>'Adubos e corretivos (1)'!G39</f>
        <v>1.3</v>
      </c>
      <c r="AA136" s="27">
        <f>'Adubos e corretivos (1)'!H39</f>
        <v>1.25</v>
      </c>
      <c r="AB136" s="27">
        <f>'Adubos e corretivos (1)'!I39</f>
        <v>1.5</v>
      </c>
      <c r="AC136" s="27">
        <f>'Adubos e corretivos (1)'!J39</f>
        <v>4.3</v>
      </c>
      <c r="AD136" s="27">
        <f>'Adubos e corretivos (1)'!K39</f>
        <v>0.6</v>
      </c>
      <c r="AE136" s="27">
        <f>'Adubos e corretivos (1)'!L39</f>
        <v>0.6</v>
      </c>
      <c r="AF136" s="27">
        <f>'Adubos e corretivos (1)'!M39</f>
        <v>9.2E-6</v>
      </c>
      <c r="AG136" s="27">
        <f>'Adubos e corretivos (1)'!N39</f>
        <v>3.9199999999999999E-4</v>
      </c>
      <c r="AH136" s="27">
        <f>'Adubos e corretivos (1)'!O39</f>
        <v>0</v>
      </c>
      <c r="AI136" s="27">
        <f>'Adubos e corretivos (1)'!P39</f>
        <v>4.55E-4</v>
      </c>
      <c r="AJ136" s="27">
        <f>'Adubos e corretivos (1)'!Q39</f>
        <v>0</v>
      </c>
      <c r="AK136" s="27">
        <f>'Adubos e corretivos (1)'!R39</f>
        <v>7.7200000000000006E-5</v>
      </c>
      <c r="AL136" s="27">
        <f>'Adubos e corretivos (1)'!S39</f>
        <v>0</v>
      </c>
      <c r="AM136" s="27">
        <f>'Adubos e corretivos (1)'!T39</f>
        <v>0</v>
      </c>
      <c r="AN136" s="27">
        <f>'Adubos e corretivos (1)'!U39</f>
        <v>0</v>
      </c>
      <c r="AO136" s="27">
        <f>'Adubos e corretivos (1)'!V39</f>
        <v>0</v>
      </c>
    </row>
    <row r="137" spans="13:41" ht="19.5" customHeight="1" x14ac:dyDescent="0.25">
      <c r="M137" s="368"/>
      <c r="N137" s="370"/>
      <c r="O137" s="330"/>
      <c r="P137" s="330"/>
      <c r="Q137" s="1">
        <f t="shared" si="17"/>
        <v>0</v>
      </c>
      <c r="R137" s="209"/>
      <c r="U137" s="262"/>
      <c r="V137" s="27" t="str">
        <f>'Adubos e corretivos (1)'!C40</f>
        <v>Composto Biojá BONASA (061 9 9967-0863)</v>
      </c>
      <c r="W137" s="27">
        <f>'Adubos e corretivos (1)'!D40</f>
        <v>0</v>
      </c>
      <c r="X137" s="27">
        <f>'Adubos e corretivos (1)'!E40</f>
        <v>1.8</v>
      </c>
      <c r="Y137" s="27">
        <f>'Adubos e corretivos (1)'!F40</f>
        <v>0.62</v>
      </c>
      <c r="Z137" s="27">
        <f>'Adubos e corretivos (1)'!G40</f>
        <v>1.4</v>
      </c>
      <c r="AA137" s="27">
        <f>'Adubos e corretivos (1)'!H40</f>
        <v>1.34</v>
      </c>
      <c r="AB137" s="27">
        <f>'Adubos e corretivos (1)'!I40</f>
        <v>1.6</v>
      </c>
      <c r="AC137" s="27">
        <f>'Adubos e corretivos (1)'!J40</f>
        <v>2.4500000000000002</v>
      </c>
      <c r="AD137" s="27">
        <f>'Adubos e corretivos (1)'!K40</f>
        <v>0.5</v>
      </c>
      <c r="AE137" s="27">
        <f>'Adubos e corretivos (1)'!L40</f>
        <v>0.42</v>
      </c>
      <c r="AF137" s="27">
        <f>'Adubos e corretivos (1)'!M40</f>
        <v>3.7400000000000001E-5</v>
      </c>
      <c r="AG137" s="27">
        <f>'Adubos e corretivos (1)'!N40</f>
        <v>2.5399999999999999E-4</v>
      </c>
      <c r="AH137" s="27">
        <f>'Adubos e corretivos (1)'!O40</f>
        <v>0</v>
      </c>
      <c r="AI137" s="27">
        <f>'Adubos e corretivos (1)'!P40</f>
        <v>4.6500000000000003E-4</v>
      </c>
      <c r="AJ137" s="27">
        <f>'Adubos e corretivos (1)'!Q40</f>
        <v>0</v>
      </c>
      <c r="AK137" s="27">
        <f>'Adubos e corretivos (1)'!R40</f>
        <v>3.339E-3</v>
      </c>
      <c r="AL137" s="27">
        <f>'Adubos e corretivos (1)'!S40</f>
        <v>0</v>
      </c>
      <c r="AM137" s="27">
        <f>'Adubos e corretivos (1)'!T40</f>
        <v>0</v>
      </c>
      <c r="AN137" s="27">
        <f>'Adubos e corretivos (1)'!U40</f>
        <v>0</v>
      </c>
      <c r="AO137" s="27">
        <f>'Adubos e corretivos (1)'!V40</f>
        <v>0</v>
      </c>
    </row>
    <row r="138" spans="13:41" ht="19.5" customHeight="1" x14ac:dyDescent="0.25">
      <c r="M138" s="368"/>
      <c r="N138" s="370"/>
      <c r="O138" s="330"/>
      <c r="P138" s="330"/>
      <c r="Q138" s="1">
        <f t="shared" si="17"/>
        <v>0</v>
      </c>
      <c r="R138" s="209"/>
      <c r="U138" s="262"/>
      <c r="V138" s="27" t="str">
        <f>'Adubos e corretivos (1)'!C41</f>
        <v>Bokashi ORGANICS (062 3247-3100)</v>
      </c>
      <c r="W138" s="27">
        <f>'Adubos e corretivos (1)'!D41</f>
        <v>0</v>
      </c>
      <c r="X138" s="27">
        <f>'Adubos e corretivos (1)'!E41</f>
        <v>3</v>
      </c>
      <c r="Y138" s="27">
        <f>'Adubos e corretivos (1)'!F41</f>
        <v>2.19</v>
      </c>
      <c r="Z138" s="27">
        <f>'Adubos e corretivos (1)'!G41</f>
        <v>5</v>
      </c>
      <c r="AA138" s="27">
        <f>'Adubos e corretivos (1)'!H41</f>
        <v>3.32</v>
      </c>
      <c r="AB138" s="27">
        <f>'Adubos e corretivos (1)'!I41</f>
        <v>4</v>
      </c>
      <c r="AC138" s="27">
        <f>'Adubos e corretivos (1)'!J41</f>
        <v>0</v>
      </c>
      <c r="AD138" s="27">
        <f>'Adubos e corretivos (1)'!K41</f>
        <v>0</v>
      </c>
      <c r="AE138" s="27">
        <f>'Adubos e corretivos (1)'!L41</f>
        <v>0</v>
      </c>
      <c r="AF138" s="27">
        <f>'Adubos e corretivos (1)'!M41</f>
        <v>0</v>
      </c>
      <c r="AG138" s="27">
        <f>'Adubos e corretivos (1)'!N41</f>
        <v>0</v>
      </c>
      <c r="AH138" s="27">
        <f>'Adubos e corretivos (1)'!O41</f>
        <v>0</v>
      </c>
      <c r="AI138" s="27">
        <f>'Adubos e corretivos (1)'!P41</f>
        <v>0</v>
      </c>
      <c r="AJ138" s="27">
        <f>'Adubos e corretivos (1)'!Q41</f>
        <v>0</v>
      </c>
      <c r="AK138" s="27">
        <f>'Adubos e corretivos (1)'!R41</f>
        <v>0</v>
      </c>
      <c r="AL138" s="27">
        <f>'Adubos e corretivos (1)'!S41</f>
        <v>0</v>
      </c>
      <c r="AM138" s="27">
        <f>'Adubos e corretivos (1)'!T41</f>
        <v>0</v>
      </c>
      <c r="AN138" s="27">
        <f>'Adubos e corretivos (1)'!U41</f>
        <v>0</v>
      </c>
      <c r="AO138" s="27">
        <f>'Adubos e corretivos (1)'!V41</f>
        <v>0</v>
      </c>
    </row>
    <row r="139" spans="13:41" ht="19.5" customHeight="1" x14ac:dyDescent="0.25">
      <c r="M139" s="368"/>
      <c r="N139" s="370"/>
      <c r="O139" s="330"/>
      <c r="P139" s="330"/>
      <c r="Q139" s="1">
        <f t="shared" si="17"/>
        <v>0</v>
      </c>
      <c r="R139" s="209"/>
      <c r="U139" s="262"/>
      <c r="V139" s="27" t="str">
        <f>'Adubos e corretivos (1)'!C42</f>
        <v>Bokashi Carlos (061 9 9681-3730)</v>
      </c>
      <c r="W139" s="27">
        <f>'Adubos e corretivos (1)'!D42</f>
        <v>0</v>
      </c>
      <c r="X139" s="27">
        <f>'Adubos e corretivos (1)'!E42</f>
        <v>3</v>
      </c>
      <c r="Y139" s="27">
        <f>'Adubos e corretivos (1)'!F42</f>
        <v>2.63</v>
      </c>
      <c r="Z139" s="27">
        <f>'Adubos e corretivos (1)'!G42</f>
        <v>6</v>
      </c>
      <c r="AA139" s="27">
        <f>'Adubos e corretivos (1)'!H42</f>
        <v>3.32</v>
      </c>
      <c r="AB139" s="27">
        <f>'Adubos e corretivos (1)'!I42</f>
        <v>4</v>
      </c>
      <c r="AC139" s="27">
        <f>'Adubos e corretivos (1)'!J42</f>
        <v>0</v>
      </c>
      <c r="AD139" s="27">
        <f>'Adubos e corretivos (1)'!K42</f>
        <v>0</v>
      </c>
      <c r="AE139" s="27">
        <f>'Adubos e corretivos (1)'!L42</f>
        <v>0</v>
      </c>
      <c r="AF139" s="27">
        <f>'Adubos e corretivos (1)'!M42</f>
        <v>0</v>
      </c>
      <c r="AG139" s="27">
        <f>'Adubos e corretivos (1)'!N42</f>
        <v>0</v>
      </c>
      <c r="AH139" s="27">
        <f>'Adubos e corretivos (1)'!O42</f>
        <v>0</v>
      </c>
      <c r="AI139" s="27">
        <f>'Adubos e corretivos (1)'!P42</f>
        <v>0</v>
      </c>
      <c r="AJ139" s="27">
        <f>'Adubos e corretivos (1)'!Q42</f>
        <v>0</v>
      </c>
      <c r="AK139" s="27">
        <f>'Adubos e corretivos (1)'!R42</f>
        <v>0</v>
      </c>
      <c r="AL139" s="27">
        <f>'Adubos e corretivos (1)'!S42</f>
        <v>0</v>
      </c>
      <c r="AM139" s="27">
        <f>'Adubos e corretivos (1)'!T42</f>
        <v>0</v>
      </c>
      <c r="AN139" s="27">
        <f>'Adubos e corretivos (1)'!U42</f>
        <v>0</v>
      </c>
      <c r="AO139" s="27">
        <f>'Adubos e corretivos (1)'!V42</f>
        <v>0</v>
      </c>
    </row>
    <row r="140" spans="13:41" ht="19.5" customHeight="1" x14ac:dyDescent="0.25">
      <c r="M140" s="368"/>
      <c r="N140" s="370"/>
      <c r="O140" s="330"/>
      <c r="P140" s="330"/>
      <c r="Q140" s="1">
        <f t="shared" si="17"/>
        <v>0</v>
      </c>
      <c r="R140" s="209"/>
      <c r="U140" s="262"/>
      <c r="V140" s="27" t="str">
        <f>'Adubos e corretivos (1)'!C43</f>
        <v>Bokashi Valdemar (9 9811-2414)</v>
      </c>
      <c r="W140" s="27">
        <f>'Adubos e corretivos (1)'!D43</f>
        <v>0</v>
      </c>
      <c r="X140" s="27">
        <f>'Adubos e corretivos (1)'!E43</f>
        <v>3</v>
      </c>
      <c r="Y140" s="27">
        <f>'Adubos e corretivos (1)'!F43</f>
        <v>2.63</v>
      </c>
      <c r="Z140" s="27">
        <f>'Adubos e corretivos (1)'!G43</f>
        <v>6</v>
      </c>
      <c r="AA140" s="27">
        <f>'Adubos e corretivos (1)'!H43</f>
        <v>3.32</v>
      </c>
      <c r="AB140" s="27">
        <f>'Adubos e corretivos (1)'!I43</f>
        <v>4</v>
      </c>
      <c r="AC140" s="27">
        <f>'Adubos e corretivos (1)'!J43</f>
        <v>0</v>
      </c>
      <c r="AD140" s="27">
        <f>'Adubos e corretivos (1)'!K43</f>
        <v>0</v>
      </c>
      <c r="AE140" s="27">
        <f>'Adubos e corretivos (1)'!L43</f>
        <v>0</v>
      </c>
      <c r="AF140" s="27">
        <f>'Adubos e corretivos (1)'!M43</f>
        <v>0</v>
      </c>
      <c r="AG140" s="27">
        <f>'Adubos e corretivos (1)'!N43</f>
        <v>0</v>
      </c>
      <c r="AH140" s="27">
        <f>'Adubos e corretivos (1)'!O43</f>
        <v>0</v>
      </c>
      <c r="AI140" s="27">
        <f>'Adubos e corretivos (1)'!P43</f>
        <v>0</v>
      </c>
      <c r="AJ140" s="27">
        <f>'Adubos e corretivos (1)'!Q43</f>
        <v>0</v>
      </c>
      <c r="AK140" s="27">
        <f>'Adubos e corretivos (1)'!R43</f>
        <v>0</v>
      </c>
      <c r="AL140" s="27">
        <f>'Adubos e corretivos (1)'!S43</f>
        <v>0</v>
      </c>
      <c r="AM140" s="27">
        <f>'Adubos e corretivos (1)'!T43</f>
        <v>0</v>
      </c>
      <c r="AN140" s="27">
        <f>'Adubos e corretivos (1)'!U43</f>
        <v>0</v>
      </c>
      <c r="AO140" s="27">
        <f>'Adubos e corretivos (1)'!V43</f>
        <v>0</v>
      </c>
    </row>
    <row r="141" spans="13:41" ht="19.5" customHeight="1" x14ac:dyDescent="0.25">
      <c r="M141" s="368"/>
      <c r="N141" s="370"/>
      <c r="O141" s="330"/>
      <c r="P141" s="330"/>
      <c r="Q141" s="1">
        <f t="shared" si="17"/>
        <v>0</v>
      </c>
      <c r="R141" s="209"/>
      <c r="U141" s="262"/>
      <c r="V141" s="27" t="str">
        <f>'Adubos e corretivos (1)'!C44</f>
        <v>Biobokashi Farelado FERTIBIO (61 9827-4439)</v>
      </c>
      <c r="W141" s="27">
        <f>'Adubos e corretivos (1)'!D44</f>
        <v>0</v>
      </c>
      <c r="X141" s="27">
        <f>'Adubos e corretivos (1)'!E44</f>
        <v>0</v>
      </c>
      <c r="Y141" s="27">
        <f>'Adubos e corretivos (1)'!F44</f>
        <v>0</v>
      </c>
      <c r="Z141" s="27">
        <f>'Adubos e corretivos (1)'!G44</f>
        <v>0</v>
      </c>
      <c r="AA141" s="27">
        <f>'Adubos e corretivos (1)'!H44</f>
        <v>0</v>
      </c>
      <c r="AB141" s="27">
        <f>'Adubos e corretivos (1)'!I44</f>
        <v>0</v>
      </c>
      <c r="AC141" s="27">
        <f>'Adubos e corretivos (1)'!J44</f>
        <v>0</v>
      </c>
      <c r="AD141" s="27">
        <f>'Adubos e corretivos (1)'!K44</f>
        <v>0</v>
      </c>
      <c r="AE141" s="27">
        <f>'Adubos e corretivos (1)'!L44</f>
        <v>0</v>
      </c>
      <c r="AF141" s="27">
        <f>'Adubos e corretivos (1)'!M44</f>
        <v>0</v>
      </c>
      <c r="AG141" s="27">
        <f>'Adubos e corretivos (1)'!N44</f>
        <v>0</v>
      </c>
      <c r="AH141" s="27">
        <f>'Adubos e corretivos (1)'!O44</f>
        <v>0</v>
      </c>
      <c r="AI141" s="27">
        <f>'Adubos e corretivos (1)'!P44</f>
        <v>0</v>
      </c>
      <c r="AJ141" s="27">
        <f>'Adubos e corretivos (1)'!Q44</f>
        <v>0</v>
      </c>
      <c r="AK141" s="27">
        <f>'Adubos e corretivos (1)'!R44</f>
        <v>0</v>
      </c>
      <c r="AL141" s="27">
        <f>'Adubos e corretivos (1)'!S44</f>
        <v>0</v>
      </c>
      <c r="AM141" s="27">
        <f>'Adubos e corretivos (1)'!T44</f>
        <v>0</v>
      </c>
      <c r="AN141" s="27">
        <f>'Adubos e corretivos (1)'!U44</f>
        <v>0</v>
      </c>
      <c r="AO141" s="27">
        <f>'Adubos e corretivos (1)'!V44</f>
        <v>0</v>
      </c>
    </row>
    <row r="142" spans="13:41" ht="19.5" customHeight="1" x14ac:dyDescent="0.25">
      <c r="M142" s="368"/>
      <c r="N142" s="370"/>
      <c r="O142" s="330"/>
      <c r="P142" s="330"/>
      <c r="Q142" s="1">
        <f t="shared" si="17"/>
        <v>0</v>
      </c>
      <c r="R142" s="209"/>
      <c r="U142" s="262"/>
      <c r="V142" s="27" t="str">
        <f>'Adubos e corretivos (1)'!C45</f>
        <v>Torta de mamona Super thorg (061 9 9827-4439)</v>
      </c>
      <c r="W142" s="27">
        <f>'Adubos e corretivos (1)'!D45</f>
        <v>0</v>
      </c>
      <c r="X142" s="27">
        <f>'Adubos e corretivos (1)'!E45</f>
        <v>9.1</v>
      </c>
      <c r="Y142" s="27">
        <f>'Adubos e corretivos (1)'!F45</f>
        <v>0</v>
      </c>
      <c r="Z142" s="27">
        <f>'Adubos e corretivos (1)'!G45</f>
        <v>0</v>
      </c>
      <c r="AA142" s="27">
        <f>'Adubos e corretivos (1)'!H45</f>
        <v>0</v>
      </c>
      <c r="AB142" s="27">
        <f>'Adubos e corretivos (1)'!I45</f>
        <v>0</v>
      </c>
      <c r="AC142" s="27">
        <f>'Adubos e corretivos (1)'!J45</f>
        <v>0</v>
      </c>
      <c r="AD142" s="27">
        <f>'Adubos e corretivos (1)'!K45</f>
        <v>0</v>
      </c>
      <c r="AE142" s="27">
        <f>'Adubos e corretivos (1)'!L45</f>
        <v>0</v>
      </c>
      <c r="AF142" s="27">
        <f>'Adubos e corretivos (1)'!M45</f>
        <v>0</v>
      </c>
      <c r="AG142" s="27">
        <f>'Adubos e corretivos (1)'!N45</f>
        <v>0</v>
      </c>
      <c r="AH142" s="27">
        <f>'Adubos e corretivos (1)'!O45</f>
        <v>0</v>
      </c>
      <c r="AI142" s="27">
        <f>'Adubos e corretivos (1)'!P45</f>
        <v>0</v>
      </c>
      <c r="AJ142" s="27">
        <f>'Adubos e corretivos (1)'!Q45</f>
        <v>0</v>
      </c>
      <c r="AK142" s="27">
        <f>'Adubos e corretivos (1)'!R45</f>
        <v>0</v>
      </c>
      <c r="AL142" s="27">
        <f>'Adubos e corretivos (1)'!S45</f>
        <v>0</v>
      </c>
      <c r="AM142" s="27">
        <f>'Adubos e corretivos (1)'!T45</f>
        <v>0</v>
      </c>
      <c r="AN142" s="27">
        <f>'Adubos e corretivos (1)'!U45</f>
        <v>0</v>
      </c>
      <c r="AO142" s="27">
        <f>'Adubos e corretivos (1)'!V45</f>
        <v>0</v>
      </c>
    </row>
    <row r="143" spans="13:41" ht="19.5" customHeight="1" x14ac:dyDescent="0.25">
      <c r="M143" s="368"/>
      <c r="N143" s="370"/>
      <c r="O143" s="330"/>
      <c r="P143" s="330"/>
      <c r="Q143" s="1">
        <f t="shared" si="17"/>
        <v>0</v>
      </c>
      <c r="R143" s="209"/>
      <c r="U143" s="262"/>
      <c r="V143" s="27" t="str">
        <f>'Adubos e corretivos (1)'!C46</f>
        <v>Torta de mamona Nutrisafra (062 3310-8133)</v>
      </c>
      <c r="W143" s="27">
        <f>'Adubos e corretivos (1)'!D46</f>
        <v>0</v>
      </c>
      <c r="X143" s="27">
        <f>'Adubos e corretivos (1)'!E46</f>
        <v>5</v>
      </c>
      <c r="Y143" s="27">
        <f>'Adubos e corretivos (1)'!F46</f>
        <v>0</v>
      </c>
      <c r="Z143" s="27">
        <f>'Adubos e corretivos (1)'!G46</f>
        <v>0</v>
      </c>
      <c r="AA143" s="27">
        <f>'Adubos e corretivos (1)'!H46</f>
        <v>0</v>
      </c>
      <c r="AB143" s="27">
        <f>'Adubos e corretivos (1)'!I46</f>
        <v>0</v>
      </c>
      <c r="AC143" s="27">
        <f>'Adubos e corretivos (1)'!J46</f>
        <v>0</v>
      </c>
      <c r="AD143" s="27">
        <f>'Adubos e corretivos (1)'!K46</f>
        <v>0</v>
      </c>
      <c r="AE143" s="27">
        <f>'Adubos e corretivos (1)'!L46</f>
        <v>0</v>
      </c>
      <c r="AF143" s="27">
        <f>'Adubos e corretivos (1)'!M46</f>
        <v>0</v>
      </c>
      <c r="AG143" s="27">
        <f>'Adubos e corretivos (1)'!N46</f>
        <v>0</v>
      </c>
      <c r="AH143" s="27">
        <f>'Adubos e corretivos (1)'!O46</f>
        <v>0</v>
      </c>
      <c r="AI143" s="27">
        <f>'Adubos e corretivos (1)'!P46</f>
        <v>0</v>
      </c>
      <c r="AJ143" s="27">
        <f>'Adubos e corretivos (1)'!Q46</f>
        <v>0</v>
      </c>
      <c r="AK143" s="27">
        <f>'Adubos e corretivos (1)'!R46</f>
        <v>0</v>
      </c>
      <c r="AL143" s="27">
        <f>'Adubos e corretivos (1)'!S46</f>
        <v>0</v>
      </c>
      <c r="AM143" s="27">
        <f>'Adubos e corretivos (1)'!T46</f>
        <v>0</v>
      </c>
      <c r="AN143" s="27">
        <f>'Adubos e corretivos (1)'!U46</f>
        <v>0</v>
      </c>
      <c r="AO143" s="27">
        <f>'Adubos e corretivos (1)'!V46</f>
        <v>0</v>
      </c>
    </row>
    <row r="144" spans="13:41" ht="19.5" customHeight="1" x14ac:dyDescent="0.25">
      <c r="M144" s="113"/>
      <c r="N144" s="116"/>
      <c r="O144" s="188"/>
      <c r="P144" s="188"/>
      <c r="Q144" s="188"/>
      <c r="R144" s="209"/>
      <c r="U144" s="262"/>
      <c r="V144" s="27" t="str">
        <f>'Adubos e corretivos (1)'!C47</f>
        <v>Torta de mamona Vitaplan (061 3234-8485)</v>
      </c>
      <c r="W144" s="27">
        <f>'Adubos e corretivos (1)'!D47</f>
        <v>0</v>
      </c>
      <c r="X144" s="27">
        <f>'Adubos e corretivos (1)'!E47</f>
        <v>8.5</v>
      </c>
      <c r="Y144" s="27">
        <f>'Adubos e corretivos (1)'!F47</f>
        <v>0</v>
      </c>
      <c r="Z144" s="27">
        <f>'Adubos e corretivos (1)'!G47</f>
        <v>0</v>
      </c>
      <c r="AA144" s="27">
        <f>'Adubos e corretivos (1)'!H47</f>
        <v>0</v>
      </c>
      <c r="AB144" s="27">
        <f>'Adubos e corretivos (1)'!I47</f>
        <v>0</v>
      </c>
      <c r="AC144" s="27">
        <f>'Adubos e corretivos (1)'!J47</f>
        <v>0</v>
      </c>
      <c r="AD144" s="27">
        <f>'Adubos e corretivos (1)'!K47</f>
        <v>0</v>
      </c>
      <c r="AE144" s="27">
        <f>'Adubos e corretivos (1)'!L47</f>
        <v>0</v>
      </c>
      <c r="AF144" s="27">
        <f>'Adubos e corretivos (1)'!M47</f>
        <v>0</v>
      </c>
      <c r="AG144" s="27">
        <f>'Adubos e corretivos (1)'!N47</f>
        <v>0</v>
      </c>
      <c r="AH144" s="27">
        <f>'Adubos e corretivos (1)'!O47</f>
        <v>0</v>
      </c>
      <c r="AI144" s="27">
        <f>'Adubos e corretivos (1)'!P47</f>
        <v>0</v>
      </c>
      <c r="AJ144" s="27">
        <f>'Adubos e corretivos (1)'!Q47</f>
        <v>0</v>
      </c>
      <c r="AK144" s="27">
        <f>'Adubos e corretivos (1)'!R47</f>
        <v>0</v>
      </c>
      <c r="AL144" s="27">
        <f>'Adubos e corretivos (1)'!S47</f>
        <v>0</v>
      </c>
      <c r="AM144" s="27">
        <f>'Adubos e corretivos (1)'!T47</f>
        <v>0</v>
      </c>
      <c r="AN144" s="27">
        <f>'Adubos e corretivos (1)'!U47</f>
        <v>0</v>
      </c>
      <c r="AO144" s="27">
        <f>'Adubos e corretivos (1)'!V47</f>
        <v>0</v>
      </c>
    </row>
    <row r="145" spans="11:41" ht="19.5" customHeight="1" x14ac:dyDescent="0.25">
      <c r="M145" s="368" t="s">
        <v>450</v>
      </c>
      <c r="N145" s="341"/>
      <c r="O145" s="366" t="s">
        <v>447</v>
      </c>
      <c r="P145" s="367"/>
      <c r="Q145" s="115">
        <f>$AB$215*$O$34</f>
        <v>2794.5105784819289</v>
      </c>
      <c r="R145" s="114"/>
      <c r="U145" s="262"/>
      <c r="V145" s="27" t="str">
        <f>'Adubos e corretivos (1)'!C48</f>
        <v>Farinha de osso</v>
      </c>
      <c r="W145" s="27">
        <f>'Adubos e corretivos (1)'!D48</f>
        <v>0</v>
      </c>
      <c r="X145" s="27">
        <f>'Adubos e corretivos (1)'!E48</f>
        <v>0</v>
      </c>
      <c r="Y145" s="27">
        <f>'Adubos e corretivos (1)'!F48</f>
        <v>18.2</v>
      </c>
      <c r="Z145" s="27">
        <f>'Adubos e corretivos (1)'!G48</f>
        <v>42</v>
      </c>
      <c r="AA145" s="27">
        <f>'Adubos e corretivos (1)'!H48</f>
        <v>0</v>
      </c>
      <c r="AB145" s="27">
        <f>'Adubos e corretivos (1)'!I48</f>
        <v>0</v>
      </c>
      <c r="AC145" s="27">
        <f>'Adubos e corretivos (1)'!J48</f>
        <v>39.5</v>
      </c>
      <c r="AD145" s="27">
        <f>'Adubos e corretivos (1)'!K48</f>
        <v>0</v>
      </c>
      <c r="AE145" s="27">
        <f>'Adubos e corretivos (1)'!L48</f>
        <v>0</v>
      </c>
      <c r="AF145" s="27">
        <f>'Adubos e corretivos (1)'!M48</f>
        <v>0</v>
      </c>
      <c r="AG145" s="27">
        <f>'Adubos e corretivos (1)'!N48</f>
        <v>0</v>
      </c>
      <c r="AH145" s="27">
        <f>'Adubos e corretivos (1)'!O48</f>
        <v>0</v>
      </c>
      <c r="AI145" s="27">
        <f>'Adubos e corretivos (1)'!P48</f>
        <v>0</v>
      </c>
      <c r="AJ145" s="27">
        <f>'Adubos e corretivos (1)'!Q48</f>
        <v>0</v>
      </c>
      <c r="AK145" s="27">
        <f>'Adubos e corretivos (1)'!R48</f>
        <v>0</v>
      </c>
      <c r="AL145" s="27">
        <f>'Adubos e corretivos (1)'!S48</f>
        <v>0</v>
      </c>
      <c r="AM145" s="27">
        <f>'Adubos e corretivos (1)'!T48</f>
        <v>7.5</v>
      </c>
      <c r="AN145" s="27">
        <f>'Adubos e corretivos (1)'!U48</f>
        <v>0</v>
      </c>
      <c r="AO145" s="27">
        <f>'Adubos e corretivos (1)'!V48</f>
        <v>0</v>
      </c>
    </row>
    <row r="146" spans="11:41" ht="19.5" customHeight="1" x14ac:dyDescent="0.25">
      <c r="M146" s="368"/>
      <c r="N146" s="341"/>
      <c r="O146" s="188"/>
      <c r="P146" s="188"/>
      <c r="Q146" s="188"/>
      <c r="R146" s="209"/>
      <c r="U146" s="262"/>
      <c r="V146" s="27" t="str">
        <f>'Adubos e corretivos (1)'!C49</f>
        <v>Termofosfato YOORIN</v>
      </c>
      <c r="W146" s="27">
        <f>'Adubos e corretivos (1)'!D49</f>
        <v>2.3250000000000002</v>
      </c>
      <c r="X146" s="27">
        <f>'Adubos e corretivos (1)'!E49</f>
        <v>0</v>
      </c>
      <c r="Y146" s="27">
        <f>'Adubos e corretivos (1)'!F49</f>
        <v>7.6440000000000001</v>
      </c>
      <c r="Z146" s="27">
        <f>'Adubos e corretivos (1)'!G49</f>
        <v>17.5</v>
      </c>
      <c r="AA146" s="27">
        <f>'Adubos e corretivos (1)'!H49</f>
        <v>0</v>
      </c>
      <c r="AB146" s="27">
        <f>'Adubos e corretivos (1)'!I49</f>
        <v>0</v>
      </c>
      <c r="AC146" s="27">
        <f>'Adubos e corretivos (1)'!J49</f>
        <v>18</v>
      </c>
      <c r="AD146" s="27">
        <f>'Adubos e corretivos (1)'!K49</f>
        <v>7</v>
      </c>
      <c r="AE146" s="27">
        <f>'Adubos e corretivos (1)'!L49</f>
        <v>0</v>
      </c>
      <c r="AF146" s="27">
        <f>'Adubos e corretivos (1)'!M49</f>
        <v>0.1</v>
      </c>
      <c r="AG146" s="27">
        <f>'Adubos e corretivos (1)'!N49</f>
        <v>0.3</v>
      </c>
      <c r="AH146" s="27">
        <f>'Adubos e corretivos (1)'!O49</f>
        <v>5.5</v>
      </c>
      <c r="AI146" s="27">
        <f>'Adubos e corretivos (1)'!P49</f>
        <v>0.5</v>
      </c>
      <c r="AJ146" s="27">
        <f>'Adubos e corretivos (1)'!Q49</f>
        <v>0</v>
      </c>
      <c r="AK146" s="27">
        <f>'Adubos e corretivos (1)'!R49</f>
        <v>0</v>
      </c>
      <c r="AL146" s="27">
        <f>'Adubos e corretivos (1)'!S49</f>
        <v>10</v>
      </c>
      <c r="AM146" s="27">
        <f>'Adubos e corretivos (1)'!T49</f>
        <v>0</v>
      </c>
      <c r="AN146" s="27">
        <f>'Adubos e corretivos (1)'!U49</f>
        <v>0</v>
      </c>
      <c r="AO146" s="27">
        <f>'Adubos e corretivos (1)'!V49</f>
        <v>0</v>
      </c>
    </row>
    <row r="147" spans="11:41" ht="19.5" customHeight="1" x14ac:dyDescent="0.25">
      <c r="M147" s="368"/>
      <c r="N147" s="341"/>
      <c r="O147" s="366" t="s">
        <v>446</v>
      </c>
      <c r="P147" s="367"/>
      <c r="Q147" s="115">
        <f>Q145/$E$18</f>
        <v>22.356084627855431</v>
      </c>
      <c r="R147" s="114"/>
      <c r="U147" s="262"/>
      <c r="V147" s="27" t="str">
        <f>'Adubos e corretivos (1)'!C50</f>
        <v>Kmag</v>
      </c>
      <c r="W147" s="27">
        <f>'Adubos e corretivos (1)'!D50</f>
        <v>2.9</v>
      </c>
      <c r="X147" s="27">
        <f>'Adubos e corretivos (1)'!E50</f>
        <v>0</v>
      </c>
      <c r="Y147" s="27">
        <f>'Adubos e corretivos (1)'!F50</f>
        <v>0</v>
      </c>
      <c r="Z147" s="27">
        <f>'Adubos e corretivos (1)'!G50</f>
        <v>0</v>
      </c>
      <c r="AA147" s="27">
        <f>'Adubos e corretivos (1)'!H50</f>
        <v>17.45</v>
      </c>
      <c r="AB147" s="27">
        <f>'Adubos e corretivos (1)'!I50</f>
        <v>21</v>
      </c>
      <c r="AC147" s="27">
        <f>'Adubos e corretivos (1)'!J50</f>
        <v>10</v>
      </c>
      <c r="AD147" s="27">
        <f>'Adubos e corretivos (1)'!K50</f>
        <v>21</v>
      </c>
      <c r="AE147" s="27">
        <f>'Adubos e corretivos (1)'!L50</f>
        <v>0</v>
      </c>
      <c r="AF147" s="27">
        <f>'Adubos e corretivos (1)'!M50</f>
        <v>0</v>
      </c>
      <c r="AG147" s="27">
        <f>'Adubos e corretivos (1)'!N50</f>
        <v>0</v>
      </c>
      <c r="AH147" s="27">
        <f>'Adubos e corretivos (1)'!O50</f>
        <v>0</v>
      </c>
      <c r="AI147" s="27">
        <f>'Adubos e corretivos (1)'!P50</f>
        <v>0</v>
      </c>
      <c r="AJ147" s="27">
        <f>'Adubos e corretivos (1)'!Q50</f>
        <v>0</v>
      </c>
      <c r="AK147" s="27">
        <f>'Adubos e corretivos (1)'!R50</f>
        <v>0</v>
      </c>
      <c r="AL147" s="27">
        <f>'Adubos e corretivos (1)'!S50</f>
        <v>0</v>
      </c>
      <c r="AM147" s="27">
        <f>'Adubos e corretivos (1)'!T50</f>
        <v>0</v>
      </c>
      <c r="AN147" s="27">
        <f>'Adubos e corretivos (1)'!U50</f>
        <v>0</v>
      </c>
      <c r="AO147" s="27">
        <f>'Adubos e corretivos (1)'!V50</f>
        <v>0</v>
      </c>
    </row>
    <row r="148" spans="11:41" ht="19.5" customHeight="1" thickBot="1" x14ac:dyDescent="0.3">
      <c r="M148" s="210"/>
      <c r="N148" s="200"/>
      <c r="O148" s="200"/>
      <c r="P148" s="200"/>
      <c r="Q148" s="200"/>
      <c r="R148" s="211"/>
      <c r="U148" s="262"/>
      <c r="V148" s="27" t="str">
        <f>'Adubos e corretivos (1)'!C51</f>
        <v>Algas marinhas Algen</v>
      </c>
      <c r="W148" s="27">
        <f>'Adubos e corretivos (1)'!D51</f>
        <v>1.96</v>
      </c>
      <c r="X148" s="27">
        <f>'Adubos e corretivos (1)'!E51</f>
        <v>0</v>
      </c>
      <c r="Y148" s="27">
        <f>'Adubos e corretivos (1)'!F51</f>
        <v>0</v>
      </c>
      <c r="Z148" s="27">
        <f>'Adubos e corretivos (1)'!G51</f>
        <v>0</v>
      </c>
      <c r="AA148" s="27">
        <f>'Adubos e corretivos (1)'!H51</f>
        <v>0</v>
      </c>
      <c r="AB148" s="27">
        <f>'Adubos e corretivos (1)'!I51</f>
        <v>0</v>
      </c>
      <c r="AC148" s="27">
        <f>'Adubos e corretivos (1)'!J51</f>
        <v>32</v>
      </c>
      <c r="AD148" s="27">
        <f>'Adubos e corretivos (1)'!K51</f>
        <v>2</v>
      </c>
      <c r="AE148" s="27">
        <f>'Adubos e corretivos (1)'!L51</f>
        <v>0</v>
      </c>
      <c r="AF148" s="27">
        <f>'Adubos e corretivos (1)'!M51</f>
        <v>0</v>
      </c>
      <c r="AG148" s="27">
        <f>'Adubos e corretivos (1)'!N51</f>
        <v>0</v>
      </c>
      <c r="AH148" s="27">
        <f>'Adubos e corretivos (1)'!O51</f>
        <v>0</v>
      </c>
      <c r="AI148" s="27">
        <f>'Adubos e corretivos (1)'!P51</f>
        <v>0</v>
      </c>
      <c r="AJ148" s="27">
        <f>'Adubos e corretivos (1)'!Q51</f>
        <v>0</v>
      </c>
      <c r="AK148" s="27">
        <f>'Adubos e corretivos (1)'!R51</f>
        <v>0</v>
      </c>
      <c r="AL148" s="27">
        <f>'Adubos e corretivos (1)'!S51</f>
        <v>0</v>
      </c>
      <c r="AM148" s="27">
        <f>'Adubos e corretivos (1)'!T51</f>
        <v>0</v>
      </c>
      <c r="AN148" s="27">
        <f>'Adubos e corretivos (1)'!U51</f>
        <v>0</v>
      </c>
      <c r="AO148" s="27">
        <f>'Adubos e corretivos (1)'!V51</f>
        <v>0</v>
      </c>
    </row>
    <row r="149" spans="11:41" ht="19.5" customHeight="1" x14ac:dyDescent="0.25">
      <c r="U149" s="262"/>
      <c r="V149" s="27" t="str">
        <f>'Adubos e corretivos (1)'!C52</f>
        <v>Torta de mamona Hortibraz</v>
      </c>
      <c r="W149" s="27">
        <f>'Adubos e corretivos (1)'!D52</f>
        <v>1.52</v>
      </c>
      <c r="X149" s="27">
        <f>'Adubos e corretivos (1)'!E52</f>
        <v>6</v>
      </c>
      <c r="Y149" s="27">
        <f>'Adubos e corretivos (1)'!F52</f>
        <v>0</v>
      </c>
      <c r="Z149" s="27">
        <f>'Adubos e corretivos (1)'!G52</f>
        <v>0</v>
      </c>
      <c r="AA149" s="27">
        <f>'Adubos e corretivos (1)'!H52</f>
        <v>0</v>
      </c>
      <c r="AB149" s="27">
        <f>'Adubos e corretivos (1)'!I52</f>
        <v>0</v>
      </c>
      <c r="AC149" s="27">
        <f>'Adubos e corretivos (1)'!J52</f>
        <v>0</v>
      </c>
      <c r="AD149" s="27">
        <f>'Adubos e corretivos (1)'!K52</f>
        <v>0</v>
      </c>
      <c r="AE149" s="27">
        <f>'Adubos e corretivos (1)'!L52</f>
        <v>0</v>
      </c>
      <c r="AF149" s="27">
        <f>'Adubos e corretivos (1)'!M52</f>
        <v>0</v>
      </c>
      <c r="AG149" s="27">
        <f>'Adubos e corretivos (1)'!N52</f>
        <v>0</v>
      </c>
      <c r="AH149" s="27">
        <f>'Adubos e corretivos (1)'!O52</f>
        <v>0</v>
      </c>
      <c r="AI149" s="27">
        <f>'Adubos e corretivos (1)'!P52</f>
        <v>0</v>
      </c>
      <c r="AJ149" s="27">
        <f>'Adubos e corretivos (1)'!Q52</f>
        <v>0</v>
      </c>
      <c r="AK149" s="27">
        <f>'Adubos e corretivos (1)'!R52</f>
        <v>0</v>
      </c>
      <c r="AL149" s="27">
        <f>'Adubos e corretivos (1)'!S52</f>
        <v>0</v>
      </c>
      <c r="AM149" s="27">
        <f>'Adubos e corretivos (1)'!T52</f>
        <v>0</v>
      </c>
      <c r="AN149" s="27">
        <f>'Adubos e corretivos (1)'!U52</f>
        <v>0</v>
      </c>
      <c r="AO149" s="27">
        <f>'Adubos e corretivos (1)'!V52</f>
        <v>0</v>
      </c>
    </row>
    <row r="150" spans="11:41" ht="19.5" customHeight="1" x14ac:dyDescent="0.25">
      <c r="U150" s="262"/>
      <c r="V150" s="27" t="str">
        <f>'Adubos e corretivos (1)'!C53</f>
        <v>Sulfato de magnésio</v>
      </c>
      <c r="W150" s="27">
        <f>'Adubos e corretivos (1)'!D53</f>
        <v>1.6</v>
      </c>
      <c r="X150" s="27">
        <f>'Adubos e corretivos (1)'!E53</f>
        <v>0</v>
      </c>
      <c r="Y150" s="27">
        <f>'Adubos e corretivos (1)'!F53</f>
        <v>0</v>
      </c>
      <c r="Z150" s="27">
        <f>'Adubos e corretivos (1)'!G53</f>
        <v>0</v>
      </c>
      <c r="AA150" s="27">
        <f>'Adubos e corretivos (1)'!H53</f>
        <v>0</v>
      </c>
      <c r="AB150" s="27">
        <f>'Adubos e corretivos (1)'!I53</f>
        <v>0</v>
      </c>
      <c r="AC150" s="27">
        <f>'Adubos e corretivos (1)'!J53</f>
        <v>0</v>
      </c>
      <c r="AD150" s="27">
        <f>'Adubos e corretivos (1)'!K53</f>
        <v>9.5</v>
      </c>
      <c r="AE150" s="27">
        <f>'Adubos e corretivos (1)'!L53</f>
        <v>12</v>
      </c>
      <c r="AF150" s="27">
        <f>'Adubos e corretivos (1)'!M53</f>
        <v>0</v>
      </c>
      <c r="AG150" s="27">
        <f>'Adubos e corretivos (1)'!N53</f>
        <v>0</v>
      </c>
      <c r="AH150" s="27">
        <f>'Adubos e corretivos (1)'!O53</f>
        <v>0</v>
      </c>
      <c r="AI150" s="27">
        <f>'Adubos e corretivos (1)'!P53</f>
        <v>0</v>
      </c>
      <c r="AJ150" s="27">
        <f>'Adubos e corretivos (1)'!Q53</f>
        <v>0</v>
      </c>
      <c r="AK150" s="27">
        <f>'Adubos e corretivos (1)'!R53</f>
        <v>0</v>
      </c>
      <c r="AL150" s="27">
        <f>'Adubos e corretivos (1)'!S53</f>
        <v>0</v>
      </c>
      <c r="AM150" s="27">
        <f>'Adubos e corretivos (1)'!T53</f>
        <v>0</v>
      </c>
      <c r="AN150" s="27">
        <f>'Adubos e corretivos (1)'!U53</f>
        <v>0</v>
      </c>
      <c r="AO150" s="27">
        <f>'Adubos e corretivos (1)'!V53</f>
        <v>0</v>
      </c>
    </row>
    <row r="151" spans="11:41" ht="19.5" customHeight="1" x14ac:dyDescent="0.25">
      <c r="U151" s="261" t="s">
        <v>136</v>
      </c>
      <c r="V151" s="27" t="str">
        <f>'Adubos e corretivos (1)'!C54</f>
        <v>EkoSil</v>
      </c>
      <c r="W151" s="27">
        <f>'Adubos e corretivos (1)'!D54</f>
        <v>0</v>
      </c>
      <c r="X151" s="27">
        <f>'Adubos e corretivos (1)'!E54</f>
        <v>0</v>
      </c>
      <c r="Y151" s="27">
        <f>'Adubos e corretivos (1)'!F54</f>
        <v>0</v>
      </c>
      <c r="Z151" s="27">
        <f>'Adubos e corretivos (1)'!G54</f>
        <v>0</v>
      </c>
      <c r="AA151" s="27">
        <f>'Adubos e corretivos (1)'!H54</f>
        <v>6.65</v>
      </c>
      <c r="AB151" s="27">
        <f>'Adubos e corretivos (1)'!I54</f>
        <v>8</v>
      </c>
      <c r="AC151" s="27">
        <f>'Adubos e corretivos (1)'!J54</f>
        <v>1.5</v>
      </c>
      <c r="AD151" s="27">
        <f>'Adubos e corretivos (1)'!K54</f>
        <v>0.2</v>
      </c>
      <c r="AE151" s="27">
        <f>'Adubos e corretivos (1)'!L54</f>
        <v>0</v>
      </c>
      <c r="AF151" s="27">
        <f>'Adubos e corretivos (1)'!M54</f>
        <v>6.4999999999999994E-5</v>
      </c>
      <c r="AG151" s="27">
        <f>'Adubos e corretivos (1)'!N54</f>
        <v>6.4999999999999994E-5</v>
      </c>
      <c r="AH151" s="27">
        <f>'Adubos e corretivos (1)'!O54</f>
        <v>1.25E-4</v>
      </c>
      <c r="AI151" s="27">
        <f>'Adubos e corretivos (1)'!P54</f>
        <v>1.4E-5</v>
      </c>
      <c r="AJ151" s="27">
        <f>'Adubos e corretivos (1)'!Q54</f>
        <v>7.9999999999999996E-6</v>
      </c>
      <c r="AK151" s="27">
        <f>'Adubos e corretivos (1)'!R54</f>
        <v>0</v>
      </c>
      <c r="AL151" s="27">
        <f>'Adubos e corretivos (1)'!S54</f>
        <v>54</v>
      </c>
      <c r="AM151" s="27">
        <f>'Adubos e corretivos (1)'!T54</f>
        <v>0</v>
      </c>
      <c r="AN151" s="27">
        <f>'Adubos e corretivos (1)'!U54</f>
        <v>0</v>
      </c>
      <c r="AO151" s="27">
        <f>'Adubos e corretivos (1)'!V54</f>
        <v>0</v>
      </c>
    </row>
    <row r="152" spans="11:41" ht="19.5" customHeight="1" x14ac:dyDescent="0.25">
      <c r="U152" s="261"/>
      <c r="V152" s="27" t="str">
        <f>'Adubos e corretivos (1)'!C55</f>
        <v>FNR Fertipar ((061 3642-2080)</v>
      </c>
      <c r="W152" s="27">
        <f>'Adubos e corretivos (1)'!D55</f>
        <v>0</v>
      </c>
      <c r="X152" s="27">
        <f>'Adubos e corretivos (1)'!E55</f>
        <v>0</v>
      </c>
      <c r="Y152" s="27">
        <f>'Adubos e corretivos (1)'!F55</f>
        <v>12.67</v>
      </c>
      <c r="Z152" s="27">
        <f>'Adubos e corretivos (1)'!G55</f>
        <v>29</v>
      </c>
      <c r="AA152" s="27">
        <f>'Adubos e corretivos (1)'!H55</f>
        <v>0</v>
      </c>
      <c r="AB152" s="27">
        <f>'Adubos e corretivos (1)'!I55</f>
        <v>0</v>
      </c>
      <c r="AC152" s="27">
        <f>'Adubos e corretivos (1)'!J55</f>
        <v>0</v>
      </c>
      <c r="AD152" s="27">
        <f>'Adubos e corretivos (1)'!K55</f>
        <v>0</v>
      </c>
      <c r="AE152" s="27">
        <f>'Adubos e corretivos (1)'!L55</f>
        <v>0</v>
      </c>
      <c r="AF152" s="27">
        <f>'Adubos e corretivos (1)'!M55</f>
        <v>0</v>
      </c>
      <c r="AG152" s="27">
        <f>'Adubos e corretivos (1)'!N55</f>
        <v>0</v>
      </c>
      <c r="AH152" s="27">
        <f>'Adubos e corretivos (1)'!O55</f>
        <v>0</v>
      </c>
      <c r="AI152" s="27">
        <f>'Adubos e corretivos (1)'!P55</f>
        <v>0</v>
      </c>
      <c r="AJ152" s="27">
        <f>'Adubos e corretivos (1)'!Q55</f>
        <v>0</v>
      </c>
      <c r="AK152" s="27">
        <f>'Adubos e corretivos (1)'!R55</f>
        <v>0</v>
      </c>
      <c r="AL152" s="27">
        <f>'Adubos e corretivos (1)'!S55</f>
        <v>0</v>
      </c>
      <c r="AM152" s="27">
        <f>'Adubos e corretivos (1)'!T55</f>
        <v>0</v>
      </c>
      <c r="AN152" s="27">
        <f>'Adubos e corretivos (1)'!U55</f>
        <v>0</v>
      </c>
      <c r="AO152" s="27">
        <f>'Adubos e corretivos (1)'!V55</f>
        <v>0</v>
      </c>
    </row>
    <row r="153" spans="11:41" ht="19.5" customHeight="1" x14ac:dyDescent="0.25">
      <c r="U153" s="261"/>
      <c r="V153" s="27" t="str">
        <f>'Adubos e corretivos (1)'!C56</f>
        <v>FNR Heringer (061 3642-2596)</v>
      </c>
      <c r="W153" s="27">
        <f>'Adubos e corretivos (1)'!D56</f>
        <v>0</v>
      </c>
      <c r="X153" s="27">
        <f>'Adubos e corretivos (1)'!E56</f>
        <v>0</v>
      </c>
      <c r="Y153" s="27">
        <f>'Adubos e corretivos (1)'!F56</f>
        <v>13.11</v>
      </c>
      <c r="Z153" s="27">
        <f>'Adubos e corretivos (1)'!G56</f>
        <v>30</v>
      </c>
      <c r="AA153" s="27">
        <f>'Adubos e corretivos (1)'!H56</f>
        <v>0</v>
      </c>
      <c r="AB153" s="27">
        <f>'Adubos e corretivos (1)'!I56</f>
        <v>0</v>
      </c>
      <c r="AC153" s="27">
        <f>'Adubos e corretivos (1)'!J56</f>
        <v>0</v>
      </c>
      <c r="AD153" s="27">
        <f>'Adubos e corretivos (1)'!K56</f>
        <v>0</v>
      </c>
      <c r="AE153" s="27">
        <f>'Adubos e corretivos (1)'!L56</f>
        <v>0</v>
      </c>
      <c r="AF153" s="27">
        <f>'Adubos e corretivos (1)'!M56</f>
        <v>0</v>
      </c>
      <c r="AG153" s="27">
        <f>'Adubos e corretivos (1)'!N56</f>
        <v>0</v>
      </c>
      <c r="AH153" s="27">
        <f>'Adubos e corretivos (1)'!O56</f>
        <v>0</v>
      </c>
      <c r="AI153" s="27">
        <f>'Adubos e corretivos (1)'!P56</f>
        <v>0</v>
      </c>
      <c r="AJ153" s="27">
        <f>'Adubos e corretivos (1)'!Q56</f>
        <v>0</v>
      </c>
      <c r="AK153" s="27">
        <f>'Adubos e corretivos (1)'!R56</f>
        <v>0</v>
      </c>
      <c r="AL153" s="27">
        <f>'Adubos e corretivos (1)'!S56</f>
        <v>0</v>
      </c>
      <c r="AM153" s="27">
        <f>'Adubos e corretivos (1)'!T56</f>
        <v>0</v>
      </c>
      <c r="AN153" s="27">
        <f>'Adubos e corretivos (1)'!U56</f>
        <v>0</v>
      </c>
      <c r="AO153" s="27">
        <f>'Adubos e corretivos (1)'!V56</f>
        <v>0</v>
      </c>
    </row>
    <row r="154" spans="11:41" ht="19.5" customHeight="1" x14ac:dyDescent="0.25">
      <c r="K154" s="188"/>
      <c r="U154" s="261"/>
      <c r="V154" s="27" t="str">
        <f>'Adubos e corretivos (1)'!C57</f>
        <v>FNR Paulivida (061 - 3361-6634)</v>
      </c>
      <c r="W154" s="27">
        <f>'Adubos e corretivos (1)'!D57</f>
        <v>0</v>
      </c>
      <c r="X154" s="27">
        <f>'Adubos e corretivos (1)'!E57</f>
        <v>0</v>
      </c>
      <c r="Y154" s="27">
        <f>'Adubos e corretivos (1)'!F57</f>
        <v>11.8</v>
      </c>
      <c r="Z154" s="27">
        <f>'Adubos e corretivos (1)'!G57</f>
        <v>27</v>
      </c>
      <c r="AA154" s="27">
        <f>'Adubos e corretivos (1)'!H57</f>
        <v>0</v>
      </c>
      <c r="AB154" s="27">
        <f>'Adubos e corretivos (1)'!I57</f>
        <v>0</v>
      </c>
      <c r="AC154" s="27">
        <f>'Adubos e corretivos (1)'!J57</f>
        <v>0</v>
      </c>
      <c r="AD154" s="27">
        <f>'Adubos e corretivos (1)'!K57</f>
        <v>0</v>
      </c>
      <c r="AE154" s="27">
        <f>'Adubos e corretivos (1)'!L57</f>
        <v>0</v>
      </c>
      <c r="AF154" s="27">
        <f>'Adubos e corretivos (1)'!M57</f>
        <v>0</v>
      </c>
      <c r="AG154" s="27">
        <f>'Adubos e corretivos (1)'!N57</f>
        <v>0</v>
      </c>
      <c r="AH154" s="27">
        <f>'Adubos e corretivos (1)'!O57</f>
        <v>0</v>
      </c>
      <c r="AI154" s="27">
        <f>'Adubos e corretivos (1)'!P57</f>
        <v>0</v>
      </c>
      <c r="AJ154" s="27">
        <f>'Adubos e corretivos (1)'!Q57</f>
        <v>0</v>
      </c>
      <c r="AK154" s="27">
        <f>'Adubos e corretivos (1)'!R57</f>
        <v>0</v>
      </c>
      <c r="AL154" s="27">
        <f>'Adubos e corretivos (1)'!S57</f>
        <v>0</v>
      </c>
      <c r="AM154" s="27">
        <f>'Adubos e corretivos (1)'!T57</f>
        <v>0</v>
      </c>
      <c r="AN154" s="27">
        <f>'Adubos e corretivos (1)'!U57</f>
        <v>0</v>
      </c>
      <c r="AO154" s="27">
        <f>'Adubos e corretivos (1)'!V57</f>
        <v>0</v>
      </c>
    </row>
    <row r="155" spans="11:41" ht="19.5" customHeight="1" x14ac:dyDescent="0.25">
      <c r="K155" s="188"/>
      <c r="U155" s="261"/>
      <c r="V155" s="27" t="str">
        <f>'Adubos e corretivos (1)'!C58</f>
        <v>Agroffos Agronelli (061 3642-1777)</v>
      </c>
      <c r="W155" s="27">
        <f>'Adubos e corretivos (1)'!D58</f>
        <v>0</v>
      </c>
      <c r="X155" s="27">
        <f>'Adubos e corretivos (1)'!E58</f>
        <v>0</v>
      </c>
      <c r="Y155" s="27">
        <f>'Adubos e corretivos (1)'!F58</f>
        <v>6.1150000000000002</v>
      </c>
      <c r="Z155" s="27">
        <f>'Adubos e corretivos (1)'!G58</f>
        <v>14</v>
      </c>
      <c r="AA155" s="27">
        <f>'Adubos e corretivos (1)'!H58</f>
        <v>0</v>
      </c>
      <c r="AB155" s="27">
        <f>'Adubos e corretivos (1)'!I58</f>
        <v>0</v>
      </c>
      <c r="AC155" s="27">
        <f>'Adubos e corretivos (1)'!J58</f>
        <v>0</v>
      </c>
      <c r="AD155" s="27">
        <f>'Adubos e corretivos (1)'!K58</f>
        <v>0</v>
      </c>
      <c r="AE155" s="27">
        <f>'Adubos e corretivos (1)'!L58</f>
        <v>0</v>
      </c>
      <c r="AF155" s="27">
        <f>'Adubos e corretivos (1)'!M58</f>
        <v>0</v>
      </c>
      <c r="AG155" s="27">
        <f>'Adubos e corretivos (1)'!N58</f>
        <v>0</v>
      </c>
      <c r="AH155" s="27">
        <f>'Adubos e corretivos (1)'!O58</f>
        <v>0</v>
      </c>
      <c r="AI155" s="27">
        <f>'Adubos e corretivos (1)'!P58</f>
        <v>0</v>
      </c>
      <c r="AJ155" s="27">
        <f>'Adubos e corretivos (1)'!Q58</f>
        <v>0</v>
      </c>
      <c r="AK155" s="27">
        <f>'Adubos e corretivos (1)'!R58</f>
        <v>0</v>
      </c>
      <c r="AL155" s="27">
        <f>'Adubos e corretivos (1)'!S58</f>
        <v>0</v>
      </c>
      <c r="AM155" s="27">
        <f>'Adubos e corretivos (1)'!T58</f>
        <v>0</v>
      </c>
      <c r="AN155" s="27">
        <f>'Adubos e corretivos (1)'!U58</f>
        <v>0</v>
      </c>
      <c r="AO155" s="27">
        <f>'Adubos e corretivos (1)'!V58</f>
        <v>0</v>
      </c>
    </row>
    <row r="156" spans="11:41" ht="19.5" customHeight="1" x14ac:dyDescent="0.25">
      <c r="K156" s="188"/>
      <c r="U156" s="261"/>
      <c r="V156" s="27" t="str">
        <f>'Adubos e corretivos (1)'!C59</f>
        <v>Suphaphos</v>
      </c>
      <c r="W156" s="27">
        <f>'Adubos e corretivos (1)'!D59</f>
        <v>0</v>
      </c>
      <c r="X156" s="27">
        <f>'Adubos e corretivos (1)'!E59</f>
        <v>0</v>
      </c>
      <c r="Y156" s="27">
        <f>'Adubos e corretivos (1)'!F59</f>
        <v>6.1150000000000002</v>
      </c>
      <c r="Z156" s="27">
        <f>'Adubos e corretivos (1)'!G59</f>
        <v>14</v>
      </c>
      <c r="AA156" s="27">
        <f>'Adubos e corretivos (1)'!H59</f>
        <v>0</v>
      </c>
      <c r="AB156" s="27">
        <f>'Adubos e corretivos (1)'!I59</f>
        <v>0</v>
      </c>
      <c r="AC156" s="27">
        <f>'Adubos e corretivos (1)'!J59</f>
        <v>12</v>
      </c>
      <c r="AD156" s="27">
        <f>'Adubos e corretivos (1)'!K59</f>
        <v>0</v>
      </c>
      <c r="AE156" s="27">
        <f>'Adubos e corretivos (1)'!L59</f>
        <v>0</v>
      </c>
      <c r="AF156" s="27">
        <f>'Adubos e corretivos (1)'!M59</f>
        <v>0</v>
      </c>
      <c r="AG156" s="27">
        <f>'Adubos e corretivos (1)'!N59</f>
        <v>0</v>
      </c>
      <c r="AH156" s="27">
        <f>'Adubos e corretivos (1)'!O59</f>
        <v>0</v>
      </c>
      <c r="AI156" s="27">
        <f>'Adubos e corretivos (1)'!P59</f>
        <v>0</v>
      </c>
      <c r="AJ156" s="27">
        <f>'Adubos e corretivos (1)'!Q59</f>
        <v>0</v>
      </c>
      <c r="AK156" s="27">
        <f>'Adubos e corretivos (1)'!R59</f>
        <v>0</v>
      </c>
      <c r="AL156" s="27">
        <f>'Adubos e corretivos (1)'!S59</f>
        <v>0</v>
      </c>
      <c r="AM156" s="27">
        <f>'Adubos e corretivos (1)'!T59</f>
        <v>0</v>
      </c>
      <c r="AN156" s="27">
        <f>'Adubos e corretivos (1)'!U59</f>
        <v>0</v>
      </c>
      <c r="AO156" s="27">
        <f>'Adubos e corretivos (1)'!V59</f>
        <v>0</v>
      </c>
    </row>
    <row r="157" spans="11:41" ht="19.5" customHeight="1" x14ac:dyDescent="0.25">
      <c r="K157" s="188"/>
      <c r="U157" s="261"/>
      <c r="V157" s="27" t="str">
        <f>'Adubos e corretivos (1)'!C60</f>
        <v>Potomag Nutrisafra (061 3028-2695)</v>
      </c>
      <c r="W157" s="27">
        <f>'Adubos e corretivos (1)'!D60</f>
        <v>0</v>
      </c>
      <c r="X157" s="27">
        <f>'Adubos e corretivos (1)'!E60</f>
        <v>0</v>
      </c>
      <c r="Y157" s="27">
        <f>'Adubos e corretivos (1)'!F60</f>
        <v>0</v>
      </c>
      <c r="Z157" s="27">
        <f>'Adubos e corretivos (1)'!G60</f>
        <v>0</v>
      </c>
      <c r="AA157" s="27">
        <f>'Adubos e corretivos (1)'!H60</f>
        <v>18.27</v>
      </c>
      <c r="AB157" s="27">
        <f>'Adubos e corretivos (1)'!I60</f>
        <v>22</v>
      </c>
      <c r="AC157" s="27">
        <f>'Adubos e corretivos (1)'!J60</f>
        <v>0</v>
      </c>
      <c r="AD157" s="27">
        <f>'Adubos e corretivos (1)'!K60</f>
        <v>11</v>
      </c>
      <c r="AE157" s="27">
        <f>'Adubos e corretivos (1)'!L60</f>
        <v>22</v>
      </c>
      <c r="AF157" s="27">
        <f>'Adubos e corretivos (1)'!M60</f>
        <v>0</v>
      </c>
      <c r="AG157" s="27">
        <f>'Adubos e corretivos (1)'!N60</f>
        <v>0</v>
      </c>
      <c r="AH157" s="27">
        <f>'Adubos e corretivos (1)'!O60</f>
        <v>0</v>
      </c>
      <c r="AI157" s="27">
        <f>'Adubos e corretivos (1)'!P60</f>
        <v>0</v>
      </c>
      <c r="AJ157" s="27">
        <f>'Adubos e corretivos (1)'!Q60</f>
        <v>0</v>
      </c>
      <c r="AK157" s="27">
        <f>'Adubos e corretivos (1)'!R60</f>
        <v>0</v>
      </c>
      <c r="AL157" s="27">
        <f>'Adubos e corretivos (1)'!S60</f>
        <v>0</v>
      </c>
      <c r="AM157" s="27">
        <f>'Adubos e corretivos (1)'!T60</f>
        <v>0</v>
      </c>
      <c r="AN157" s="27">
        <f>'Adubos e corretivos (1)'!U60</f>
        <v>0</v>
      </c>
      <c r="AO157" s="27">
        <f>'Adubos e corretivos (1)'!V60</f>
        <v>0</v>
      </c>
    </row>
    <row r="158" spans="11:41" ht="19.5" customHeight="1" x14ac:dyDescent="0.25">
      <c r="K158" s="188"/>
      <c r="L158" s="188"/>
      <c r="U158" s="261"/>
      <c r="V158" s="27">
        <f>'Adubos e corretivos (1)'!C61</f>
        <v>0</v>
      </c>
      <c r="W158" s="27">
        <f>'Adubos e corretivos (1)'!D61</f>
        <v>0</v>
      </c>
      <c r="X158" s="27">
        <f>'Adubos e corretivos (1)'!E61</f>
        <v>0</v>
      </c>
      <c r="Y158" s="27">
        <f>'Adubos e corretivos (1)'!F61</f>
        <v>0</v>
      </c>
      <c r="Z158" s="27">
        <f>'Adubos e corretivos (1)'!G61</f>
        <v>0</v>
      </c>
      <c r="AA158" s="27">
        <f>'Adubos e corretivos (1)'!H61</f>
        <v>0</v>
      </c>
      <c r="AB158" s="27">
        <f>'Adubos e corretivos (1)'!I61</f>
        <v>0</v>
      </c>
      <c r="AC158" s="27">
        <f>'Adubos e corretivos (1)'!J61</f>
        <v>0</v>
      </c>
      <c r="AD158" s="27">
        <f>'Adubos e corretivos (1)'!K61</f>
        <v>0</v>
      </c>
      <c r="AE158" s="27">
        <f>'Adubos e corretivos (1)'!L61</f>
        <v>0</v>
      </c>
      <c r="AF158" s="27">
        <f>'Adubos e corretivos (1)'!M61</f>
        <v>0</v>
      </c>
      <c r="AG158" s="27">
        <f>'Adubos e corretivos (1)'!N61</f>
        <v>0</v>
      </c>
      <c r="AH158" s="27">
        <f>'Adubos e corretivos (1)'!O61</f>
        <v>0</v>
      </c>
      <c r="AI158" s="27">
        <f>'Adubos e corretivos (1)'!P61</f>
        <v>0</v>
      </c>
      <c r="AJ158" s="27">
        <f>'Adubos e corretivos (1)'!Q61</f>
        <v>0</v>
      </c>
      <c r="AK158" s="27">
        <f>'Adubos e corretivos (1)'!R61</f>
        <v>0</v>
      </c>
      <c r="AL158" s="27">
        <f>'Adubos e corretivos (1)'!S61</f>
        <v>0</v>
      </c>
      <c r="AM158" s="27">
        <f>'Adubos e corretivos (1)'!T61</f>
        <v>0</v>
      </c>
      <c r="AN158" s="27">
        <f>'Adubos e corretivos (1)'!U61</f>
        <v>0</v>
      </c>
      <c r="AO158" s="27">
        <f>'Adubos e corretivos (1)'!V61</f>
        <v>0</v>
      </c>
    </row>
    <row r="159" spans="11:41" ht="19.5" customHeight="1" x14ac:dyDescent="0.25">
      <c r="K159" s="188"/>
      <c r="L159" s="188"/>
      <c r="U159" s="261"/>
      <c r="V159" s="27">
        <f>'Adubos e corretivos (1)'!C62</f>
        <v>0</v>
      </c>
      <c r="W159" s="27">
        <f>'Adubos e corretivos (1)'!D62</f>
        <v>0</v>
      </c>
      <c r="X159" s="27">
        <f>'Adubos e corretivos (1)'!E62</f>
        <v>0</v>
      </c>
      <c r="Y159" s="27">
        <f>'Adubos e corretivos (1)'!F62</f>
        <v>0</v>
      </c>
      <c r="Z159" s="27">
        <f>'Adubos e corretivos (1)'!G62</f>
        <v>0</v>
      </c>
      <c r="AA159" s="27">
        <f>'Adubos e corretivos (1)'!H62</f>
        <v>0</v>
      </c>
      <c r="AB159" s="27">
        <f>'Adubos e corretivos (1)'!I62</f>
        <v>0</v>
      </c>
      <c r="AC159" s="27">
        <f>'Adubos e corretivos (1)'!J62</f>
        <v>0</v>
      </c>
      <c r="AD159" s="27">
        <f>'Adubos e corretivos (1)'!K62</f>
        <v>0</v>
      </c>
      <c r="AE159" s="27">
        <f>'Adubos e corretivos (1)'!L62</f>
        <v>0</v>
      </c>
      <c r="AF159" s="27">
        <f>'Adubos e corretivos (1)'!M62</f>
        <v>0</v>
      </c>
      <c r="AG159" s="27">
        <f>'Adubos e corretivos (1)'!N62</f>
        <v>0</v>
      </c>
      <c r="AH159" s="27">
        <f>'Adubos e corretivos (1)'!O62</f>
        <v>0</v>
      </c>
      <c r="AI159" s="27">
        <f>'Adubos e corretivos (1)'!P62</f>
        <v>0</v>
      </c>
      <c r="AJ159" s="27">
        <f>'Adubos e corretivos (1)'!Q62</f>
        <v>0</v>
      </c>
      <c r="AK159" s="27">
        <f>'Adubos e corretivos (1)'!R62</f>
        <v>0</v>
      </c>
      <c r="AL159" s="27">
        <f>'Adubos e corretivos (1)'!S62</f>
        <v>0</v>
      </c>
      <c r="AM159" s="27">
        <f>'Adubos e corretivos (1)'!T62</f>
        <v>0</v>
      </c>
      <c r="AN159" s="27">
        <f>'Adubos e corretivos (1)'!U62</f>
        <v>0</v>
      </c>
      <c r="AO159" s="27">
        <f>'Adubos e corretivos (1)'!V62</f>
        <v>0</v>
      </c>
    </row>
    <row r="160" spans="11:41" ht="19.5" customHeight="1" x14ac:dyDescent="0.25">
      <c r="K160" s="188"/>
      <c r="L160" s="188"/>
      <c r="U160" s="260" t="s">
        <v>256</v>
      </c>
      <c r="V160" s="27" t="str">
        <f>'Adubos e corretivos (1)'!C63</f>
        <v>Micaxisto (61) 3233-9368</v>
      </c>
      <c r="W160" s="27">
        <f>'Adubos e corretivos (1)'!D63</f>
        <v>0.12</v>
      </c>
      <c r="X160" s="27">
        <f>'Adubos e corretivos (1)'!E63</f>
        <v>0</v>
      </c>
      <c r="Y160" s="27">
        <f>'Adubos e corretivos (1)'!F63</f>
        <v>4.4999999999999998E-2</v>
      </c>
      <c r="Z160" s="27">
        <f>'Adubos e corretivos (1)'!G63</f>
        <v>0.1</v>
      </c>
      <c r="AA160" s="27">
        <f>'Adubos e corretivos (1)'!H63</f>
        <v>4.32</v>
      </c>
      <c r="AB160" s="27">
        <f>'Adubos e corretivos (1)'!I63</f>
        <v>5.2</v>
      </c>
      <c r="AC160" s="27">
        <f>'Adubos e corretivos (1)'!J63</f>
        <v>1.2587412587412588</v>
      </c>
      <c r="AD160" s="27">
        <f>'Adubos e corretivos (1)'!K63</f>
        <v>1.1627906976744187</v>
      </c>
      <c r="AE160" s="27">
        <f>'Adubos e corretivos (1)'!L63</f>
        <v>0</v>
      </c>
      <c r="AF160" s="27">
        <f>'Adubos e corretivos (1)'!M63</f>
        <v>0</v>
      </c>
      <c r="AG160" s="27">
        <f>'Adubos e corretivos (1)'!N63</f>
        <v>0</v>
      </c>
      <c r="AH160" s="27">
        <f>'Adubos e corretivos (1)'!O63</f>
        <v>0</v>
      </c>
      <c r="AI160" s="27">
        <f>'Adubos e corretivos (1)'!P63</f>
        <v>0</v>
      </c>
      <c r="AJ160" s="27">
        <f>'Adubos e corretivos (1)'!Q63</f>
        <v>0</v>
      </c>
      <c r="AK160" s="27">
        <f>'Adubos e corretivos (1)'!R63</f>
        <v>0</v>
      </c>
      <c r="AL160" s="27">
        <f>'Adubos e corretivos (1)'!S63</f>
        <v>0</v>
      </c>
      <c r="AM160" s="27">
        <f>'Adubos e corretivos (1)'!T63</f>
        <v>0</v>
      </c>
      <c r="AN160" s="27">
        <f>'Adubos e corretivos (1)'!U63</f>
        <v>0</v>
      </c>
      <c r="AO160" s="27">
        <f>'Adubos e corretivos (1)'!V63</f>
        <v>0</v>
      </c>
    </row>
    <row r="161" spans="11:44" ht="19.5" customHeight="1" x14ac:dyDescent="0.25">
      <c r="K161" s="188"/>
      <c r="L161" s="188"/>
      <c r="U161" s="260"/>
      <c r="V161" s="27" t="str">
        <f>'Adubos e corretivos (1)'!C64</f>
        <v xml:space="preserve"> Remax Mistel (61) 99414-1975</v>
      </c>
      <c r="W161" s="27">
        <f>'Adubos e corretivos (1)'!D64</f>
        <v>0</v>
      </c>
      <c r="X161" s="27">
        <f>'Adubos e corretivos (1)'!E64</f>
        <v>0</v>
      </c>
      <c r="Y161" s="27">
        <f>'Adubos e corretivos (1)'!F64</f>
        <v>4.4999999999999998E-2</v>
      </c>
      <c r="Z161" s="27">
        <f>'Adubos e corretivos (1)'!G64</f>
        <v>0.1</v>
      </c>
      <c r="AA161" s="27">
        <f>'Adubos e corretivos (1)'!H64</f>
        <v>2.1949999999999998</v>
      </c>
      <c r="AB161" s="27">
        <f>'Adubos e corretivos (1)'!I64</f>
        <v>2.6</v>
      </c>
      <c r="AC161" s="27">
        <f>'Adubos e corretivos (1)'!J64</f>
        <v>18.741258741258743</v>
      </c>
      <c r="AD161" s="27">
        <f>'Adubos e corretivos (1)'!K64</f>
        <v>12.44186046511628</v>
      </c>
      <c r="AE161" s="27">
        <f>'Adubos e corretivos (1)'!L64</f>
        <v>0</v>
      </c>
      <c r="AF161" s="27">
        <f>'Adubos e corretivos (1)'!M64</f>
        <v>0</v>
      </c>
      <c r="AG161" s="27">
        <f>'Adubos e corretivos (1)'!N64</f>
        <v>0</v>
      </c>
      <c r="AH161" s="27">
        <f>'Adubos e corretivos (1)'!O64</f>
        <v>0</v>
      </c>
      <c r="AI161" s="27">
        <f>'Adubos e corretivos (1)'!P64</f>
        <v>0</v>
      </c>
      <c r="AJ161" s="27">
        <f>'Adubos e corretivos (1)'!Q64</f>
        <v>0</v>
      </c>
      <c r="AK161" s="27">
        <f>'Adubos e corretivos (1)'!R64</f>
        <v>0</v>
      </c>
      <c r="AL161" s="27">
        <f>'Adubos e corretivos (1)'!S64</f>
        <v>43.8</v>
      </c>
      <c r="AM161" s="27">
        <f>'Adubos e corretivos (1)'!T64</f>
        <v>0</v>
      </c>
      <c r="AN161" s="27">
        <f>'Adubos e corretivos (1)'!U64</f>
        <v>0</v>
      </c>
      <c r="AO161" s="27">
        <f>'Adubos e corretivos (1)'!V64</f>
        <v>0</v>
      </c>
    </row>
    <row r="162" spans="11:44" ht="19.5" customHeight="1" x14ac:dyDescent="0.25">
      <c r="K162" s="188"/>
      <c r="L162" s="188"/>
      <c r="U162" s="260"/>
      <c r="V162" s="27" t="str">
        <f>'Adubos e corretivos (1)'!C65</f>
        <v xml:space="preserve">Pó de brita Fmx (62) 3924 8565 </v>
      </c>
      <c r="W162" s="27">
        <f>'Adubos e corretivos (1)'!D65</f>
        <v>0</v>
      </c>
      <c r="X162" s="27">
        <f>'Adubos e corretivos (1)'!E65</f>
        <v>0</v>
      </c>
      <c r="Y162" s="27">
        <f>'Adubos e corretivos (1)'!F65</f>
        <v>0</v>
      </c>
      <c r="Z162" s="27">
        <f>'Adubos e corretivos (1)'!G65</f>
        <v>0</v>
      </c>
      <c r="AA162" s="27">
        <f>'Adubos e corretivos (1)'!H65</f>
        <v>4.99</v>
      </c>
      <c r="AB162" s="27">
        <f>'Adubos e corretivos (1)'!I65</f>
        <v>6</v>
      </c>
      <c r="AC162" s="27">
        <f>'Adubos e corretivos (1)'!J65</f>
        <v>4.1958041958041958</v>
      </c>
      <c r="AD162" s="27">
        <f>'Adubos e corretivos (1)'!K65</f>
        <v>0.83056478405315615</v>
      </c>
      <c r="AE162" s="27">
        <f>'Adubos e corretivos (1)'!L65</f>
        <v>0</v>
      </c>
      <c r="AF162" s="27">
        <f>'Adubos e corretivos (1)'!M65</f>
        <v>0</v>
      </c>
      <c r="AG162" s="27">
        <f>'Adubos e corretivos (1)'!N65</f>
        <v>0</v>
      </c>
      <c r="AH162" s="27">
        <f>'Adubos e corretivos (1)'!O65</f>
        <v>0</v>
      </c>
      <c r="AI162" s="27">
        <f>'Adubos e corretivos (1)'!P65</f>
        <v>0</v>
      </c>
      <c r="AJ162" s="27">
        <f>'Adubos e corretivos (1)'!Q65</f>
        <v>0</v>
      </c>
      <c r="AK162" s="27">
        <f>'Adubos e corretivos (1)'!R65</f>
        <v>0</v>
      </c>
      <c r="AL162" s="27">
        <f>'Adubos e corretivos (1)'!S65</f>
        <v>0</v>
      </c>
      <c r="AM162" s="27">
        <f>'Adubos e corretivos (1)'!T65</f>
        <v>0</v>
      </c>
      <c r="AN162" s="27">
        <f>'Adubos e corretivos (1)'!U65</f>
        <v>0</v>
      </c>
      <c r="AO162" s="27">
        <f>'Adubos e corretivos (1)'!V65</f>
        <v>0</v>
      </c>
    </row>
    <row r="163" spans="11:44" ht="19.5" customHeight="1" x14ac:dyDescent="0.25">
      <c r="K163" s="188"/>
      <c r="L163" s="188"/>
      <c r="U163" s="260"/>
      <c r="V163" s="27" t="str">
        <f>'Adubos e corretivos (1)'!C66</f>
        <v xml:space="preserve">Biotita Xisto (61) 3233-9368 </v>
      </c>
      <c r="W163" s="27">
        <f>'Adubos e corretivos (1)'!D66</f>
        <v>0</v>
      </c>
      <c r="X163" s="27">
        <f>'Adubos e corretivos (1)'!E66</f>
        <v>0</v>
      </c>
      <c r="Y163" s="27">
        <f>'Adubos e corretivos (1)'!F66</f>
        <v>8.7999999999999995E-2</v>
      </c>
      <c r="Z163" s="27">
        <f>'Adubos e corretivos (1)'!G66</f>
        <v>0.2</v>
      </c>
      <c r="AA163" s="27">
        <f>'Adubos e corretivos (1)'!H66</f>
        <v>2.83</v>
      </c>
      <c r="AB163" s="27">
        <f>'Adubos e corretivos (1)'!I66</f>
        <v>3.4</v>
      </c>
      <c r="AC163" s="27">
        <f>'Adubos e corretivos (1)'!J66</f>
        <v>2.5174825174825175</v>
      </c>
      <c r="AD163" s="27">
        <f>'Adubos e corretivos (1)'!K66</f>
        <v>7.6411960132890364</v>
      </c>
      <c r="AE163" s="27">
        <f>'Adubos e corretivos (1)'!L66</f>
        <v>0</v>
      </c>
      <c r="AF163" s="27">
        <f>'Adubos e corretivos (1)'!M66</f>
        <v>0</v>
      </c>
      <c r="AG163" s="27">
        <f>'Adubos e corretivos (1)'!N66</f>
        <v>0</v>
      </c>
      <c r="AH163" s="27">
        <f>'Adubos e corretivos (1)'!O66</f>
        <v>0</v>
      </c>
      <c r="AI163" s="27">
        <f>'Adubos e corretivos (1)'!P66</f>
        <v>0</v>
      </c>
      <c r="AJ163" s="27">
        <f>'Adubos e corretivos (1)'!Q66</f>
        <v>0</v>
      </c>
      <c r="AK163" s="27">
        <f>'Adubos e corretivos (1)'!R66</f>
        <v>0</v>
      </c>
      <c r="AL163" s="27">
        <f>'Adubos e corretivos (1)'!S66</f>
        <v>57.8</v>
      </c>
      <c r="AM163" s="27">
        <f>'Adubos e corretivos (1)'!T66</f>
        <v>0</v>
      </c>
      <c r="AN163" s="27">
        <f>'Adubos e corretivos (1)'!U66</f>
        <v>0</v>
      </c>
      <c r="AO163" s="27">
        <f>'Adubos e corretivos (1)'!V66</f>
        <v>0</v>
      </c>
    </row>
    <row r="164" spans="11:44" ht="19.5" customHeight="1" x14ac:dyDescent="0.25">
      <c r="K164" s="188"/>
      <c r="L164" s="188"/>
      <c r="U164" s="260"/>
      <c r="V164" s="27" t="str">
        <f>'Adubos e corretivos (1)'!C67</f>
        <v>Kamafugito</v>
      </c>
      <c r="W164" s="27">
        <f>'Adubos e corretivos (1)'!D67</f>
        <v>0</v>
      </c>
      <c r="X164" s="27">
        <f>'Adubos e corretivos (1)'!E67</f>
        <v>0</v>
      </c>
      <c r="Y164" s="27">
        <f>'Adubos e corretivos (1)'!F67</f>
        <v>1.5069999999999999</v>
      </c>
      <c r="Z164" s="27">
        <f>'Adubos e corretivos (1)'!G67</f>
        <v>3.5</v>
      </c>
      <c r="AA164" s="27">
        <f>'Adubos e corretivos (1)'!H67</f>
        <v>3.3250000000000002</v>
      </c>
      <c r="AB164" s="27">
        <f>'Adubos e corretivos (1)'!I67</f>
        <v>4</v>
      </c>
      <c r="AC164" s="27">
        <f>'Adubos e corretivos (1)'!J67</f>
        <v>2.86</v>
      </c>
      <c r="AD164" s="27">
        <f>'Adubos e corretivos (1)'!K67</f>
        <v>0</v>
      </c>
      <c r="AE164" s="27">
        <f>'Adubos e corretivos (1)'!L67</f>
        <v>0</v>
      </c>
      <c r="AF164" s="27">
        <f>'Adubos e corretivos (1)'!M67</f>
        <v>0</v>
      </c>
      <c r="AG164" s="27">
        <f>'Adubos e corretivos (1)'!N67</f>
        <v>0</v>
      </c>
      <c r="AH164" s="27">
        <f>'Adubos e corretivos (1)'!O67</f>
        <v>0</v>
      </c>
      <c r="AI164" s="27">
        <f>'Adubos e corretivos (1)'!P67</f>
        <v>0</v>
      </c>
      <c r="AJ164" s="27">
        <f>'Adubos e corretivos (1)'!Q67</f>
        <v>0</v>
      </c>
      <c r="AK164" s="27">
        <f>'Adubos e corretivos (1)'!R67</f>
        <v>0</v>
      </c>
      <c r="AL164" s="27">
        <f>'Adubos e corretivos (1)'!S67</f>
        <v>0</v>
      </c>
      <c r="AM164" s="27">
        <f>'Adubos e corretivos (1)'!T67</f>
        <v>0</v>
      </c>
      <c r="AN164" s="27">
        <f>'Adubos e corretivos (1)'!U67</f>
        <v>0</v>
      </c>
      <c r="AO164" s="27">
        <f>'Adubos e corretivos (1)'!V67</f>
        <v>0</v>
      </c>
    </row>
    <row r="165" spans="11:44" ht="19.5" customHeight="1" x14ac:dyDescent="0.25">
      <c r="K165" s="188"/>
      <c r="L165" s="188"/>
      <c r="U165" s="260"/>
      <c r="V165" s="27">
        <f>'Adubos e corretivos (1)'!C68</f>
        <v>0</v>
      </c>
      <c r="W165" s="27">
        <f>'Adubos e corretivos (1)'!D68</f>
        <v>0</v>
      </c>
      <c r="X165" s="27">
        <f>'Adubos e corretivos (1)'!E68</f>
        <v>0</v>
      </c>
      <c r="Y165" s="27">
        <f>'Adubos e corretivos (1)'!F68</f>
        <v>0</v>
      </c>
      <c r="Z165" s="27">
        <f>'Adubos e corretivos (1)'!G68</f>
        <v>0</v>
      </c>
      <c r="AA165" s="27">
        <f>'Adubos e corretivos (1)'!H68</f>
        <v>0</v>
      </c>
      <c r="AB165" s="27">
        <f>'Adubos e corretivos (1)'!I68</f>
        <v>0</v>
      </c>
      <c r="AC165" s="27">
        <f>'Adubos e corretivos (1)'!J68</f>
        <v>0</v>
      </c>
      <c r="AD165" s="27">
        <f>'Adubos e corretivos (1)'!K68</f>
        <v>0</v>
      </c>
      <c r="AE165" s="27">
        <f>'Adubos e corretivos (1)'!L68</f>
        <v>0</v>
      </c>
      <c r="AF165" s="27">
        <f>'Adubos e corretivos (1)'!M68</f>
        <v>0</v>
      </c>
      <c r="AG165" s="27">
        <f>'Adubos e corretivos (1)'!N68</f>
        <v>0</v>
      </c>
      <c r="AH165" s="27">
        <f>'Adubos e corretivos (1)'!O68</f>
        <v>0</v>
      </c>
      <c r="AI165" s="27">
        <f>'Adubos e corretivos (1)'!P68</f>
        <v>0</v>
      </c>
      <c r="AJ165" s="27">
        <f>'Adubos e corretivos (1)'!Q68</f>
        <v>0</v>
      </c>
      <c r="AK165" s="27">
        <f>'Adubos e corretivos (1)'!R68</f>
        <v>0</v>
      </c>
      <c r="AL165" s="27">
        <f>'Adubos e corretivos (1)'!S68</f>
        <v>0</v>
      </c>
      <c r="AM165" s="27">
        <f>'Adubos e corretivos (1)'!T68</f>
        <v>0</v>
      </c>
      <c r="AN165" s="27">
        <f>'Adubos e corretivos (1)'!U68</f>
        <v>0</v>
      </c>
      <c r="AO165" s="27">
        <f>'Adubos e corretivos (1)'!V68</f>
        <v>0</v>
      </c>
    </row>
    <row r="166" spans="11:44" ht="19.5" customHeight="1" x14ac:dyDescent="0.25">
      <c r="K166" s="188"/>
      <c r="L166" s="188"/>
      <c r="U166" s="260"/>
      <c r="V166" s="27">
        <f>'Adubos e corretivos (1)'!C69</f>
        <v>0</v>
      </c>
      <c r="W166" s="27">
        <f>'Adubos e corretivos (1)'!D69</f>
        <v>0</v>
      </c>
      <c r="X166" s="27">
        <f>'Adubos e corretivos (1)'!E69</f>
        <v>0</v>
      </c>
      <c r="Y166" s="27">
        <f>'Adubos e corretivos (1)'!F69</f>
        <v>0</v>
      </c>
      <c r="Z166" s="27">
        <f>'Adubos e corretivos (1)'!G69</f>
        <v>0</v>
      </c>
      <c r="AA166" s="27">
        <f>'Adubos e corretivos (1)'!H69</f>
        <v>0</v>
      </c>
      <c r="AB166" s="27">
        <f>'Adubos e corretivos (1)'!I69</f>
        <v>0</v>
      </c>
      <c r="AC166" s="27">
        <f>'Adubos e corretivos (1)'!J69</f>
        <v>0</v>
      </c>
      <c r="AD166" s="27">
        <f>'Adubos e corretivos (1)'!K69</f>
        <v>0</v>
      </c>
      <c r="AE166" s="27">
        <f>'Adubos e corretivos (1)'!L69</f>
        <v>0</v>
      </c>
      <c r="AF166" s="27">
        <f>'Adubos e corretivos (1)'!M69</f>
        <v>0</v>
      </c>
      <c r="AG166" s="27">
        <f>'Adubos e corretivos (1)'!N69</f>
        <v>0</v>
      </c>
      <c r="AH166" s="27">
        <f>'Adubos e corretivos (1)'!O69</f>
        <v>0</v>
      </c>
      <c r="AI166" s="27">
        <f>'Adubos e corretivos (1)'!P69</f>
        <v>0</v>
      </c>
      <c r="AJ166" s="27">
        <f>'Adubos e corretivos (1)'!Q69</f>
        <v>0</v>
      </c>
      <c r="AK166" s="27">
        <f>'Adubos e corretivos (1)'!R69</f>
        <v>0</v>
      </c>
      <c r="AL166" s="27">
        <f>'Adubos e corretivos (1)'!S69</f>
        <v>0</v>
      </c>
      <c r="AM166" s="27">
        <f>'Adubos e corretivos (1)'!T69</f>
        <v>0</v>
      </c>
      <c r="AN166" s="27">
        <f>'Adubos e corretivos (1)'!U69</f>
        <v>0</v>
      </c>
      <c r="AO166" s="27">
        <f>'Adubos e corretivos (1)'!V69</f>
        <v>0</v>
      </c>
    </row>
    <row r="167" spans="11:44" ht="19.5" customHeight="1" x14ac:dyDescent="0.25">
      <c r="K167" s="188"/>
      <c r="L167" s="188"/>
      <c r="U167" s="260"/>
      <c r="V167" s="27">
        <f>'Adubos e corretivos (1)'!C70</f>
        <v>0</v>
      </c>
      <c r="W167" s="27">
        <f>'Adubos e corretivos (1)'!D70</f>
        <v>0</v>
      </c>
      <c r="X167" s="27">
        <f>'Adubos e corretivos (1)'!E70</f>
        <v>0</v>
      </c>
      <c r="Y167" s="27">
        <f>'Adubos e corretivos (1)'!F70</f>
        <v>0</v>
      </c>
      <c r="Z167" s="27">
        <f>'Adubos e corretivos (1)'!G70</f>
        <v>0</v>
      </c>
      <c r="AA167" s="27">
        <f>'Adubos e corretivos (1)'!H70</f>
        <v>0</v>
      </c>
      <c r="AB167" s="27">
        <f>'Adubos e corretivos (1)'!I70</f>
        <v>0</v>
      </c>
      <c r="AC167" s="27">
        <f>'Adubos e corretivos (1)'!J70</f>
        <v>0</v>
      </c>
      <c r="AD167" s="27">
        <f>'Adubos e corretivos (1)'!K70</f>
        <v>0</v>
      </c>
      <c r="AE167" s="27">
        <f>'Adubos e corretivos (1)'!L70</f>
        <v>0</v>
      </c>
      <c r="AF167" s="27">
        <f>'Adubos e corretivos (1)'!M70</f>
        <v>0</v>
      </c>
      <c r="AG167" s="27">
        <f>'Adubos e corretivos (1)'!N70</f>
        <v>0</v>
      </c>
      <c r="AH167" s="27">
        <f>'Adubos e corretivos (1)'!O70</f>
        <v>0</v>
      </c>
      <c r="AI167" s="27">
        <f>'Adubos e corretivos (1)'!P70</f>
        <v>0</v>
      </c>
      <c r="AJ167" s="27">
        <f>'Adubos e corretivos (1)'!Q70</f>
        <v>0</v>
      </c>
      <c r="AK167" s="27">
        <f>'Adubos e corretivos (1)'!R70</f>
        <v>0</v>
      </c>
      <c r="AL167" s="27">
        <f>'Adubos e corretivos (1)'!S70</f>
        <v>0</v>
      </c>
      <c r="AM167" s="27">
        <f>'Adubos e corretivos (1)'!T70</f>
        <v>0</v>
      </c>
      <c r="AN167" s="27">
        <f>'Adubos e corretivos (1)'!U70</f>
        <v>0</v>
      </c>
      <c r="AO167" s="27">
        <f>'Adubos e corretivos (1)'!V70</f>
        <v>0</v>
      </c>
    </row>
    <row r="168" spans="11:44" ht="19.5" customHeight="1" x14ac:dyDescent="0.25">
      <c r="K168" s="188"/>
      <c r="L168" s="188"/>
      <c r="U168" s="260"/>
      <c r="V168" s="27">
        <f>'Adubos e corretivos (1)'!C71</f>
        <v>0</v>
      </c>
      <c r="W168" s="27">
        <f>'Adubos e corretivos (1)'!D71</f>
        <v>0</v>
      </c>
      <c r="X168" s="27">
        <f>'Adubos e corretivos (1)'!E71</f>
        <v>0</v>
      </c>
      <c r="Y168" s="27">
        <f>'Adubos e corretivos (1)'!F71</f>
        <v>0</v>
      </c>
      <c r="Z168" s="27">
        <f>'Adubos e corretivos (1)'!G71</f>
        <v>0</v>
      </c>
      <c r="AA168" s="27">
        <f>'Adubos e corretivos (1)'!H71</f>
        <v>0</v>
      </c>
      <c r="AB168" s="27">
        <f>'Adubos e corretivos (1)'!I71</f>
        <v>0</v>
      </c>
      <c r="AC168" s="27">
        <f>'Adubos e corretivos (1)'!J71</f>
        <v>0</v>
      </c>
      <c r="AD168" s="27">
        <f>'Adubos e corretivos (1)'!K71</f>
        <v>0</v>
      </c>
      <c r="AE168" s="27">
        <f>'Adubos e corretivos (1)'!L71</f>
        <v>0</v>
      </c>
      <c r="AF168" s="27">
        <f>'Adubos e corretivos (1)'!M71</f>
        <v>0</v>
      </c>
      <c r="AG168" s="27">
        <f>'Adubos e corretivos (1)'!N71</f>
        <v>0</v>
      </c>
      <c r="AH168" s="27">
        <f>'Adubos e corretivos (1)'!O71</f>
        <v>0</v>
      </c>
      <c r="AI168" s="27">
        <f>'Adubos e corretivos (1)'!P71</f>
        <v>0</v>
      </c>
      <c r="AJ168" s="27">
        <f>'Adubos e corretivos (1)'!Q71</f>
        <v>0</v>
      </c>
      <c r="AK168" s="27">
        <f>'Adubos e corretivos (1)'!R71</f>
        <v>0</v>
      </c>
      <c r="AL168" s="27">
        <f>'Adubos e corretivos (1)'!S71</f>
        <v>0</v>
      </c>
      <c r="AM168" s="27">
        <f>'Adubos e corretivos (1)'!T71</f>
        <v>0</v>
      </c>
      <c r="AN168" s="27">
        <f>'Adubos e corretivos (1)'!U71</f>
        <v>0</v>
      </c>
      <c r="AO168" s="27">
        <f>'Adubos e corretivos (1)'!V71</f>
        <v>0</v>
      </c>
    </row>
    <row r="169" spans="11:44" ht="19.5" customHeight="1" x14ac:dyDescent="0.25">
      <c r="K169" s="188"/>
      <c r="L169" s="188"/>
      <c r="U169" s="260"/>
      <c r="V169" s="27">
        <f>'Adubos e corretivos (1)'!C72</f>
        <v>0</v>
      </c>
      <c r="W169" s="27">
        <f>'Adubos e corretivos (1)'!D72</f>
        <v>0</v>
      </c>
      <c r="X169" s="27">
        <f>'Adubos e corretivos (1)'!E72</f>
        <v>0</v>
      </c>
      <c r="Y169" s="27">
        <f>'Adubos e corretivos (1)'!F72</f>
        <v>0</v>
      </c>
      <c r="Z169" s="27">
        <f>'Adubos e corretivos (1)'!G72</f>
        <v>0</v>
      </c>
      <c r="AA169" s="27">
        <f>'Adubos e corretivos (1)'!H72</f>
        <v>0</v>
      </c>
      <c r="AB169" s="27">
        <f>'Adubos e corretivos (1)'!I72</f>
        <v>0</v>
      </c>
      <c r="AC169" s="27">
        <f>'Adubos e corretivos (1)'!J72</f>
        <v>0</v>
      </c>
      <c r="AD169" s="27">
        <f>'Adubos e corretivos (1)'!K72</f>
        <v>0</v>
      </c>
      <c r="AE169" s="27">
        <f>'Adubos e corretivos (1)'!L72</f>
        <v>0</v>
      </c>
      <c r="AF169" s="27">
        <f>'Adubos e corretivos (1)'!M72</f>
        <v>0</v>
      </c>
      <c r="AG169" s="27">
        <f>'Adubos e corretivos (1)'!N72</f>
        <v>0</v>
      </c>
      <c r="AH169" s="27">
        <f>'Adubos e corretivos (1)'!O72</f>
        <v>0</v>
      </c>
      <c r="AI169" s="27">
        <f>'Adubos e corretivos (1)'!P72</f>
        <v>0</v>
      </c>
      <c r="AJ169" s="27">
        <f>'Adubos e corretivos (1)'!Q72</f>
        <v>0</v>
      </c>
      <c r="AK169" s="27">
        <f>'Adubos e corretivos (1)'!R72</f>
        <v>0</v>
      </c>
      <c r="AL169" s="27">
        <f>'Adubos e corretivos (1)'!S72</f>
        <v>0</v>
      </c>
      <c r="AM169" s="27">
        <f>'Adubos e corretivos (1)'!T72</f>
        <v>0</v>
      </c>
      <c r="AN169" s="27">
        <f>'Adubos e corretivos (1)'!U72</f>
        <v>0</v>
      </c>
      <c r="AO169" s="27">
        <f>'Adubos e corretivos (1)'!V72</f>
        <v>0</v>
      </c>
      <c r="AP169" s="188"/>
      <c r="AQ169" s="188"/>
      <c r="AR169" s="188"/>
    </row>
    <row r="170" spans="11:44" ht="19.5" customHeight="1" x14ac:dyDescent="0.25">
      <c r="K170" s="188"/>
      <c r="L170" s="188"/>
      <c r="U170" s="262" t="s">
        <v>123</v>
      </c>
      <c r="V170" s="27" t="str">
        <f>'Adubos e corretivos (1)'!C73</f>
        <v>Ácido Bórico</v>
      </c>
      <c r="W170" s="27">
        <f>'Adubos e corretivos (1)'!D73</f>
        <v>5.52</v>
      </c>
      <c r="X170" s="27">
        <f>'Adubos e corretivos (1)'!E73</f>
        <v>0</v>
      </c>
      <c r="Y170" s="27">
        <f>'Adubos e corretivos (1)'!F73</f>
        <v>0</v>
      </c>
      <c r="Z170" s="27">
        <f>'Adubos e corretivos (1)'!G73</f>
        <v>0</v>
      </c>
      <c r="AA170" s="27">
        <f>'Adubos e corretivos (1)'!H73</f>
        <v>0</v>
      </c>
      <c r="AB170" s="27">
        <f>'Adubos e corretivos (1)'!I73</f>
        <v>0</v>
      </c>
      <c r="AC170" s="27">
        <f>'Adubos e corretivos (1)'!J73</f>
        <v>0</v>
      </c>
      <c r="AD170" s="27">
        <f>'Adubos e corretivos (1)'!K73</f>
        <v>0</v>
      </c>
      <c r="AE170" s="27">
        <f>'Adubos e corretivos (1)'!L73</f>
        <v>0</v>
      </c>
      <c r="AF170" s="27">
        <f>'Adubos e corretivos (1)'!M73</f>
        <v>17.5</v>
      </c>
      <c r="AG170" s="27">
        <f>'Adubos e corretivos (1)'!N73</f>
        <v>0</v>
      </c>
      <c r="AH170" s="27">
        <f>'Adubos e corretivos (1)'!O73</f>
        <v>0</v>
      </c>
      <c r="AI170" s="27">
        <f>'Adubos e corretivos (1)'!P73</f>
        <v>0</v>
      </c>
      <c r="AJ170" s="27">
        <f>'Adubos e corretivos (1)'!Q73</f>
        <v>0</v>
      </c>
      <c r="AK170" s="27">
        <f>'Adubos e corretivos (1)'!R73</f>
        <v>0</v>
      </c>
      <c r="AL170" s="27">
        <f>'Adubos e corretivos (1)'!S73</f>
        <v>0</v>
      </c>
      <c r="AM170" s="27">
        <f>'Adubos e corretivos (1)'!T73</f>
        <v>0</v>
      </c>
      <c r="AN170" s="27">
        <f>'Adubos e corretivos (1)'!U73</f>
        <v>0</v>
      </c>
      <c r="AO170" s="27">
        <f>'Adubos e corretivos (1)'!V73</f>
        <v>0</v>
      </c>
    </row>
    <row r="171" spans="11:44" ht="19.5" customHeight="1" x14ac:dyDescent="0.25">
      <c r="K171" s="188"/>
      <c r="L171" s="188"/>
      <c r="U171" s="262"/>
      <c r="V171" s="27" t="str">
        <f>'Adubos e corretivos (1)'!C74</f>
        <v>Boráx</v>
      </c>
      <c r="W171" s="27">
        <f>'Adubos e corretivos (1)'!D74</f>
        <v>3.84</v>
      </c>
      <c r="X171" s="27">
        <f>'Adubos e corretivos (1)'!E74</f>
        <v>0</v>
      </c>
      <c r="Y171" s="27">
        <f>'Adubos e corretivos (1)'!F74</f>
        <v>0</v>
      </c>
      <c r="Z171" s="27">
        <f>'Adubos e corretivos (1)'!G74</f>
        <v>0</v>
      </c>
      <c r="AA171" s="27">
        <f>'Adubos e corretivos (1)'!H74</f>
        <v>0</v>
      </c>
      <c r="AB171" s="27">
        <f>'Adubos e corretivos (1)'!I74</f>
        <v>0</v>
      </c>
      <c r="AC171" s="27">
        <f>'Adubos e corretivos (1)'!J74</f>
        <v>0</v>
      </c>
      <c r="AD171" s="27">
        <f>'Adubos e corretivos (1)'!K74</f>
        <v>0</v>
      </c>
      <c r="AE171" s="27">
        <f>'Adubos e corretivos (1)'!L74</f>
        <v>0</v>
      </c>
      <c r="AF171" s="27">
        <f>'Adubos e corretivos (1)'!M74</f>
        <v>10.5</v>
      </c>
      <c r="AG171" s="27">
        <f>'Adubos e corretivos (1)'!N74</f>
        <v>0</v>
      </c>
      <c r="AH171" s="27">
        <f>'Adubos e corretivos (1)'!O74</f>
        <v>0</v>
      </c>
      <c r="AI171" s="27">
        <f>'Adubos e corretivos (1)'!P74</f>
        <v>0</v>
      </c>
      <c r="AJ171" s="27">
        <f>'Adubos e corretivos (1)'!Q74</f>
        <v>0</v>
      </c>
      <c r="AK171" s="27">
        <f>'Adubos e corretivos (1)'!R74</f>
        <v>0</v>
      </c>
      <c r="AL171" s="27">
        <f>'Adubos e corretivos (1)'!S74</f>
        <v>0</v>
      </c>
      <c r="AM171" s="27">
        <f>'Adubos e corretivos (1)'!T74</f>
        <v>0</v>
      </c>
      <c r="AN171" s="27">
        <f>'Adubos e corretivos (1)'!U74</f>
        <v>0</v>
      </c>
      <c r="AO171" s="27">
        <f>'Adubos e corretivos (1)'!V74</f>
        <v>0</v>
      </c>
    </row>
    <row r="172" spans="11:44" ht="19.5" customHeight="1" x14ac:dyDescent="0.25">
      <c r="K172" s="188"/>
      <c r="L172" s="188"/>
      <c r="U172" s="262"/>
      <c r="V172" s="27" t="str">
        <f>'Adubos e corretivos (1)'!C75</f>
        <v>Brexil Top</v>
      </c>
      <c r="W172" s="27">
        <f>'Adubos e corretivos (1)'!D75</f>
        <v>40</v>
      </c>
      <c r="X172" s="27">
        <f>'Adubos e corretivos (1)'!E75</f>
        <v>0</v>
      </c>
      <c r="Y172" s="27">
        <f>'Adubos e corretivos (1)'!F75</f>
        <v>0</v>
      </c>
      <c r="Z172" s="27">
        <f>'Adubos e corretivos (1)'!G75</f>
        <v>0</v>
      </c>
      <c r="AA172" s="27">
        <f>'Adubos e corretivos (1)'!H75</f>
        <v>0</v>
      </c>
      <c r="AB172" s="27">
        <f>'Adubos e corretivos (1)'!I75</f>
        <v>0</v>
      </c>
      <c r="AC172" s="27">
        <f>'Adubos e corretivos (1)'!J75</f>
        <v>0</v>
      </c>
      <c r="AD172" s="27">
        <f>'Adubos e corretivos (1)'!K75</f>
        <v>1.5</v>
      </c>
      <c r="AE172" s="27">
        <f>'Adubos e corretivos (1)'!L75</f>
        <v>10</v>
      </c>
      <c r="AF172" s="27">
        <f>'Adubos e corretivos (1)'!M75</f>
        <v>2</v>
      </c>
      <c r="AG172" s="27">
        <f>'Adubos e corretivos (1)'!N75</f>
        <v>5</v>
      </c>
      <c r="AH172" s="27">
        <f>'Adubos e corretivos (1)'!O75</f>
        <v>6</v>
      </c>
      <c r="AI172" s="27">
        <f>'Adubos e corretivos (1)'!P75</f>
        <v>0</v>
      </c>
      <c r="AJ172" s="27">
        <f>'Adubos e corretivos (1)'!Q75</f>
        <v>0.5</v>
      </c>
      <c r="AK172" s="27">
        <f>'Adubos e corretivos (1)'!R75</f>
        <v>0</v>
      </c>
      <c r="AL172" s="27">
        <f>'Adubos e corretivos (1)'!S75</f>
        <v>0</v>
      </c>
      <c r="AM172" s="27">
        <f>'Adubos e corretivos (1)'!T75</f>
        <v>0</v>
      </c>
      <c r="AN172" s="27">
        <f>'Adubos e corretivos (1)'!U75</f>
        <v>0</v>
      </c>
      <c r="AO172" s="27">
        <f>'Adubos e corretivos (1)'!V75</f>
        <v>0</v>
      </c>
    </row>
    <row r="173" spans="11:44" ht="19.5" customHeight="1" x14ac:dyDescent="0.25">
      <c r="K173" s="188"/>
      <c r="L173" s="188"/>
      <c r="U173" s="262"/>
      <c r="V173" s="27" t="str">
        <f>'Adubos e corretivos (1)'!C76</f>
        <v>Molibdato de sódio</v>
      </c>
      <c r="W173" s="27">
        <f>'Adubos e corretivos (1)'!D76</f>
        <v>154</v>
      </c>
      <c r="X173" s="27">
        <f>'Adubos e corretivos (1)'!E76</f>
        <v>0</v>
      </c>
      <c r="Y173" s="27">
        <f>'Adubos e corretivos (1)'!F76</f>
        <v>0</v>
      </c>
      <c r="Z173" s="27">
        <f>'Adubos e corretivos (1)'!G76</f>
        <v>0</v>
      </c>
      <c r="AA173" s="27">
        <f>'Adubos e corretivos (1)'!H76</f>
        <v>0</v>
      </c>
      <c r="AB173" s="27">
        <f>'Adubos e corretivos (1)'!I76</f>
        <v>0</v>
      </c>
      <c r="AC173" s="27">
        <f>'Adubos e corretivos (1)'!J76</f>
        <v>0</v>
      </c>
      <c r="AD173" s="27">
        <f>'Adubos e corretivos (1)'!K76</f>
        <v>0</v>
      </c>
      <c r="AE173" s="27">
        <f>'Adubos e corretivos (1)'!L76</f>
        <v>0</v>
      </c>
      <c r="AF173" s="27">
        <f>'Adubos e corretivos (1)'!M76</f>
        <v>0</v>
      </c>
      <c r="AG173" s="27">
        <f>'Adubos e corretivos (1)'!N76</f>
        <v>0</v>
      </c>
      <c r="AH173" s="27">
        <f>'Adubos e corretivos (1)'!O76</f>
        <v>0</v>
      </c>
      <c r="AI173" s="27">
        <f>'Adubos e corretivos (1)'!P76</f>
        <v>0</v>
      </c>
      <c r="AJ173" s="27">
        <f>'Adubos e corretivos (1)'!Q76</f>
        <v>39</v>
      </c>
      <c r="AK173" s="27">
        <f>'Adubos e corretivos (1)'!R76</f>
        <v>0</v>
      </c>
      <c r="AL173" s="27">
        <f>'Adubos e corretivos (1)'!S76</f>
        <v>0</v>
      </c>
      <c r="AM173" s="27">
        <f>'Adubos e corretivos (1)'!T76</f>
        <v>0</v>
      </c>
      <c r="AN173" s="27">
        <f>'Adubos e corretivos (1)'!U76</f>
        <v>0</v>
      </c>
      <c r="AO173" s="27">
        <f>'Adubos e corretivos (1)'!V76</f>
        <v>0</v>
      </c>
    </row>
    <row r="174" spans="11:44" ht="19.5" customHeight="1" x14ac:dyDescent="0.25">
      <c r="K174" s="188"/>
      <c r="L174" s="188"/>
      <c r="U174" s="262"/>
      <c r="V174" s="27" t="str">
        <f>'Adubos e corretivos (1)'!C77</f>
        <v>Sulfato de cobre</v>
      </c>
      <c r="W174" s="27">
        <f>'Adubos e corretivos (1)'!D77</f>
        <v>11.04</v>
      </c>
      <c r="X174" s="27">
        <f>'Adubos e corretivos (1)'!E77</f>
        <v>0</v>
      </c>
      <c r="Y174" s="27">
        <f>'Adubos e corretivos (1)'!F77</f>
        <v>0</v>
      </c>
      <c r="Z174" s="27">
        <f>'Adubos e corretivos (1)'!G77</f>
        <v>0</v>
      </c>
      <c r="AA174" s="27">
        <f>'Adubos e corretivos (1)'!H77</f>
        <v>0</v>
      </c>
      <c r="AB174" s="27">
        <f>'Adubos e corretivos (1)'!I77</f>
        <v>0</v>
      </c>
      <c r="AC174" s="27">
        <f>'Adubos e corretivos (1)'!J77</f>
        <v>0</v>
      </c>
      <c r="AD174" s="27">
        <f>'Adubos e corretivos (1)'!K77</f>
        <v>0</v>
      </c>
      <c r="AE174" s="27">
        <f>'Adubos e corretivos (1)'!L77</f>
        <v>12</v>
      </c>
      <c r="AF174" s="27">
        <f>'Adubos e corretivos (1)'!M77</f>
        <v>0</v>
      </c>
      <c r="AG174" s="27">
        <f>'Adubos e corretivos (1)'!N77</f>
        <v>0</v>
      </c>
      <c r="AH174" s="27">
        <f>'Adubos e corretivos (1)'!O77</f>
        <v>0</v>
      </c>
      <c r="AI174" s="27">
        <f>'Adubos e corretivos (1)'!P77</f>
        <v>25</v>
      </c>
      <c r="AJ174" s="27">
        <f>'Adubos e corretivos (1)'!Q77</f>
        <v>0</v>
      </c>
      <c r="AK174" s="27">
        <f>'Adubos e corretivos (1)'!R77</f>
        <v>0</v>
      </c>
      <c r="AL174" s="27">
        <f>'Adubos e corretivos (1)'!S77</f>
        <v>0</v>
      </c>
      <c r="AM174" s="27">
        <f>'Adubos e corretivos (1)'!T77</f>
        <v>0</v>
      </c>
      <c r="AN174" s="27">
        <f>'Adubos e corretivos (1)'!U77</f>
        <v>0</v>
      </c>
      <c r="AO174" s="27">
        <f>'Adubos e corretivos (1)'!V77</f>
        <v>0</v>
      </c>
    </row>
    <row r="175" spans="11:44" ht="19.5" customHeight="1" x14ac:dyDescent="0.25">
      <c r="K175" s="188"/>
      <c r="L175" s="188"/>
      <c r="U175" s="262"/>
      <c r="V175" s="27" t="str">
        <f>'Adubos e corretivos (1)'!C78</f>
        <v>Sulfato de manganês</v>
      </c>
      <c r="W175" s="27">
        <f>'Adubos e corretivos (1)'!D78</f>
        <v>6.72</v>
      </c>
      <c r="X175" s="27">
        <f>'Adubos e corretivos (1)'!E78</f>
        <v>0</v>
      </c>
      <c r="Y175" s="27">
        <f>'Adubos e corretivos (1)'!F78</f>
        <v>0</v>
      </c>
      <c r="Z175" s="27">
        <f>'Adubos e corretivos (1)'!G78</f>
        <v>0</v>
      </c>
      <c r="AA175" s="27">
        <f>'Adubos e corretivos (1)'!H78</f>
        <v>0</v>
      </c>
      <c r="AB175" s="27">
        <f>'Adubos e corretivos (1)'!I78</f>
        <v>0</v>
      </c>
      <c r="AC175" s="27">
        <f>'Adubos e corretivos (1)'!J78</f>
        <v>0</v>
      </c>
      <c r="AD175" s="27">
        <f>'Adubos e corretivos (1)'!K78</f>
        <v>0</v>
      </c>
      <c r="AE175" s="27">
        <f>'Adubos e corretivos (1)'!L78</f>
        <v>21</v>
      </c>
      <c r="AF175" s="27">
        <f>'Adubos e corretivos (1)'!M78</f>
        <v>0</v>
      </c>
      <c r="AG175" s="27">
        <f>'Adubos e corretivos (1)'!N78</f>
        <v>26</v>
      </c>
      <c r="AH175" s="27">
        <f>'Adubos e corretivos (1)'!O78</f>
        <v>0</v>
      </c>
      <c r="AI175" s="27">
        <f>'Adubos e corretivos (1)'!P78</f>
        <v>0</v>
      </c>
      <c r="AJ175" s="27">
        <f>'Adubos e corretivos (1)'!Q78</f>
        <v>0</v>
      </c>
      <c r="AK175" s="27">
        <f>'Adubos e corretivos (1)'!R78</f>
        <v>0</v>
      </c>
      <c r="AL175" s="27">
        <f>'Adubos e corretivos (1)'!S78</f>
        <v>0</v>
      </c>
      <c r="AM175" s="27">
        <f>'Adubos e corretivos (1)'!T78</f>
        <v>0</v>
      </c>
      <c r="AN175" s="27">
        <f>'Adubos e corretivos (1)'!U78</f>
        <v>0</v>
      </c>
      <c r="AO175" s="27">
        <f>'Adubos e corretivos (1)'!V78</f>
        <v>0</v>
      </c>
    </row>
    <row r="176" spans="11:44" ht="19.5" customHeight="1" x14ac:dyDescent="0.25">
      <c r="K176" s="188"/>
      <c r="L176" s="188"/>
      <c r="U176" s="262"/>
      <c r="V176" s="27" t="str">
        <f>'Adubos e corretivos (1)'!C79</f>
        <v>Sulfato de zinco</v>
      </c>
      <c r="W176" s="27">
        <f>'Adubos e corretivos (1)'!D79</f>
        <v>6.16</v>
      </c>
      <c r="X176" s="27">
        <f>'Adubos e corretivos (1)'!E79</f>
        <v>0</v>
      </c>
      <c r="Y176" s="27">
        <f>'Adubos e corretivos (1)'!F79</f>
        <v>0</v>
      </c>
      <c r="Z176" s="27">
        <f>'Adubos e corretivos (1)'!G79</f>
        <v>0</v>
      </c>
      <c r="AA176" s="27">
        <f>'Adubos e corretivos (1)'!H79</f>
        <v>0</v>
      </c>
      <c r="AB176" s="27">
        <f>'Adubos e corretivos (1)'!I79</f>
        <v>0</v>
      </c>
      <c r="AC176" s="27">
        <f>'Adubos e corretivos (1)'!J79</f>
        <v>0</v>
      </c>
      <c r="AD176" s="27">
        <f>'Adubos e corretivos (1)'!K79</f>
        <v>0</v>
      </c>
      <c r="AE176" s="27">
        <f>'Adubos e corretivos (1)'!L79</f>
        <v>17</v>
      </c>
      <c r="AF176" s="27">
        <f>'Adubos e corretivos (1)'!M79</f>
        <v>0</v>
      </c>
      <c r="AG176" s="27">
        <f>'Adubos e corretivos (1)'!N79</f>
        <v>0</v>
      </c>
      <c r="AH176" s="27">
        <f>'Adubos e corretivos (1)'!O79</f>
        <v>35</v>
      </c>
      <c r="AI176" s="27">
        <f>'Adubos e corretivos (1)'!P79</f>
        <v>0</v>
      </c>
      <c r="AJ176" s="27">
        <f>'Adubos e corretivos (1)'!Q79</f>
        <v>0</v>
      </c>
      <c r="AK176" s="27">
        <f>'Adubos e corretivos (1)'!R79</f>
        <v>0</v>
      </c>
      <c r="AL176" s="27">
        <f>'Adubos e corretivos (1)'!S79</f>
        <v>0</v>
      </c>
      <c r="AM176" s="27">
        <f>'Adubos e corretivos (1)'!T79</f>
        <v>0</v>
      </c>
      <c r="AN176" s="27">
        <f>'Adubos e corretivos (1)'!U79</f>
        <v>0</v>
      </c>
      <c r="AO176" s="27">
        <f>'Adubos e corretivos (1)'!V79</f>
        <v>0</v>
      </c>
    </row>
    <row r="177" spans="11:46" ht="19.5" customHeight="1" x14ac:dyDescent="0.25">
      <c r="K177" s="188"/>
      <c r="L177" s="188"/>
      <c r="U177" s="262"/>
      <c r="V177" s="27" t="str">
        <f>'Adubos e corretivos (1)'!C80</f>
        <v>Ferrelene</v>
      </c>
      <c r="W177" s="27">
        <f>'Adubos e corretivos (1)'!D80</f>
        <v>78</v>
      </c>
      <c r="X177" s="27">
        <f>'Adubos e corretivos (1)'!E80</f>
        <v>0</v>
      </c>
      <c r="Y177" s="27">
        <f>'Adubos e corretivos (1)'!F80</f>
        <v>0</v>
      </c>
      <c r="Z177" s="27">
        <f>'Adubos e corretivos (1)'!G80</f>
        <v>0</v>
      </c>
      <c r="AA177" s="27">
        <f>'Adubos e corretivos (1)'!H80</f>
        <v>0</v>
      </c>
      <c r="AB177" s="27">
        <f>'Adubos e corretivos (1)'!I80</f>
        <v>0</v>
      </c>
      <c r="AC177" s="27">
        <f>'Adubos e corretivos (1)'!J80</f>
        <v>0</v>
      </c>
      <c r="AD177" s="27">
        <f>'Adubos e corretivos (1)'!K80</f>
        <v>0</v>
      </c>
      <c r="AE177" s="27">
        <f>'Adubos e corretivos (1)'!L80</f>
        <v>0</v>
      </c>
      <c r="AF177" s="27">
        <f>'Adubos e corretivos (1)'!M80</f>
        <v>0</v>
      </c>
      <c r="AG177" s="27">
        <f>'Adubos e corretivos (1)'!N80</f>
        <v>0</v>
      </c>
      <c r="AH177" s="27">
        <f>'Adubos e corretivos (1)'!O80</f>
        <v>0</v>
      </c>
      <c r="AI177" s="27">
        <f>'Adubos e corretivos (1)'!P80</f>
        <v>0</v>
      </c>
      <c r="AJ177" s="27">
        <f>'Adubos e corretivos (1)'!Q80</f>
        <v>0</v>
      </c>
      <c r="AK177" s="27">
        <f>'Adubos e corretivos (1)'!R80</f>
        <v>6</v>
      </c>
      <c r="AL177" s="27">
        <f>'Adubos e corretivos (1)'!S80</f>
        <v>0</v>
      </c>
      <c r="AM177" s="27">
        <f>'Adubos e corretivos (1)'!T80</f>
        <v>0</v>
      </c>
      <c r="AN177" s="27">
        <f>'Adubos e corretivos (1)'!U80</f>
        <v>0</v>
      </c>
      <c r="AO177" s="27">
        <f>'Adubos e corretivos (1)'!V80</f>
        <v>0</v>
      </c>
    </row>
    <row r="178" spans="11:46" ht="19.5" customHeight="1" x14ac:dyDescent="0.25">
      <c r="K178" s="188"/>
      <c r="L178" s="188"/>
      <c r="U178" s="262"/>
      <c r="V178" s="27" t="str">
        <f>'Adubos e corretivos (1)'!C81</f>
        <v>FTE BR 12</v>
      </c>
      <c r="W178" s="27">
        <f>'Adubos e corretivos (1)'!D81</f>
        <v>0</v>
      </c>
      <c r="X178" s="27">
        <f>'Adubos e corretivos (1)'!E81</f>
        <v>0</v>
      </c>
      <c r="Y178" s="27">
        <f>'Adubos e corretivos (1)'!F81</f>
        <v>0</v>
      </c>
      <c r="Z178" s="27">
        <f>'Adubos e corretivos (1)'!G81</f>
        <v>0</v>
      </c>
      <c r="AA178" s="27">
        <f>'Adubos e corretivos (1)'!H81</f>
        <v>0</v>
      </c>
      <c r="AB178" s="27">
        <f>'Adubos e corretivos (1)'!I81</f>
        <v>0</v>
      </c>
      <c r="AC178" s="27">
        <f>'Adubos e corretivos (1)'!J81</f>
        <v>0</v>
      </c>
      <c r="AD178" s="27">
        <f>'Adubos e corretivos (1)'!K81</f>
        <v>0</v>
      </c>
      <c r="AE178" s="27">
        <f>'Adubos e corretivos (1)'!L81</f>
        <v>3.9</v>
      </c>
      <c r="AF178" s="27">
        <f>'Adubos e corretivos (1)'!M81</f>
        <v>1.8</v>
      </c>
      <c r="AG178" s="27">
        <f>'Adubos e corretivos (1)'!N81</f>
        <v>2</v>
      </c>
      <c r="AH178" s="27">
        <f>'Adubos e corretivos (1)'!O81</f>
        <v>9</v>
      </c>
      <c r="AI178" s="27">
        <f>'Adubos e corretivos (1)'!P81</f>
        <v>0.85</v>
      </c>
      <c r="AJ178" s="27">
        <f>'Adubos e corretivos (1)'!Q81</f>
        <v>0</v>
      </c>
      <c r="AK178" s="27">
        <f>'Adubos e corretivos (1)'!R81</f>
        <v>0</v>
      </c>
      <c r="AL178" s="27">
        <f>'Adubos e corretivos (1)'!S81</f>
        <v>0</v>
      </c>
      <c r="AM178" s="27">
        <f>'Adubos e corretivos (1)'!T81</f>
        <v>0</v>
      </c>
      <c r="AN178" s="27">
        <f>'Adubos e corretivos (1)'!U81</f>
        <v>0</v>
      </c>
      <c r="AO178" s="27">
        <f>'Adubos e corretivos (1)'!V81</f>
        <v>0</v>
      </c>
    </row>
    <row r="179" spans="11:46" ht="19.5" customHeight="1" x14ac:dyDescent="0.25">
      <c r="K179" s="188"/>
      <c r="L179" s="188"/>
      <c r="U179" s="262"/>
      <c r="V179" s="27" t="str">
        <f>'Adubos e corretivos (1)'!C82</f>
        <v>Gran 12</v>
      </c>
      <c r="W179" s="27">
        <f>'Adubos e corretivos (1)'!D82</f>
        <v>2.72</v>
      </c>
      <c r="X179" s="27">
        <f>'Adubos e corretivos (1)'!E82</f>
        <v>0</v>
      </c>
      <c r="Y179" s="27">
        <f>'Adubos e corretivos (1)'!F82</f>
        <v>0</v>
      </c>
      <c r="Z179" s="27">
        <f>'Adubos e corretivos (1)'!G82</f>
        <v>0</v>
      </c>
      <c r="AA179" s="27">
        <f>'Adubos e corretivos (1)'!H82</f>
        <v>0</v>
      </c>
      <c r="AB179" s="27">
        <f>'Adubos e corretivos (1)'!I82</f>
        <v>0</v>
      </c>
      <c r="AC179" s="27">
        <f>'Adubos e corretivos (1)'!J82</f>
        <v>1.5</v>
      </c>
      <c r="AD179" s="27">
        <f>'Adubos e corretivos (1)'!K82</f>
        <v>0</v>
      </c>
      <c r="AE179" s="27">
        <f>'Adubos e corretivos (1)'!L82</f>
        <v>3.2</v>
      </c>
      <c r="AF179" s="27">
        <f>'Adubos e corretivos (1)'!M82</f>
        <v>1.8</v>
      </c>
      <c r="AG179" s="27">
        <f>'Adubos e corretivos (1)'!N82</f>
        <v>2.1</v>
      </c>
      <c r="AH179" s="27">
        <f>'Adubos e corretivos (1)'!O82</f>
        <v>9</v>
      </c>
      <c r="AI179" s="27">
        <f>'Adubos e corretivos (1)'!P82</f>
        <v>0.85</v>
      </c>
      <c r="AJ179" s="27">
        <f>'Adubos e corretivos (1)'!Q82</f>
        <v>0.1</v>
      </c>
      <c r="AK179" s="27">
        <f>'Adubos e corretivos (1)'!R82</f>
        <v>0</v>
      </c>
      <c r="AL179" s="27">
        <f>'Adubos e corretivos (1)'!S82</f>
        <v>0</v>
      </c>
      <c r="AM179" s="27">
        <f>'Adubos e corretivos (1)'!T82</f>
        <v>0</v>
      </c>
      <c r="AN179" s="27">
        <f>'Adubos e corretivos (1)'!U82</f>
        <v>0</v>
      </c>
      <c r="AO179" s="27">
        <f>'Adubos e corretivos (1)'!V82</f>
        <v>0</v>
      </c>
    </row>
    <row r="186" spans="11:46" ht="19.5" customHeight="1" x14ac:dyDescent="0.25">
      <c r="U186" s="372" t="s">
        <v>124</v>
      </c>
      <c r="V186" s="372" t="s">
        <v>76</v>
      </c>
      <c r="W186" s="372" t="s">
        <v>77</v>
      </c>
      <c r="X186" s="372" t="s">
        <v>78</v>
      </c>
      <c r="Y186" s="372"/>
      <c r="Z186" s="372"/>
      <c r="AA186" s="301" t="s">
        <v>456</v>
      </c>
      <c r="AB186" s="301"/>
      <c r="AC186" s="301"/>
      <c r="AD186" s="301"/>
      <c r="AE186" s="301"/>
      <c r="AH186" s="131"/>
      <c r="AI186" s="131"/>
      <c r="AJ186" s="131"/>
      <c r="AK186" s="131"/>
      <c r="AL186" s="131"/>
      <c r="AM186" s="131"/>
      <c r="AN186" s="131"/>
      <c r="AO186" s="131"/>
      <c r="AP186" s="132"/>
      <c r="AQ186" s="132"/>
      <c r="AR186" s="132"/>
      <c r="AS186" s="132"/>
      <c r="AT186" s="132"/>
    </row>
    <row r="187" spans="11:46" ht="32.25" customHeight="1" x14ac:dyDescent="0.25">
      <c r="U187" s="372"/>
      <c r="V187" s="372"/>
      <c r="W187" s="372"/>
      <c r="X187" s="205" t="s">
        <v>33</v>
      </c>
      <c r="Y187" s="205" t="s">
        <v>66</v>
      </c>
      <c r="Z187" s="205" t="s">
        <v>67</v>
      </c>
      <c r="AA187" s="205" t="s">
        <v>451</v>
      </c>
      <c r="AB187" s="205" t="s">
        <v>452</v>
      </c>
      <c r="AC187" s="205" t="s">
        <v>33</v>
      </c>
      <c r="AD187" s="205" t="s">
        <v>66</v>
      </c>
      <c r="AE187" s="205" t="s">
        <v>199</v>
      </c>
      <c r="AH187" s="132"/>
      <c r="AI187" s="132"/>
      <c r="AJ187" s="132"/>
      <c r="AK187" s="132"/>
      <c r="AL187" s="132"/>
      <c r="AM187" s="132"/>
      <c r="AN187" s="132"/>
      <c r="AO187" s="132"/>
      <c r="AP187" s="188"/>
      <c r="AQ187" s="188"/>
      <c r="AR187" s="188"/>
      <c r="AS187" s="188"/>
      <c r="AT187" s="188"/>
    </row>
    <row r="188" spans="11:46" ht="19.5" customHeight="1" x14ac:dyDescent="0.25">
      <c r="U188" s="371" t="s">
        <v>453</v>
      </c>
      <c r="V188" s="135" t="str">
        <f>O117</f>
        <v>Esterco de galinha</v>
      </c>
      <c r="W188" s="128">
        <f>(VLOOKUP(V188,$V$100:$AB$179,2,0))</f>
        <v>0.25</v>
      </c>
      <c r="X188" s="128">
        <f>(VLOOKUP(V188,$V$100:$AB$179,3,0))</f>
        <v>3</v>
      </c>
      <c r="Y188" s="128">
        <f>(VLOOKUP(V188,$V$100:$AB$179,5,0))</f>
        <v>3</v>
      </c>
      <c r="Z188" s="128">
        <f>(VLOOKUP(V188,$V$100:$AB$179,7,0))</f>
        <v>2</v>
      </c>
      <c r="AA188" s="129">
        <v>0</v>
      </c>
      <c r="AB188" s="129">
        <f>AA188*W188</f>
        <v>0</v>
      </c>
      <c r="AC188" s="129">
        <f>AA188*X188%</f>
        <v>0</v>
      </c>
      <c r="AD188" s="129">
        <f>AA188*Y188%</f>
        <v>0</v>
      </c>
      <c r="AE188" s="129">
        <f>AA188*Z188%</f>
        <v>0</v>
      </c>
      <c r="AH188" s="133"/>
      <c r="AI188" s="133"/>
      <c r="AJ188" s="133"/>
      <c r="AK188" s="133"/>
      <c r="AL188" s="133"/>
      <c r="AM188" s="133"/>
      <c r="AN188" s="133"/>
      <c r="AO188" s="133"/>
      <c r="AP188" s="188"/>
      <c r="AQ188" s="188"/>
      <c r="AR188" s="188"/>
      <c r="AS188" s="188"/>
      <c r="AT188" s="188"/>
    </row>
    <row r="189" spans="11:46" ht="19.5" customHeight="1" x14ac:dyDescent="0.25">
      <c r="U189" s="371"/>
      <c r="V189" s="135" t="str">
        <f t="shared" ref="V189:V214" si="18">O118</f>
        <v>Esterco de gado</v>
      </c>
      <c r="W189" s="128">
        <f t="shared" ref="W189:W214" si="19">(VLOOKUP(V189,$V$100:$AB$179,2,0))</f>
        <v>0.25</v>
      </c>
      <c r="X189" s="128">
        <f t="shared" ref="X189:X214" si="20">(VLOOKUP(V189,$V$100:$AB$179,3,0))</f>
        <v>1</v>
      </c>
      <c r="Y189" s="128">
        <f t="shared" ref="Y189:Y214" si="21">(VLOOKUP(V189,$V$100:$AB$179,5,0))</f>
        <v>1</v>
      </c>
      <c r="Z189" s="128">
        <f t="shared" ref="Z189:Z214" si="22">(VLOOKUP(V189,$V$100:$AB$179,7,0))</f>
        <v>0.7</v>
      </c>
      <c r="AA189" s="129">
        <v>0</v>
      </c>
      <c r="AB189" s="129">
        <f t="shared" ref="AB189:AB214" si="23">AA189*W189</f>
        <v>0</v>
      </c>
      <c r="AC189" s="129">
        <f t="shared" ref="AC189:AC214" si="24">AA189*X189%</f>
        <v>0</v>
      </c>
      <c r="AD189" s="129">
        <f t="shared" ref="AD189:AD214" si="25">AA189*Y189%</f>
        <v>0</v>
      </c>
      <c r="AE189" s="129">
        <f t="shared" ref="AE189:AE214" si="26">AA189*Z189%</f>
        <v>0</v>
      </c>
      <c r="AH189" s="133"/>
      <c r="AI189" s="133"/>
      <c r="AJ189" s="133"/>
      <c r="AK189" s="133"/>
      <c r="AL189" s="133"/>
      <c r="AM189" s="133"/>
      <c r="AN189" s="133"/>
      <c r="AO189" s="133"/>
      <c r="AP189" s="188"/>
      <c r="AQ189" s="188"/>
      <c r="AR189" s="188"/>
      <c r="AS189" s="188"/>
      <c r="AT189" s="188"/>
    </row>
    <row r="190" spans="11:46" ht="19.5" customHeight="1" x14ac:dyDescent="0.25">
      <c r="U190" s="371"/>
      <c r="V190" s="135" t="str">
        <f t="shared" si="18"/>
        <v>Minhofertil (61 3361-6634)</v>
      </c>
      <c r="W190" s="128">
        <f t="shared" si="19"/>
        <v>0</v>
      </c>
      <c r="X190" s="128">
        <f t="shared" si="20"/>
        <v>1</v>
      </c>
      <c r="Y190" s="128">
        <f t="shared" si="21"/>
        <v>0</v>
      </c>
      <c r="Z190" s="128">
        <f t="shared" si="22"/>
        <v>0</v>
      </c>
      <c r="AA190" s="129">
        <v>5.6843418860808015E-14</v>
      </c>
      <c r="AB190" s="129">
        <f t="shared" si="23"/>
        <v>0</v>
      </c>
      <c r="AC190" s="129">
        <f t="shared" si="24"/>
        <v>5.6843418860808016E-16</v>
      </c>
      <c r="AD190" s="129">
        <f t="shared" si="25"/>
        <v>0</v>
      </c>
      <c r="AE190" s="129">
        <f t="shared" si="26"/>
        <v>0</v>
      </c>
      <c r="AH190" s="133"/>
      <c r="AI190" s="133"/>
      <c r="AJ190" s="133"/>
      <c r="AK190" s="133"/>
      <c r="AL190" s="133"/>
      <c r="AM190" s="133"/>
      <c r="AN190" s="133"/>
      <c r="AO190" s="133"/>
      <c r="AP190" s="188"/>
      <c r="AQ190" s="188"/>
      <c r="AR190" s="188"/>
      <c r="AS190" s="188"/>
      <c r="AT190" s="188"/>
    </row>
    <row r="191" spans="11:46" ht="19.5" customHeight="1" x14ac:dyDescent="0.25">
      <c r="U191" s="371"/>
      <c r="V191" s="135" t="str">
        <f t="shared" si="18"/>
        <v>Composto ORGANICS (062 3247-3100)</v>
      </c>
      <c r="W191" s="128">
        <f t="shared" si="19"/>
        <v>0</v>
      </c>
      <c r="X191" s="128">
        <f t="shared" si="20"/>
        <v>3</v>
      </c>
      <c r="Y191" s="128">
        <f t="shared" si="21"/>
        <v>6</v>
      </c>
      <c r="Z191" s="128">
        <f t="shared" si="22"/>
        <v>4</v>
      </c>
      <c r="AA191" s="129">
        <v>3.6785727068673189</v>
      </c>
      <c r="AB191" s="129">
        <f t="shared" si="23"/>
        <v>0</v>
      </c>
      <c r="AC191" s="129">
        <f t="shared" si="24"/>
        <v>0.11035718120601956</v>
      </c>
      <c r="AD191" s="129">
        <f t="shared" si="25"/>
        <v>0.22071436241203912</v>
      </c>
      <c r="AE191" s="129">
        <f t="shared" si="26"/>
        <v>0.14714290827469276</v>
      </c>
      <c r="AH191" s="133"/>
      <c r="AI191" s="133"/>
      <c r="AJ191" s="133"/>
      <c r="AK191" s="133"/>
      <c r="AL191" s="133"/>
      <c r="AM191" s="133"/>
      <c r="AN191" s="133"/>
      <c r="AO191" s="133"/>
      <c r="AP191" s="188"/>
      <c r="AQ191" s="188"/>
      <c r="AR191" s="188"/>
      <c r="AS191" s="188"/>
      <c r="AT191" s="188"/>
    </row>
    <row r="192" spans="11:46" ht="19.5" customHeight="1" x14ac:dyDescent="0.25">
      <c r="U192" s="371"/>
      <c r="V192" s="135" t="str">
        <f t="shared" si="18"/>
        <v>Composto Bioforte BONASA (061 9 9967-0863)</v>
      </c>
      <c r="W192" s="128">
        <f t="shared" si="19"/>
        <v>0</v>
      </c>
      <c r="X192" s="128">
        <f t="shared" si="20"/>
        <v>1.7</v>
      </c>
      <c r="Y192" s="128">
        <f t="shared" si="21"/>
        <v>1.8</v>
      </c>
      <c r="Z192" s="128">
        <f t="shared" si="22"/>
        <v>1.1000000000000001</v>
      </c>
      <c r="AA192" s="129">
        <v>0</v>
      </c>
      <c r="AB192" s="129">
        <f t="shared" si="23"/>
        <v>0</v>
      </c>
      <c r="AC192" s="129">
        <f t="shared" si="24"/>
        <v>0</v>
      </c>
      <c r="AD192" s="129">
        <f t="shared" si="25"/>
        <v>0</v>
      </c>
      <c r="AE192" s="129">
        <f t="shared" si="26"/>
        <v>0</v>
      </c>
      <c r="AH192" s="133"/>
      <c r="AI192" s="133"/>
      <c r="AJ192" s="133"/>
      <c r="AK192" s="133"/>
      <c r="AL192" s="133"/>
      <c r="AM192" s="133"/>
      <c r="AN192" s="133"/>
      <c r="AO192" s="133"/>
      <c r="AP192" s="188"/>
      <c r="AQ192" s="188"/>
      <c r="AR192" s="188"/>
      <c r="AS192" s="188"/>
      <c r="AT192" s="188"/>
    </row>
    <row r="193" spans="21:46" ht="19.5" customHeight="1" x14ac:dyDescent="0.25">
      <c r="U193" s="371"/>
      <c r="V193" s="135" t="str">
        <f t="shared" si="18"/>
        <v>Composto Bioensima BONASA (061 9 9967-0863)</v>
      </c>
      <c r="W193" s="128">
        <f t="shared" si="19"/>
        <v>0</v>
      </c>
      <c r="X193" s="128">
        <f t="shared" si="20"/>
        <v>2.57</v>
      </c>
      <c r="Y193" s="128">
        <f t="shared" si="21"/>
        <v>1.3</v>
      </c>
      <c r="Z193" s="128">
        <f t="shared" si="22"/>
        <v>1.5</v>
      </c>
      <c r="AA193" s="129">
        <v>35416.666628886451</v>
      </c>
      <c r="AB193" s="129">
        <f t="shared" si="23"/>
        <v>0</v>
      </c>
      <c r="AC193" s="129">
        <f t="shared" si="24"/>
        <v>910.20833236238173</v>
      </c>
      <c r="AD193" s="129">
        <f t="shared" si="25"/>
        <v>460.41666617552391</v>
      </c>
      <c r="AE193" s="129">
        <f t="shared" si="26"/>
        <v>531.24999943329669</v>
      </c>
      <c r="AH193" s="133"/>
      <c r="AI193" s="133"/>
      <c r="AJ193" s="133"/>
      <c r="AK193" s="133"/>
      <c r="AL193" s="133"/>
      <c r="AM193" s="133"/>
      <c r="AN193" s="133"/>
      <c r="AO193" s="133"/>
      <c r="AP193" s="188"/>
      <c r="AQ193" s="188"/>
      <c r="AR193" s="188"/>
      <c r="AS193" s="188"/>
      <c r="AT193" s="188"/>
    </row>
    <row r="194" spans="21:46" ht="19.5" customHeight="1" x14ac:dyDescent="0.25">
      <c r="U194" s="371"/>
      <c r="V194" s="135" t="str">
        <f t="shared" si="18"/>
        <v>Bokashi Carlos (061 9 9681-3730)</v>
      </c>
      <c r="W194" s="128">
        <f t="shared" si="19"/>
        <v>0</v>
      </c>
      <c r="X194" s="128">
        <f t="shared" si="20"/>
        <v>3</v>
      </c>
      <c r="Y194" s="128">
        <f t="shared" si="21"/>
        <v>6</v>
      </c>
      <c r="Z194" s="128">
        <f t="shared" si="22"/>
        <v>4</v>
      </c>
      <c r="AA194" s="129">
        <v>4547.0477514809891</v>
      </c>
      <c r="AB194" s="129">
        <f t="shared" si="23"/>
        <v>0</v>
      </c>
      <c r="AC194" s="129">
        <f t="shared" si="24"/>
        <v>136.41143254442966</v>
      </c>
      <c r="AD194" s="129">
        <f t="shared" si="25"/>
        <v>272.82286508885932</v>
      </c>
      <c r="AE194" s="129">
        <f t="shared" si="26"/>
        <v>181.88191005923957</v>
      </c>
      <c r="AH194" s="133"/>
      <c r="AI194" s="133"/>
      <c r="AJ194" s="133"/>
      <c r="AK194" s="133"/>
      <c r="AL194" s="133"/>
      <c r="AM194" s="133"/>
      <c r="AN194" s="133"/>
      <c r="AO194" s="133"/>
      <c r="AP194" s="188"/>
      <c r="AQ194" s="188"/>
      <c r="AR194" s="188"/>
      <c r="AS194" s="188"/>
      <c r="AT194" s="188"/>
    </row>
    <row r="195" spans="21:46" ht="19.5" customHeight="1" x14ac:dyDescent="0.25">
      <c r="U195" s="371"/>
      <c r="V195" s="135" t="str">
        <f t="shared" si="18"/>
        <v>Bokashi Valdemar (9 9811-2414)</v>
      </c>
      <c r="W195" s="128">
        <f t="shared" si="19"/>
        <v>0</v>
      </c>
      <c r="X195" s="128">
        <f t="shared" si="20"/>
        <v>3</v>
      </c>
      <c r="Y195" s="128">
        <f t="shared" si="21"/>
        <v>6</v>
      </c>
      <c r="Z195" s="128">
        <f t="shared" si="22"/>
        <v>4</v>
      </c>
      <c r="AA195" s="129">
        <v>5108.9959152090014</v>
      </c>
      <c r="AB195" s="129">
        <f t="shared" si="23"/>
        <v>0</v>
      </c>
      <c r="AC195" s="129">
        <f t="shared" si="24"/>
        <v>153.26987745627002</v>
      </c>
      <c r="AD195" s="129">
        <f t="shared" si="25"/>
        <v>306.53975491254005</v>
      </c>
      <c r="AE195" s="129">
        <f t="shared" si="26"/>
        <v>204.35983660836007</v>
      </c>
      <c r="AH195" s="133"/>
      <c r="AI195" s="133"/>
      <c r="AJ195" s="133"/>
      <c r="AK195" s="133"/>
      <c r="AL195" s="133"/>
      <c r="AM195" s="133"/>
      <c r="AN195" s="133"/>
      <c r="AO195" s="133"/>
      <c r="AP195" s="188"/>
      <c r="AQ195" s="188"/>
      <c r="AR195" s="188"/>
      <c r="AS195" s="188"/>
      <c r="AT195" s="188"/>
    </row>
    <row r="196" spans="21:46" ht="19.5" customHeight="1" x14ac:dyDescent="0.25">
      <c r="U196" s="371"/>
      <c r="V196" s="135" t="str">
        <f t="shared" si="18"/>
        <v>Biobokashi Farelado FERTIBIO (61 9827-4439)</v>
      </c>
      <c r="W196" s="128">
        <f t="shared" si="19"/>
        <v>0</v>
      </c>
      <c r="X196" s="128">
        <f t="shared" si="20"/>
        <v>0</v>
      </c>
      <c r="Y196" s="128">
        <f t="shared" si="21"/>
        <v>0</v>
      </c>
      <c r="Z196" s="128">
        <f t="shared" si="22"/>
        <v>0</v>
      </c>
      <c r="AA196" s="129">
        <v>0</v>
      </c>
      <c r="AB196" s="129">
        <f t="shared" si="23"/>
        <v>0</v>
      </c>
      <c r="AC196" s="129">
        <f t="shared" si="24"/>
        <v>0</v>
      </c>
      <c r="AD196" s="129">
        <f t="shared" si="25"/>
        <v>0</v>
      </c>
      <c r="AE196" s="129">
        <f t="shared" si="26"/>
        <v>0</v>
      </c>
      <c r="AH196" s="133"/>
      <c r="AI196" s="133"/>
      <c r="AJ196" s="133"/>
      <c r="AK196" s="133"/>
      <c r="AL196" s="133"/>
      <c r="AM196" s="133"/>
      <c r="AN196" s="133"/>
      <c r="AO196" s="133"/>
      <c r="AP196" s="188"/>
      <c r="AQ196" s="188"/>
      <c r="AR196" s="188"/>
      <c r="AS196" s="188"/>
      <c r="AT196" s="188"/>
    </row>
    <row r="197" spans="21:46" ht="19.5" customHeight="1" x14ac:dyDescent="0.25">
      <c r="U197" s="371"/>
      <c r="V197" s="135" t="str">
        <f t="shared" si="18"/>
        <v>Torta de mamona Super thorg (061 9 9827-4439)</v>
      </c>
      <c r="W197" s="128">
        <f t="shared" si="19"/>
        <v>0</v>
      </c>
      <c r="X197" s="128">
        <f t="shared" si="20"/>
        <v>9.1</v>
      </c>
      <c r="Y197" s="128">
        <f t="shared" si="21"/>
        <v>0</v>
      </c>
      <c r="Z197" s="128">
        <f t="shared" si="22"/>
        <v>0</v>
      </c>
      <c r="AA197" s="129">
        <v>-7.1054273576010019E-15</v>
      </c>
      <c r="AB197" s="129">
        <f t="shared" si="23"/>
        <v>0</v>
      </c>
      <c r="AC197" s="129">
        <f t="shared" si="24"/>
        <v>-6.4659388954169115E-16</v>
      </c>
      <c r="AD197" s="129">
        <f t="shared" si="25"/>
        <v>0</v>
      </c>
      <c r="AE197" s="129">
        <f t="shared" si="26"/>
        <v>0</v>
      </c>
      <c r="AH197" s="133"/>
      <c r="AI197" s="133"/>
      <c r="AJ197" s="133"/>
      <c r="AK197" s="133"/>
      <c r="AL197" s="133"/>
      <c r="AM197" s="133"/>
      <c r="AN197" s="133"/>
      <c r="AO197" s="133"/>
      <c r="AP197" s="188"/>
      <c r="AQ197" s="188"/>
      <c r="AR197" s="188"/>
      <c r="AS197" s="188"/>
      <c r="AT197" s="188"/>
    </row>
    <row r="198" spans="21:46" ht="19.5" customHeight="1" x14ac:dyDescent="0.25">
      <c r="U198" s="371"/>
      <c r="V198" s="135" t="str">
        <f t="shared" si="18"/>
        <v>Torta de mamona Nutrisafra (062 3310-8133)</v>
      </c>
      <c r="W198" s="128">
        <f t="shared" si="19"/>
        <v>0</v>
      </c>
      <c r="X198" s="128">
        <f t="shared" si="20"/>
        <v>5</v>
      </c>
      <c r="Y198" s="128">
        <f t="shared" si="21"/>
        <v>0</v>
      </c>
      <c r="Z198" s="128">
        <f t="shared" si="22"/>
        <v>0</v>
      </c>
      <c r="AA198" s="129">
        <v>0</v>
      </c>
      <c r="AB198" s="129">
        <f t="shared" si="23"/>
        <v>0</v>
      </c>
      <c r="AC198" s="129">
        <f t="shared" si="24"/>
        <v>0</v>
      </c>
      <c r="AD198" s="129">
        <f t="shared" si="25"/>
        <v>0</v>
      </c>
      <c r="AE198" s="129">
        <f t="shared" si="26"/>
        <v>0</v>
      </c>
      <c r="AH198" s="133"/>
      <c r="AI198" s="133"/>
      <c r="AJ198" s="133"/>
      <c r="AK198" s="133"/>
      <c r="AL198" s="133"/>
      <c r="AM198" s="133"/>
      <c r="AN198" s="133"/>
      <c r="AO198" s="133"/>
      <c r="AP198" s="188"/>
      <c r="AQ198" s="188"/>
      <c r="AR198" s="188"/>
      <c r="AS198" s="188"/>
      <c r="AT198" s="188"/>
    </row>
    <row r="199" spans="21:46" ht="19.5" customHeight="1" x14ac:dyDescent="0.25">
      <c r="U199" s="371"/>
      <c r="V199" s="135" t="str">
        <f t="shared" si="18"/>
        <v>Torta de mamona Vitaplan (061 3234-8485)</v>
      </c>
      <c r="W199" s="128">
        <f t="shared" si="19"/>
        <v>0</v>
      </c>
      <c r="X199" s="128">
        <f t="shared" si="20"/>
        <v>8.5</v>
      </c>
      <c r="Y199" s="128">
        <f t="shared" si="21"/>
        <v>0</v>
      </c>
      <c r="Z199" s="128">
        <f t="shared" si="22"/>
        <v>0</v>
      </c>
      <c r="AA199" s="129">
        <v>1.1368683772161603E-13</v>
      </c>
      <c r="AB199" s="129">
        <f t="shared" si="23"/>
        <v>0</v>
      </c>
      <c r="AC199" s="129">
        <f t="shared" si="24"/>
        <v>9.6633812063373632E-15</v>
      </c>
      <c r="AD199" s="129">
        <f t="shared" si="25"/>
        <v>0</v>
      </c>
      <c r="AE199" s="129">
        <f t="shared" si="26"/>
        <v>0</v>
      </c>
      <c r="AH199" s="133"/>
      <c r="AI199" s="133"/>
      <c r="AJ199" s="133"/>
      <c r="AK199" s="133"/>
      <c r="AL199" s="133"/>
      <c r="AM199" s="133"/>
      <c r="AN199" s="133"/>
      <c r="AO199" s="133"/>
      <c r="AP199" s="188"/>
      <c r="AQ199" s="188"/>
      <c r="AR199" s="188"/>
      <c r="AS199" s="188"/>
      <c r="AT199" s="188"/>
    </row>
    <row r="200" spans="21:46" ht="19.5" customHeight="1" x14ac:dyDescent="0.25">
      <c r="U200" s="371"/>
      <c r="V200" s="135" t="str">
        <f t="shared" si="18"/>
        <v>Farinha de osso</v>
      </c>
      <c r="W200" s="128">
        <f t="shared" si="19"/>
        <v>0</v>
      </c>
      <c r="X200" s="128">
        <f t="shared" si="20"/>
        <v>0</v>
      </c>
      <c r="Y200" s="128">
        <f t="shared" si="21"/>
        <v>42</v>
      </c>
      <c r="Z200" s="128">
        <f t="shared" si="22"/>
        <v>0</v>
      </c>
      <c r="AA200" s="129">
        <v>0</v>
      </c>
      <c r="AB200" s="129">
        <f t="shared" si="23"/>
        <v>0</v>
      </c>
      <c r="AC200" s="129">
        <f t="shared" si="24"/>
        <v>0</v>
      </c>
      <c r="AD200" s="129">
        <f t="shared" si="25"/>
        <v>0</v>
      </c>
      <c r="AE200" s="129">
        <f t="shared" si="26"/>
        <v>0</v>
      </c>
      <c r="AH200" s="133"/>
      <c r="AI200" s="133"/>
      <c r="AJ200" s="133"/>
      <c r="AK200" s="133"/>
      <c r="AL200" s="133"/>
      <c r="AM200" s="133"/>
      <c r="AN200" s="133"/>
      <c r="AO200" s="133"/>
      <c r="AP200" s="188"/>
      <c r="AQ200" s="188"/>
      <c r="AR200" s="188"/>
      <c r="AS200" s="188"/>
      <c r="AT200" s="188"/>
    </row>
    <row r="201" spans="21:46" ht="19.5" customHeight="1" x14ac:dyDescent="0.2">
      <c r="U201" s="371"/>
      <c r="V201" s="135" t="str">
        <f t="shared" si="18"/>
        <v>Termofosfato YOORIN</v>
      </c>
      <c r="W201" s="128">
        <f t="shared" si="19"/>
        <v>2.3250000000000002</v>
      </c>
      <c r="X201" s="128">
        <f t="shared" si="20"/>
        <v>0</v>
      </c>
      <c r="Y201" s="128">
        <f t="shared" si="21"/>
        <v>17.5</v>
      </c>
      <c r="Z201" s="128">
        <f t="shared" si="22"/>
        <v>0</v>
      </c>
      <c r="AA201" s="129">
        <v>0</v>
      </c>
      <c r="AB201" s="129">
        <f t="shared" si="23"/>
        <v>0</v>
      </c>
      <c r="AC201" s="129">
        <f t="shared" si="24"/>
        <v>0</v>
      </c>
      <c r="AD201" s="129">
        <f t="shared" si="25"/>
        <v>0</v>
      </c>
      <c r="AE201" s="129">
        <f t="shared" si="26"/>
        <v>0</v>
      </c>
      <c r="AH201" s="134"/>
      <c r="AI201" s="134"/>
      <c r="AJ201" s="134"/>
      <c r="AK201" s="134"/>
      <c r="AL201" s="134"/>
      <c r="AM201" s="134"/>
      <c r="AN201" s="134"/>
      <c r="AO201" s="134"/>
      <c r="AP201" s="188"/>
      <c r="AQ201" s="188"/>
      <c r="AR201" s="188"/>
      <c r="AS201" s="188"/>
      <c r="AT201" s="188"/>
    </row>
    <row r="202" spans="21:46" ht="19.5" customHeight="1" x14ac:dyDescent="0.25">
      <c r="U202" s="371"/>
      <c r="V202" s="135" t="str">
        <f>O131</f>
        <v>Kmag</v>
      </c>
      <c r="W202" s="128">
        <f t="shared" si="19"/>
        <v>2.9</v>
      </c>
      <c r="X202" s="128">
        <f t="shared" si="20"/>
        <v>0</v>
      </c>
      <c r="Y202" s="128">
        <f t="shared" si="21"/>
        <v>0</v>
      </c>
      <c r="Z202" s="128">
        <f t="shared" si="22"/>
        <v>21</v>
      </c>
      <c r="AA202" s="129">
        <v>963.62433740756171</v>
      </c>
      <c r="AB202" s="129">
        <f t="shared" si="23"/>
        <v>2794.5105784819289</v>
      </c>
      <c r="AC202" s="129">
        <f t="shared" si="24"/>
        <v>0</v>
      </c>
      <c r="AD202" s="129">
        <f t="shared" si="25"/>
        <v>0</v>
      </c>
      <c r="AE202" s="129">
        <f t="shared" si="26"/>
        <v>202.36111085558795</v>
      </c>
    </row>
    <row r="203" spans="21:46" ht="19.5" customHeight="1" x14ac:dyDescent="0.25">
      <c r="U203" s="371"/>
      <c r="V203" s="135" t="str">
        <f t="shared" si="18"/>
        <v>Algas marinhas Algen</v>
      </c>
      <c r="W203" s="128">
        <f t="shared" si="19"/>
        <v>1.96</v>
      </c>
      <c r="X203" s="128">
        <f t="shared" si="20"/>
        <v>0</v>
      </c>
      <c r="Y203" s="128">
        <f t="shared" si="21"/>
        <v>0</v>
      </c>
      <c r="Z203" s="128">
        <f t="shared" si="22"/>
        <v>0</v>
      </c>
      <c r="AA203" s="129">
        <v>0</v>
      </c>
      <c r="AB203" s="129">
        <f t="shared" si="23"/>
        <v>0</v>
      </c>
      <c r="AC203" s="129">
        <f t="shared" si="24"/>
        <v>0</v>
      </c>
      <c r="AD203" s="129">
        <f t="shared" si="25"/>
        <v>0</v>
      </c>
      <c r="AE203" s="129">
        <f t="shared" si="26"/>
        <v>0</v>
      </c>
    </row>
    <row r="204" spans="21:46" ht="19.5" customHeight="1" x14ac:dyDescent="0.25">
      <c r="U204" s="371"/>
      <c r="V204" s="135" t="str">
        <f t="shared" si="18"/>
        <v>Torta de mamona Hortibraz</v>
      </c>
      <c r="W204" s="128">
        <f t="shared" si="19"/>
        <v>1.52</v>
      </c>
      <c r="X204" s="128">
        <f t="shared" si="20"/>
        <v>6</v>
      </c>
      <c r="Y204" s="128">
        <f t="shared" si="21"/>
        <v>0</v>
      </c>
      <c r="Z204" s="128">
        <f t="shared" si="22"/>
        <v>0</v>
      </c>
      <c r="AA204" s="129">
        <v>0</v>
      </c>
      <c r="AB204" s="129">
        <f t="shared" si="23"/>
        <v>0</v>
      </c>
      <c r="AC204" s="129">
        <f t="shared" si="24"/>
        <v>0</v>
      </c>
      <c r="AD204" s="129">
        <f t="shared" si="25"/>
        <v>0</v>
      </c>
      <c r="AE204" s="129">
        <f t="shared" si="26"/>
        <v>0</v>
      </c>
    </row>
    <row r="205" spans="21:46" ht="19.5" customHeight="1" x14ac:dyDescent="0.25">
      <c r="U205" s="371"/>
      <c r="V205" s="135">
        <f t="shared" si="18"/>
        <v>0</v>
      </c>
      <c r="W205" s="128">
        <f t="shared" si="19"/>
        <v>0</v>
      </c>
      <c r="X205" s="128">
        <f t="shared" si="20"/>
        <v>0</v>
      </c>
      <c r="Y205" s="128">
        <f t="shared" si="21"/>
        <v>0</v>
      </c>
      <c r="Z205" s="128">
        <f t="shared" si="22"/>
        <v>0</v>
      </c>
      <c r="AA205" s="129">
        <v>0</v>
      </c>
      <c r="AB205" s="129">
        <f t="shared" si="23"/>
        <v>0</v>
      </c>
      <c r="AC205" s="129">
        <f t="shared" si="24"/>
        <v>0</v>
      </c>
      <c r="AD205" s="129">
        <f t="shared" si="25"/>
        <v>0</v>
      </c>
      <c r="AE205" s="129">
        <f t="shared" si="26"/>
        <v>0</v>
      </c>
    </row>
    <row r="206" spans="21:46" ht="19.5" customHeight="1" x14ac:dyDescent="0.25">
      <c r="U206" s="371"/>
      <c r="V206" s="135">
        <f t="shared" si="18"/>
        <v>0</v>
      </c>
      <c r="W206" s="128">
        <f t="shared" si="19"/>
        <v>0</v>
      </c>
      <c r="X206" s="128">
        <f t="shared" si="20"/>
        <v>0</v>
      </c>
      <c r="Y206" s="128">
        <f t="shared" si="21"/>
        <v>0</v>
      </c>
      <c r="Z206" s="128">
        <f t="shared" si="22"/>
        <v>0</v>
      </c>
      <c r="AA206" s="129">
        <v>0</v>
      </c>
      <c r="AB206" s="129">
        <f t="shared" si="23"/>
        <v>0</v>
      </c>
      <c r="AC206" s="129">
        <f t="shared" si="24"/>
        <v>0</v>
      </c>
      <c r="AD206" s="129">
        <f t="shared" si="25"/>
        <v>0</v>
      </c>
      <c r="AE206" s="129">
        <f t="shared" si="26"/>
        <v>0</v>
      </c>
    </row>
    <row r="207" spans="21:46" ht="19.5" customHeight="1" x14ac:dyDescent="0.25">
      <c r="U207" s="371"/>
      <c r="V207" s="135">
        <f t="shared" si="18"/>
        <v>0</v>
      </c>
      <c r="W207" s="128">
        <f t="shared" si="19"/>
        <v>0</v>
      </c>
      <c r="X207" s="128">
        <f t="shared" si="20"/>
        <v>0</v>
      </c>
      <c r="Y207" s="128">
        <f t="shared" si="21"/>
        <v>0</v>
      </c>
      <c r="Z207" s="128">
        <f t="shared" si="22"/>
        <v>0</v>
      </c>
      <c r="AA207" s="129">
        <v>0</v>
      </c>
      <c r="AB207" s="129">
        <f t="shared" si="23"/>
        <v>0</v>
      </c>
      <c r="AC207" s="129">
        <f t="shared" si="24"/>
        <v>0</v>
      </c>
      <c r="AD207" s="129">
        <f t="shared" si="25"/>
        <v>0</v>
      </c>
      <c r="AE207" s="129">
        <f t="shared" si="26"/>
        <v>0</v>
      </c>
    </row>
    <row r="208" spans="21:46" ht="19.5" customHeight="1" x14ac:dyDescent="0.25">
      <c r="U208" s="371"/>
      <c r="V208" s="135">
        <f t="shared" si="18"/>
        <v>0</v>
      </c>
      <c r="W208" s="128">
        <f t="shared" si="19"/>
        <v>0</v>
      </c>
      <c r="X208" s="128">
        <f t="shared" si="20"/>
        <v>0</v>
      </c>
      <c r="Y208" s="128">
        <f t="shared" si="21"/>
        <v>0</v>
      </c>
      <c r="Z208" s="128">
        <f t="shared" si="22"/>
        <v>0</v>
      </c>
      <c r="AA208" s="129">
        <v>0</v>
      </c>
      <c r="AB208" s="129">
        <f t="shared" si="23"/>
        <v>0</v>
      </c>
      <c r="AC208" s="129">
        <f t="shared" si="24"/>
        <v>0</v>
      </c>
      <c r="AD208" s="129">
        <f t="shared" si="25"/>
        <v>0</v>
      </c>
      <c r="AE208" s="129">
        <f t="shared" si="26"/>
        <v>0</v>
      </c>
    </row>
    <row r="209" spans="21:31" ht="19.5" customHeight="1" x14ac:dyDescent="0.25">
      <c r="U209" s="371"/>
      <c r="V209" s="135">
        <f>O138</f>
        <v>0</v>
      </c>
      <c r="W209" s="128">
        <f t="shared" si="19"/>
        <v>0</v>
      </c>
      <c r="X209" s="128">
        <f t="shared" si="20"/>
        <v>0</v>
      </c>
      <c r="Y209" s="128">
        <f t="shared" si="21"/>
        <v>0</v>
      </c>
      <c r="Z209" s="128">
        <f t="shared" si="22"/>
        <v>0</v>
      </c>
      <c r="AA209" s="129">
        <v>0</v>
      </c>
      <c r="AB209" s="129">
        <f t="shared" si="23"/>
        <v>0</v>
      </c>
      <c r="AC209" s="129">
        <f t="shared" si="24"/>
        <v>0</v>
      </c>
      <c r="AD209" s="129">
        <f t="shared" si="25"/>
        <v>0</v>
      </c>
      <c r="AE209" s="129">
        <f t="shared" si="26"/>
        <v>0</v>
      </c>
    </row>
    <row r="210" spans="21:31" ht="19.5" customHeight="1" x14ac:dyDescent="0.25">
      <c r="U210" s="371"/>
      <c r="V210" s="135">
        <f t="shared" si="18"/>
        <v>0</v>
      </c>
      <c r="W210" s="128">
        <f t="shared" si="19"/>
        <v>0</v>
      </c>
      <c r="X210" s="128">
        <f t="shared" si="20"/>
        <v>0</v>
      </c>
      <c r="Y210" s="128">
        <f t="shared" si="21"/>
        <v>0</v>
      </c>
      <c r="Z210" s="128">
        <f t="shared" si="22"/>
        <v>0</v>
      </c>
      <c r="AA210" s="129">
        <v>0</v>
      </c>
      <c r="AB210" s="129">
        <f t="shared" si="23"/>
        <v>0</v>
      </c>
      <c r="AC210" s="129">
        <f t="shared" si="24"/>
        <v>0</v>
      </c>
      <c r="AD210" s="129">
        <f t="shared" si="25"/>
        <v>0</v>
      </c>
      <c r="AE210" s="129">
        <f t="shared" si="26"/>
        <v>0</v>
      </c>
    </row>
    <row r="211" spans="21:31" ht="19.5" customHeight="1" x14ac:dyDescent="0.25">
      <c r="U211" s="371"/>
      <c r="V211" s="135">
        <f t="shared" si="18"/>
        <v>0</v>
      </c>
      <c r="W211" s="128">
        <f t="shared" si="19"/>
        <v>0</v>
      </c>
      <c r="X211" s="128">
        <f t="shared" si="20"/>
        <v>0</v>
      </c>
      <c r="Y211" s="128">
        <f t="shared" si="21"/>
        <v>0</v>
      </c>
      <c r="Z211" s="128">
        <f t="shared" si="22"/>
        <v>0</v>
      </c>
      <c r="AA211" s="129">
        <v>0</v>
      </c>
      <c r="AB211" s="129">
        <f t="shared" si="23"/>
        <v>0</v>
      </c>
      <c r="AC211" s="129">
        <f t="shared" si="24"/>
        <v>0</v>
      </c>
      <c r="AD211" s="129">
        <f t="shared" si="25"/>
        <v>0</v>
      </c>
      <c r="AE211" s="129">
        <f t="shared" si="26"/>
        <v>0</v>
      </c>
    </row>
    <row r="212" spans="21:31" ht="19.5" customHeight="1" x14ac:dyDescent="0.25">
      <c r="U212" s="371"/>
      <c r="V212" s="135">
        <f t="shared" si="18"/>
        <v>0</v>
      </c>
      <c r="W212" s="128">
        <f t="shared" si="19"/>
        <v>0</v>
      </c>
      <c r="X212" s="128">
        <f t="shared" si="20"/>
        <v>0</v>
      </c>
      <c r="Y212" s="128">
        <f t="shared" si="21"/>
        <v>0</v>
      </c>
      <c r="Z212" s="128">
        <f t="shared" si="22"/>
        <v>0</v>
      </c>
      <c r="AA212" s="129">
        <v>0</v>
      </c>
      <c r="AB212" s="129">
        <f t="shared" si="23"/>
        <v>0</v>
      </c>
      <c r="AC212" s="129">
        <f t="shared" si="24"/>
        <v>0</v>
      </c>
      <c r="AD212" s="129">
        <f t="shared" si="25"/>
        <v>0</v>
      </c>
      <c r="AE212" s="129">
        <f t="shared" si="26"/>
        <v>0</v>
      </c>
    </row>
    <row r="213" spans="21:31" ht="19.5" customHeight="1" x14ac:dyDescent="0.25">
      <c r="U213" s="371"/>
      <c r="V213" s="135">
        <f>O142</f>
        <v>0</v>
      </c>
      <c r="W213" s="128">
        <f t="shared" si="19"/>
        <v>0</v>
      </c>
      <c r="X213" s="128">
        <f t="shared" si="20"/>
        <v>0</v>
      </c>
      <c r="Y213" s="128">
        <f t="shared" si="21"/>
        <v>0</v>
      </c>
      <c r="Z213" s="128">
        <f t="shared" si="22"/>
        <v>0</v>
      </c>
      <c r="AA213" s="129">
        <v>0</v>
      </c>
      <c r="AB213" s="129">
        <f t="shared" si="23"/>
        <v>0</v>
      </c>
      <c r="AC213" s="129">
        <f t="shared" si="24"/>
        <v>0</v>
      </c>
      <c r="AD213" s="129">
        <f t="shared" si="25"/>
        <v>0</v>
      </c>
      <c r="AE213" s="129">
        <f t="shared" si="26"/>
        <v>0</v>
      </c>
    </row>
    <row r="214" spans="21:31" ht="19.5" customHeight="1" x14ac:dyDescent="0.25">
      <c r="U214" s="371"/>
      <c r="V214" s="135">
        <f t="shared" si="18"/>
        <v>0</v>
      </c>
      <c r="W214" s="128">
        <f t="shared" si="19"/>
        <v>0</v>
      </c>
      <c r="X214" s="128">
        <f t="shared" si="20"/>
        <v>0</v>
      </c>
      <c r="Y214" s="128">
        <f t="shared" si="21"/>
        <v>0</v>
      </c>
      <c r="Z214" s="128">
        <f t="shared" si="22"/>
        <v>0</v>
      </c>
      <c r="AA214" s="129">
        <v>0</v>
      </c>
      <c r="AB214" s="129">
        <f t="shared" si="23"/>
        <v>0</v>
      </c>
      <c r="AC214" s="129">
        <f t="shared" si="24"/>
        <v>0</v>
      </c>
      <c r="AD214" s="129">
        <f t="shared" si="25"/>
        <v>0</v>
      </c>
      <c r="AE214" s="129">
        <f t="shared" si="26"/>
        <v>0</v>
      </c>
    </row>
    <row r="215" spans="21:31" ht="19.5" customHeight="1" x14ac:dyDescent="0.2">
      <c r="AA215" s="130">
        <f>SUM(AA188:AA214)</f>
        <v>46040.013205690877</v>
      </c>
      <c r="AB215" s="130">
        <f>SUM(AB188:AB214)</f>
        <v>2794.5105784819289</v>
      </c>
      <c r="AC215" s="130">
        <f t="shared" ref="AC215:AE215" si="27">SUM(AC188:AC214)</f>
        <v>1199.9999995442874</v>
      </c>
      <c r="AD215" s="130">
        <f t="shared" si="27"/>
        <v>1040.0000005393354</v>
      </c>
      <c r="AE215" s="130">
        <f t="shared" si="27"/>
        <v>1119.9999998647588</v>
      </c>
    </row>
    <row r="220" spans="21:31" ht="19.5" customHeight="1" x14ac:dyDescent="0.25">
      <c r="AD220" s="206" t="s">
        <v>33</v>
      </c>
      <c r="AE220" s="206">
        <v>126</v>
      </c>
    </row>
    <row r="221" spans="21:31" ht="19.5" customHeight="1" x14ac:dyDescent="0.25">
      <c r="AD221" s="206" t="s">
        <v>66</v>
      </c>
      <c r="AE221" s="206">
        <v>108</v>
      </c>
    </row>
    <row r="222" spans="21:31" ht="19.5" customHeight="1" x14ac:dyDescent="0.25">
      <c r="AD222" s="206" t="s">
        <v>67</v>
      </c>
      <c r="AE222" s="206">
        <v>144</v>
      </c>
    </row>
  </sheetData>
  <mergeCells count="290">
    <mergeCell ref="V186:V187"/>
    <mergeCell ref="W186:W187"/>
    <mergeCell ref="X186:Z186"/>
    <mergeCell ref="AA186:AE186"/>
    <mergeCell ref="O143:P143"/>
    <mergeCell ref="M145:N147"/>
    <mergeCell ref="O145:P145"/>
    <mergeCell ref="O147:P147"/>
    <mergeCell ref="U151:U159"/>
    <mergeCell ref="U160:U169"/>
    <mergeCell ref="U131:U150"/>
    <mergeCell ref="O130:P130"/>
    <mergeCell ref="O131:P131"/>
    <mergeCell ref="O132:P132"/>
    <mergeCell ref="O133:P133"/>
    <mergeCell ref="O134:P134"/>
    <mergeCell ref="O135:P135"/>
    <mergeCell ref="O136:P136"/>
    <mergeCell ref="U188:U214"/>
    <mergeCell ref="U170:U179"/>
    <mergeCell ref="U186:U187"/>
    <mergeCell ref="O122:P122"/>
    <mergeCell ref="O123:P123"/>
    <mergeCell ref="O124:P124"/>
    <mergeCell ref="O125:P125"/>
    <mergeCell ref="O126:P126"/>
    <mergeCell ref="O127:P127"/>
    <mergeCell ref="U115:U130"/>
    <mergeCell ref="B116:E116"/>
    <mergeCell ref="F116:I116"/>
    <mergeCell ref="M116:N143"/>
    <mergeCell ref="O116:Q116"/>
    <mergeCell ref="O117:P117"/>
    <mergeCell ref="O118:P118"/>
    <mergeCell ref="O119:P119"/>
    <mergeCell ref="O120:P120"/>
    <mergeCell ref="O121:P121"/>
    <mergeCell ref="O137:P137"/>
    <mergeCell ref="O138:P138"/>
    <mergeCell ref="O139:P139"/>
    <mergeCell ref="O140:P140"/>
    <mergeCell ref="O141:P141"/>
    <mergeCell ref="O142:P142"/>
    <mergeCell ref="O128:P128"/>
    <mergeCell ref="O129:P129"/>
    <mergeCell ref="G106:H106"/>
    <mergeCell ref="O106:Q106"/>
    <mergeCell ref="C107:D107"/>
    <mergeCell ref="G108:H108"/>
    <mergeCell ref="G110:H110"/>
    <mergeCell ref="B113:E115"/>
    <mergeCell ref="F113:I115"/>
    <mergeCell ref="X98:AO98"/>
    <mergeCell ref="U100:U114"/>
    <mergeCell ref="M101:N106"/>
    <mergeCell ref="O101:Q101"/>
    <mergeCell ref="B102:I102"/>
    <mergeCell ref="O102:Q102"/>
    <mergeCell ref="O103:Q103"/>
    <mergeCell ref="G104:H104"/>
    <mergeCell ref="O104:Q104"/>
    <mergeCell ref="O105:Q105"/>
    <mergeCell ref="M96:N96"/>
    <mergeCell ref="B97:I100"/>
    <mergeCell ref="M97:N97"/>
    <mergeCell ref="U98:U99"/>
    <mergeCell ref="V98:V99"/>
    <mergeCell ref="W98:W99"/>
    <mergeCell ref="B91:C92"/>
    <mergeCell ref="E91:G91"/>
    <mergeCell ref="O91:Q91"/>
    <mergeCell ref="E92:G92"/>
    <mergeCell ref="B94:C95"/>
    <mergeCell ref="E94:G94"/>
    <mergeCell ref="E95:G95"/>
    <mergeCell ref="M95:N95"/>
    <mergeCell ref="W85:W86"/>
    <mergeCell ref="X85:AE85"/>
    <mergeCell ref="E86:G86"/>
    <mergeCell ref="O86:Q86"/>
    <mergeCell ref="O87:P87"/>
    <mergeCell ref="U87:U95"/>
    <mergeCell ref="E88:G88"/>
    <mergeCell ref="O88:P88"/>
    <mergeCell ref="E89:G89"/>
    <mergeCell ref="O89:P89"/>
    <mergeCell ref="W71:W72"/>
    <mergeCell ref="X71:Z71"/>
    <mergeCell ref="B72:C73"/>
    <mergeCell ref="E72:G72"/>
    <mergeCell ref="O72:P72"/>
    <mergeCell ref="E73:G73"/>
    <mergeCell ref="O73:P73"/>
    <mergeCell ref="U73:U82"/>
    <mergeCell ref="B75:I78"/>
    <mergeCell ref="O75:Q75"/>
    <mergeCell ref="O77:Q77"/>
    <mergeCell ref="O78:Q78"/>
    <mergeCell ref="O79:P79"/>
    <mergeCell ref="B80:I80"/>
    <mergeCell ref="O80:P80"/>
    <mergeCell ref="O81:P81"/>
    <mergeCell ref="O69:Q69"/>
    <mergeCell ref="E70:G70"/>
    <mergeCell ref="O70:Q70"/>
    <mergeCell ref="O71:P71"/>
    <mergeCell ref="U71:U72"/>
    <mergeCell ref="V71:V72"/>
    <mergeCell ref="B66:C67"/>
    <mergeCell ref="E66:G66"/>
    <mergeCell ref="E67:G67"/>
    <mergeCell ref="B69:C70"/>
    <mergeCell ref="E69:G69"/>
    <mergeCell ref="M69:N89"/>
    <mergeCell ref="B82:C83"/>
    <mergeCell ref="E82:G82"/>
    <mergeCell ref="E83:G83"/>
    <mergeCell ref="B88:C89"/>
    <mergeCell ref="O83:Q83"/>
    <mergeCell ref="B85:C86"/>
    <mergeCell ref="E85:G85"/>
    <mergeCell ref="O85:Q85"/>
    <mergeCell ref="U85:U86"/>
    <mergeCell ref="V85:V86"/>
    <mergeCell ref="B60:C61"/>
    <mergeCell ref="E60:G60"/>
    <mergeCell ref="O60:Q60"/>
    <mergeCell ref="E61:G61"/>
    <mergeCell ref="O62:Q62"/>
    <mergeCell ref="B63:C64"/>
    <mergeCell ref="E63:G63"/>
    <mergeCell ref="E64:G64"/>
    <mergeCell ref="B57:C58"/>
    <mergeCell ref="E57:G57"/>
    <mergeCell ref="AQ57:AR57"/>
    <mergeCell ref="E58:G58"/>
    <mergeCell ref="O58:Q59"/>
    <mergeCell ref="AQ58:AR58"/>
    <mergeCell ref="X54:AA54"/>
    <mergeCell ref="AP54:AP55"/>
    <mergeCell ref="AQ54:AQ55"/>
    <mergeCell ref="AS54:AS55"/>
    <mergeCell ref="E55:G55"/>
    <mergeCell ref="M55:N65"/>
    <mergeCell ref="O55:Q55"/>
    <mergeCell ref="O56:Q56"/>
    <mergeCell ref="U56:U68"/>
    <mergeCell ref="O50:P50"/>
    <mergeCell ref="AT50:AV50"/>
    <mergeCell ref="B51:C52"/>
    <mergeCell ref="E51:G51"/>
    <mergeCell ref="E52:G52"/>
    <mergeCell ref="B54:C55"/>
    <mergeCell ref="E54:G54"/>
    <mergeCell ref="U54:U55"/>
    <mergeCell ref="V54:V55"/>
    <mergeCell ref="W54:W55"/>
    <mergeCell ref="M46:N50"/>
    <mergeCell ref="X46:Y46"/>
    <mergeCell ref="O47:P47"/>
    <mergeCell ref="X47:Y47"/>
    <mergeCell ref="B48:C49"/>
    <mergeCell ref="E48:G48"/>
    <mergeCell ref="O48:Q49"/>
    <mergeCell ref="X48:Y48"/>
    <mergeCell ref="E49:G49"/>
    <mergeCell ref="X49:Y49"/>
    <mergeCell ref="AP43:AQ43"/>
    <mergeCell ref="B44:I44"/>
    <mergeCell ref="M44:R44"/>
    <mergeCell ref="AP44:AQ44"/>
    <mergeCell ref="B45:C46"/>
    <mergeCell ref="E45:G45"/>
    <mergeCell ref="O45:Q46"/>
    <mergeCell ref="U45:V45"/>
    <mergeCell ref="X45:Z45"/>
    <mergeCell ref="E46:G46"/>
    <mergeCell ref="B41:I42"/>
    <mergeCell ref="O41:Q41"/>
    <mergeCell ref="AP41:AQ41"/>
    <mergeCell ref="O42:Q42"/>
    <mergeCell ref="AP42:AQ42"/>
    <mergeCell ref="B37:I37"/>
    <mergeCell ref="B38:C39"/>
    <mergeCell ref="E38:G38"/>
    <mergeCell ref="M38:N42"/>
    <mergeCell ref="O38:Q38"/>
    <mergeCell ref="AB38:AC38"/>
    <mergeCell ref="E39:G39"/>
    <mergeCell ref="P39:Q39"/>
    <mergeCell ref="AB39:AC39"/>
    <mergeCell ref="AQ36:AR36"/>
    <mergeCell ref="B30:C31"/>
    <mergeCell ref="E30:G30"/>
    <mergeCell ref="AQ30:AR30"/>
    <mergeCell ref="E31:G31"/>
    <mergeCell ref="O31:Q31"/>
    <mergeCell ref="AQ31:AR31"/>
    <mergeCell ref="AP39:AQ39"/>
    <mergeCell ref="AP40:AQ40"/>
    <mergeCell ref="B26:I26"/>
    <mergeCell ref="U26:Z26"/>
    <mergeCell ref="B27:C28"/>
    <mergeCell ref="E27:G27"/>
    <mergeCell ref="AP27:AP36"/>
    <mergeCell ref="AQ27:AR27"/>
    <mergeCell ref="E28:G28"/>
    <mergeCell ref="AQ28:AR28"/>
    <mergeCell ref="E29:G29"/>
    <mergeCell ref="H29:I29"/>
    <mergeCell ref="M29:N34"/>
    <mergeCell ref="O29:Q29"/>
    <mergeCell ref="AB29:AC29"/>
    <mergeCell ref="AQ29:AR29"/>
    <mergeCell ref="AQ32:AR32"/>
    <mergeCell ref="B33:I35"/>
    <mergeCell ref="O33:Q33"/>
    <mergeCell ref="AQ33:AR33"/>
    <mergeCell ref="O34:Q34"/>
    <mergeCell ref="AQ34:AR34"/>
    <mergeCell ref="AB35:AC35"/>
    <mergeCell ref="AQ35:AR35"/>
    <mergeCell ref="M36:R36"/>
    <mergeCell ref="AB36:AC36"/>
    <mergeCell ref="B18:D18"/>
    <mergeCell ref="F18:H18"/>
    <mergeCell ref="AF18:AF20"/>
    <mergeCell ref="AJ18:AJ20"/>
    <mergeCell ref="AK18:AK20"/>
    <mergeCell ref="C13:I13"/>
    <mergeCell ref="AQ13:AR13"/>
    <mergeCell ref="C14:G14"/>
    <mergeCell ref="AQ14:AR14"/>
    <mergeCell ref="AF15:AF17"/>
    <mergeCell ref="AJ15:AJ17"/>
    <mergeCell ref="AK15:AK17"/>
    <mergeCell ref="AL15:AL17"/>
    <mergeCell ref="AM15:AM17"/>
    <mergeCell ref="B16:I16"/>
    <mergeCell ref="AL18:AL20"/>
    <mergeCell ref="AM18:AM20"/>
    <mergeCell ref="AQ18:AR18"/>
    <mergeCell ref="AQ19:AR19"/>
    <mergeCell ref="B20:E20"/>
    <mergeCell ref="V20:X20"/>
    <mergeCell ref="AQ20:AR20"/>
    <mergeCell ref="AP16:AP17"/>
    <mergeCell ref="AQ16:AR17"/>
    <mergeCell ref="M2:R2"/>
    <mergeCell ref="U3:X5"/>
    <mergeCell ref="Y3:AD6"/>
    <mergeCell ref="AG8:AH8"/>
    <mergeCell ref="AI8:AJ8"/>
    <mergeCell ref="AQ8:AR8"/>
    <mergeCell ref="B9:I9"/>
    <mergeCell ref="AF9:AF11"/>
    <mergeCell ref="AJ9:AJ11"/>
    <mergeCell ref="AK9:AK11"/>
    <mergeCell ref="AL9:AL11"/>
    <mergeCell ref="AM9:AM11"/>
    <mergeCell ref="AP10:AP11"/>
    <mergeCell ref="AQ10:AR11"/>
    <mergeCell ref="C11:I11"/>
    <mergeCell ref="K4:L4"/>
    <mergeCell ref="M4:N25"/>
    <mergeCell ref="O4:P4"/>
    <mergeCell ref="AD8:AD11"/>
    <mergeCell ref="Z21:AB21"/>
    <mergeCell ref="AD22:AD23"/>
    <mergeCell ref="AP4:AP5"/>
    <mergeCell ref="AQ4:AR5"/>
    <mergeCell ref="C12:I12"/>
    <mergeCell ref="AV4:AV5"/>
    <mergeCell ref="V6:X6"/>
    <mergeCell ref="AQ6:AR6"/>
    <mergeCell ref="Z7:AB7"/>
    <mergeCell ref="AF7:AM7"/>
    <mergeCell ref="AQ7:AR7"/>
    <mergeCell ref="AV10:AV11"/>
    <mergeCell ref="AP25:AP26"/>
    <mergeCell ref="AQ25:AR26"/>
    <mergeCell ref="AF12:AF14"/>
    <mergeCell ref="AJ12:AJ14"/>
    <mergeCell ref="AK12:AK14"/>
    <mergeCell ref="AL12:AL14"/>
    <mergeCell ref="AM12:AM14"/>
    <mergeCell ref="AQ12:AR12"/>
    <mergeCell ref="AV16:AV17"/>
    <mergeCell ref="U17:X19"/>
    <mergeCell ref="Y17:AD20"/>
  </mergeCells>
  <dataValidations count="5">
    <dataValidation type="list" allowBlank="1" showInputMessage="1" showErrorMessage="1" sqref="O102:Q106">
      <formula1>$V$170:$V$179</formula1>
    </dataValidation>
    <dataValidation type="list" allowBlank="1" showInputMessage="1" showErrorMessage="1" sqref="O60">
      <formula1>$AG$29:$AG$30</formula1>
    </dataValidation>
    <dataValidation type="list" allowBlank="1" showInputMessage="1" showErrorMessage="1" sqref="P39:Q39">
      <formula1>$AE$31:$AE$34</formula1>
    </dataValidation>
    <dataValidation type="list" allowBlank="1" showInputMessage="1" showErrorMessage="1" sqref="Q79:Q81 Q87:Q89 Q71:Q73 Q47 Q50">
      <formula1>$AI$29:$AI$40</formula1>
    </dataValidation>
    <dataValidation type="list" allowBlank="1" showInputMessage="1" showErrorMessage="1" sqref="O42:Q42">
      <formula1>$AK$29:$AK$38</formula1>
    </dataValidation>
  </dataValidations>
  <hyperlinks>
    <hyperlink ref="K4" location="Apresentação!A1" display="Voltar"/>
    <hyperlink ref="K4:L4" location="'Apresentação (1)'!A1" display="Voltar"/>
  </hyperlinks>
  <pageMargins left="0.19685039370078741" right="0.11811023622047245" top="0.59055118110236227" bottom="0.39370078740157483" header="0.19685039370078741" footer="0"/>
  <pageSetup paperSize="9" scale="36" fitToWidth="0" orientation="portrait" r:id="rId1"/>
  <headerFooter>
    <oddHeader>&amp;C&amp;"+,Negrito"&amp;24&amp;A</oddHeader>
    <oddFooter>&amp;CBrasília – Patrimônio Cultural da Humanidade        
 SAIN - PARQUE ESTAÇÃO BIOLÓGICA - ED. EMATER-DF – BRASÍLIA-DF - CEP 70.770-915 
 Fone: (61) 3340-3030 - Fax: (61) 3340-3006 
          E-mail : emater@emater.df.gov.br     Site: www.emater.df.gov.br</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'Adubos e corretivos (1)'!$C$3:$C$62</xm:f>
          </x14:formula1>
          <xm:sqref>O71:P73 O79:P81 O87:P89 O117:P143</xm:sqref>
        </x14:dataValidation>
        <x14:dataValidation type="list" allowBlank="1" showInputMessage="1" showErrorMessage="1">
          <x14:formula1>
            <xm:f>'Adubos e corretivos (1)'!$C$63:$C$72</xm:f>
          </x14:formula1>
          <xm:sqref>O50:P50</xm:sqref>
        </x14:dataValidation>
        <x14:dataValidation type="list" allowBlank="1" showInputMessage="1" showErrorMessage="1">
          <x14:formula1>
            <xm:f>'Adubos e corretivos (1)'!$C$87:$C$99</xm:f>
          </x14:formula1>
          <xm:sqref>O47:P47</xm:sqref>
        </x14:dataValidation>
        <x14:dataValidation type="list" allowBlank="1" showInputMessage="1" showErrorMessage="1">
          <x14:formula1>
            <xm:f>'Adubos e corretivos (1)'!$C$104:$C$113</xm:f>
          </x14:formula1>
          <xm:sqref>O56:Q56</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25</vt:i4>
      </vt:variant>
      <vt:variant>
        <vt:lpstr>Intervalos nomeados</vt:lpstr>
      </vt:variant>
      <vt:variant>
        <vt:i4>21</vt:i4>
      </vt:variant>
    </vt:vector>
  </HeadingPairs>
  <TitlesOfParts>
    <vt:vector size="46" baseType="lpstr">
      <vt:lpstr>Apresentação (1)</vt:lpstr>
      <vt:lpstr>Adubos e corretivos (1)</vt:lpstr>
      <vt:lpstr>Análise de solo (1)</vt:lpstr>
      <vt:lpstr>Análise foliar (1)</vt:lpstr>
      <vt:lpstr>Conversão de unidades (1)</vt:lpstr>
      <vt:lpstr>Espaçamentos (1)</vt:lpstr>
      <vt:lpstr>Abacate formação (1)</vt:lpstr>
      <vt:lpstr>Abacate produção (1)</vt:lpstr>
      <vt:lpstr>Abacaxi produção (1)</vt:lpstr>
      <vt:lpstr>Acerola formação (1)</vt:lpstr>
      <vt:lpstr>Acerola produção (1)</vt:lpstr>
      <vt:lpstr>Banana formação (1)</vt:lpstr>
      <vt:lpstr>Banana produção (1)</vt:lpstr>
      <vt:lpstr>Citros formação (1)</vt:lpstr>
      <vt:lpstr>Citros produção (1)</vt:lpstr>
      <vt:lpstr>Goiaba formação (1)</vt:lpstr>
      <vt:lpstr>Goiaba produção (1)</vt:lpstr>
      <vt:lpstr>Graviola formação (1)</vt:lpstr>
      <vt:lpstr>Graviola produção (1)</vt:lpstr>
      <vt:lpstr>Mamão produção (1)</vt:lpstr>
      <vt:lpstr>Manga formação (1)</vt:lpstr>
      <vt:lpstr>Manga produção (1)</vt:lpstr>
      <vt:lpstr>Maracujá produção (1)</vt:lpstr>
      <vt:lpstr>Pitaya formação (1)</vt:lpstr>
      <vt:lpstr>Pitaya produção (1)</vt:lpstr>
      <vt:lpstr>'Abacate formação (1)'!Area_de_impressao</vt:lpstr>
      <vt:lpstr>'Abacate produção (1)'!Area_de_impressao</vt:lpstr>
      <vt:lpstr>'Abacaxi produção (1)'!Area_de_impressao</vt:lpstr>
      <vt:lpstr>'Acerola formação (1)'!Area_de_impressao</vt:lpstr>
      <vt:lpstr>'Acerola produção (1)'!Area_de_impressao</vt:lpstr>
      <vt:lpstr>'Análise de solo (1)'!Area_de_impressao</vt:lpstr>
      <vt:lpstr>'Análise foliar (1)'!Area_de_impressao</vt:lpstr>
      <vt:lpstr>'Banana formação (1)'!Area_de_impressao</vt:lpstr>
      <vt:lpstr>'Banana produção (1)'!Area_de_impressao</vt:lpstr>
      <vt:lpstr>'Citros formação (1)'!Area_de_impressao</vt:lpstr>
      <vt:lpstr>'Citros produção (1)'!Area_de_impressao</vt:lpstr>
      <vt:lpstr>'Goiaba formação (1)'!Area_de_impressao</vt:lpstr>
      <vt:lpstr>'Goiaba produção (1)'!Area_de_impressao</vt:lpstr>
      <vt:lpstr>'Graviola formação (1)'!Area_de_impressao</vt:lpstr>
      <vt:lpstr>'Graviola produção (1)'!Area_de_impressao</vt:lpstr>
      <vt:lpstr>'Mamão produção (1)'!Area_de_impressao</vt:lpstr>
      <vt:lpstr>'Manga formação (1)'!Area_de_impressao</vt:lpstr>
      <vt:lpstr>'Manga produção (1)'!Area_de_impressao</vt:lpstr>
      <vt:lpstr>'Maracujá produção (1)'!Area_de_impressao</vt:lpstr>
      <vt:lpstr>'Pitaya formação (1)'!Area_de_impressao</vt:lpstr>
      <vt:lpstr>'Pitaya produção (1)'!Area_de_impressao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tecnico</dc:creator>
  <cp:lastModifiedBy>Usuário</cp:lastModifiedBy>
  <cp:lastPrinted>2020-06-23T17:07:26Z</cp:lastPrinted>
  <dcterms:created xsi:type="dcterms:W3CDTF">2020-03-27T13:09:22Z</dcterms:created>
  <dcterms:modified xsi:type="dcterms:W3CDTF">2020-06-29T00:27:03Z</dcterms:modified>
</cp:coreProperties>
</file>